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r:id="rId22"/>
    <sheet name="比较法-高层含地下" sheetId="85" r:id="rId23"/>
    <sheet name="比较法-高层不含" sheetId="21"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高层含阁楼" sheetId="86" r:id="rId45"/>
    <sheet name="比较法-合院" sheetId="87" r:id="rId46"/>
    <sheet name="收益法" sheetId="15" r:id="rId47"/>
    <sheet name="整理面积表" sheetId="77" r:id="rId48"/>
    <sheet name="政策" sheetId="78" r:id="rId49"/>
    <sheet name="工程进度" sheetId="80" r:id="rId50"/>
    <sheet name="土地案例" sheetId="81" r:id="rId51"/>
    <sheet name="高层案例" sheetId="82" r:id="rId52"/>
    <sheet name="合院案例" sheetId="83" r:id="rId53"/>
    <sheet name="车库案例" sheetId="84" r:id="rId54"/>
    <sheet name="预评函面积表" sheetId="88" r:id="rId5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3" hidden="1">'比较法-高层不含'!$A$1:$L$49</definedName>
    <definedName name="_xlnm._FilterDatabase" localSheetId="22" hidden="1">'比较法-高层含地下'!$A$1:$L$49</definedName>
    <definedName name="_xlnm._FilterDatabase" localSheetId="44" hidden="1">'比较法-高层含阁楼'!$A$1:$L$49</definedName>
    <definedName name="_xlnm._FilterDatabase" localSheetId="29" hidden="1">'比较法-工业'!$A$1:$L$43</definedName>
    <definedName name="_xlnm._FilterDatabase" localSheetId="45" hidden="1">'比较法-合院'!$A$1:$L$49</definedName>
    <definedName name="_xlnm._FilterDatabase" localSheetId="27" hidden="1">'比较法-商业'!$A$1:$L$49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_FilterDatabase" localSheetId="47" hidden="1">整理面积表!$B$2:$N$759</definedName>
    <definedName name="_xlnm.Print_Area" localSheetId="8">估价师及机构信息!$A$1:$F$29</definedName>
    <definedName name="_xlnm.Print_Area" localSheetId="46">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2">'比较法-高层含地下'!$B$88:$M$88</definedName>
    <definedName name="住宅朝向" localSheetId="44">'比较法-高层含阁楼'!$B$88:$M$88</definedName>
    <definedName name="住宅朝向" localSheetId="45">'比较法-合院'!$B$88:$M$88</definedName>
    <definedName name="住宅朝向">'比较法-高层不含'!$B$88:$M$88</definedName>
    <definedName name="住宅房型" localSheetId="22">'比较法-高层含地下'!$B$118:$M$118</definedName>
    <definedName name="住宅房型" localSheetId="44">'比较法-高层含阁楼'!$B$118:$M$118</definedName>
    <definedName name="住宅房型" localSheetId="45">'比较法-合院'!$B$118:$M$118</definedName>
    <definedName name="住宅房型">'比较法-高层不含'!$B$118:$M$118</definedName>
    <definedName name="住宅公共部分装修" localSheetId="22">'比较法-高层含地下'!$B$109:$M$109</definedName>
    <definedName name="住宅公共部分装修" localSheetId="44">'比较法-高层含阁楼'!$B$109:$M$109</definedName>
    <definedName name="住宅公共部分装修" localSheetId="45">'比较法-合院'!$B$109:$M$109</definedName>
    <definedName name="住宅公共部分装修">'比较法-高层不含'!$B$109:$M$109</definedName>
    <definedName name="住宅基础设施水平" localSheetId="22">'比较法-高层含地下'!$B$116:$M$116</definedName>
    <definedName name="住宅基础设施水平" localSheetId="44">'比较法-高层含阁楼'!$B$116:$M$116</definedName>
    <definedName name="住宅基础设施水平" localSheetId="45">'比较法-合院'!$B$116:$M$116</definedName>
    <definedName name="住宅基础设施水平">'比较法-高层不含'!$B$116:$M$116</definedName>
    <definedName name="住宅建筑结构" localSheetId="22">'比较法-高层含地下'!$B$105:$M$105</definedName>
    <definedName name="住宅建筑结构" localSheetId="44">'比较法-高层含阁楼'!$B$105:$M$105</definedName>
    <definedName name="住宅建筑结构" localSheetId="45">'比较法-合院'!$B$105:$M$105</definedName>
    <definedName name="住宅建筑结构">'比较法-高层不含'!$B$105:$M$105</definedName>
    <definedName name="住宅建筑类型" localSheetId="22">'比较法-高层含地下'!$B$100:$M$100</definedName>
    <definedName name="住宅建筑类型" localSheetId="44">'比较法-高层含阁楼'!$B$100:$M$100</definedName>
    <definedName name="住宅建筑类型" localSheetId="45">'比较法-合院'!$B$100:$M$100</definedName>
    <definedName name="住宅建筑类型">'比较法-高层不含'!$B$100:$M$100</definedName>
    <definedName name="住宅建筑品质" localSheetId="22">'比较法-高层含地下'!$B$107:$M$107</definedName>
    <definedName name="住宅建筑品质" localSheetId="44">'比较法-高层含阁楼'!$B$107:$M$107</definedName>
    <definedName name="住宅建筑品质" localSheetId="45">'比较法-合院'!$B$107:$M$107</definedName>
    <definedName name="住宅建筑品质">'比较法-高层不含'!$B$107:$M$107</definedName>
    <definedName name="住宅交易情况" localSheetId="22">'比较法-高层含地下'!$A$61:$M$61</definedName>
    <definedName name="住宅交易情况" localSheetId="44">'比较法-高层含阁楼'!$A$61:$M$61</definedName>
    <definedName name="住宅交易情况" localSheetId="45">'比较法-合院'!$A$61:$M$61</definedName>
    <definedName name="住宅交易情况">'比较法-高层不含'!$A$61:$M$61</definedName>
    <definedName name="住宅楼层" localSheetId="22">'比较法-高层含地下'!$B$86:$M$86</definedName>
    <definedName name="住宅楼层" localSheetId="44">'比较法-高层含阁楼'!$B$86:$M$86</definedName>
    <definedName name="住宅楼层" localSheetId="45">'比较法-合院'!$B$86:$M$86</definedName>
    <definedName name="住宅楼层">'比较法-高层不含'!$B$86:$M$86</definedName>
    <definedName name="住宅内部装修" localSheetId="22">'比较法-高层含地下'!$B$122:$M$122</definedName>
    <definedName name="住宅内部装修" localSheetId="44">'比较法-高层含阁楼'!$B$122:$M$122</definedName>
    <definedName name="住宅内部装修" localSheetId="45">'比较法-合院'!$B$122:$M$122</definedName>
    <definedName name="住宅内部装修">'比较法-高层不含'!$B$122:$M$122</definedName>
    <definedName name="住宅物业管理" localSheetId="22">'比较法-高层含地下'!$B$114:$M$114</definedName>
    <definedName name="住宅物业管理" localSheetId="44">'比较法-高层含阁楼'!$B$114:$M$114</definedName>
    <definedName name="住宅物业管理" localSheetId="45">'比较法-合院'!$B$114:$M$114</definedName>
    <definedName name="住宅物业管理">'比较法-高层不含'!$B$114:$M$114</definedName>
    <definedName name="住宅用途" localSheetId="22">'比较法-高层含地下'!$B$63:$M$63</definedName>
    <definedName name="住宅用途" localSheetId="44">'比较法-高层含阁楼'!$B$63:$M$63</definedName>
    <definedName name="住宅用途" localSheetId="45">'比较法-合院'!$B$63:$M$63</definedName>
    <definedName name="住宅用途">'比较法-高层不含'!$B$63:$M$63</definedName>
    <definedName name="住宅主力户型面积" localSheetId="22">'比较法-高层含地下'!$B$120:$M$120</definedName>
    <definedName name="住宅主力户型面积" localSheetId="44">'比较法-高层含阁楼'!$B$120:$M$120</definedName>
    <definedName name="住宅主力户型面积" localSheetId="45">'比较法-合院'!$B$120:$M$120</definedName>
    <definedName name="住宅主力户型面积">'比较法-高层不含'!$B$120:$M$120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J39" i="84" l="1"/>
  <c r="L39" i="84"/>
  <c r="C19" i="6"/>
  <c r="A6" i="1"/>
  <c r="C20" i="6"/>
  <c r="A7" i="1"/>
  <c r="C21" i="6"/>
  <c r="A8" i="1"/>
  <c r="C22" i="6"/>
  <c r="A9" i="1"/>
  <c r="C23" i="6"/>
  <c r="A10" i="1"/>
  <c r="A11" i="1"/>
  <c r="A12" i="1"/>
  <c r="A13" i="1"/>
  <c r="G1" i="15"/>
  <c r="F9" i="15"/>
  <c r="F8" i="15"/>
  <c r="K23" i="21"/>
  <c r="K23" i="86"/>
  <c r="K23" i="87"/>
  <c r="D118" i="39"/>
  <c r="E118" i="39"/>
  <c r="F118" i="39"/>
  <c r="G118" i="39"/>
  <c r="I5" i="3"/>
  <c r="AH13" i="3"/>
  <c r="AD13" i="3"/>
  <c r="AD14" i="3"/>
  <c r="AD5" i="3"/>
  <c r="AH5" i="3"/>
  <c r="AL5" i="3"/>
  <c r="J5" i="3"/>
  <c r="K5" i="3"/>
  <c r="L5" i="3"/>
  <c r="AN16" i="3"/>
  <c r="AT16" i="3"/>
  <c r="M16"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I4" i="6"/>
  <c r="C11" i="39"/>
  <c r="C11" i="21"/>
  <c r="C11" i="85"/>
  <c r="C11" i="86"/>
  <c r="C11" i="87"/>
  <c r="L575" i="88"/>
  <c r="K575" i="88"/>
  <c r="J575" i="88"/>
  <c r="I575" i="88"/>
  <c r="C145" i="87"/>
  <c r="J142" i="87"/>
  <c r="J140" i="87"/>
  <c r="K139" i="87"/>
  <c r="K145" i="87"/>
  <c r="K143" i="87"/>
  <c r="B130" i="87"/>
  <c r="B128" i="87"/>
  <c r="B126" i="87"/>
  <c r="D125" i="87"/>
  <c r="E125" i="87"/>
  <c r="F125" i="87"/>
  <c r="G125" i="87"/>
  <c r="D123" i="87"/>
  <c r="E123" i="87"/>
  <c r="F123" i="87"/>
  <c r="G123" i="87"/>
  <c r="H123" i="87"/>
  <c r="I123" i="87"/>
  <c r="J123" i="87"/>
  <c r="K123" i="87"/>
  <c r="L123" i="87"/>
  <c r="M123" i="87"/>
  <c r="D119" i="87"/>
  <c r="E119" i="87"/>
  <c r="F119" i="87"/>
  <c r="G119" i="87"/>
  <c r="H119" i="87"/>
  <c r="I119" i="87"/>
  <c r="J119" i="87"/>
  <c r="K119" i="87"/>
  <c r="L119" i="87"/>
  <c r="M119" i="87"/>
  <c r="D117" i="87"/>
  <c r="E117" i="87"/>
  <c r="F117" i="87"/>
  <c r="G117" i="87"/>
  <c r="D115" i="87"/>
  <c r="E115" i="87"/>
  <c r="F115" i="87"/>
  <c r="G115" i="87"/>
  <c r="H115" i="87"/>
  <c r="I115" i="87"/>
  <c r="J115" i="87"/>
  <c r="K115" i="87"/>
  <c r="L115" i="87"/>
  <c r="M115" i="87"/>
  <c r="D113" i="87"/>
  <c r="E113" i="87"/>
  <c r="F113" i="87"/>
  <c r="G113" i="87"/>
  <c r="H113" i="87"/>
  <c r="H111" i="87"/>
  <c r="G111" i="87"/>
  <c r="F111" i="87"/>
  <c r="E111" i="87"/>
  <c r="D111" i="87"/>
  <c r="C111" i="87"/>
  <c r="D110" i="87"/>
  <c r="E110" i="87"/>
  <c r="F110" i="87"/>
  <c r="G110" i="87"/>
  <c r="H110" i="87"/>
  <c r="I110" i="87"/>
  <c r="J110" i="87"/>
  <c r="K110" i="87"/>
  <c r="L110" i="87"/>
  <c r="M110" i="87"/>
  <c r="D108" i="87"/>
  <c r="E108" i="87"/>
  <c r="F108" i="87"/>
  <c r="G108" i="87"/>
  <c r="H108" i="87"/>
  <c r="I108" i="87"/>
  <c r="J108" i="87"/>
  <c r="K108" i="87"/>
  <c r="L108" i="87"/>
  <c r="M108" i="87"/>
  <c r="D106" i="87"/>
  <c r="E106" i="87"/>
  <c r="F106" i="87"/>
  <c r="G106" i="87"/>
  <c r="H106" i="87"/>
  <c r="I106" i="87"/>
  <c r="J106" i="87"/>
  <c r="K106" i="87"/>
  <c r="L106" i="87"/>
  <c r="M106" i="87"/>
  <c r="M102" i="87"/>
  <c r="L102" i="87"/>
  <c r="K102" i="87"/>
  <c r="J102" i="87"/>
  <c r="I102" i="87"/>
  <c r="H102" i="87"/>
  <c r="G102" i="87"/>
  <c r="F102" i="87"/>
  <c r="E102" i="87"/>
  <c r="D102" i="87"/>
  <c r="C102" i="87"/>
  <c r="D101" i="87"/>
  <c r="E101" i="87"/>
  <c r="F101" i="87"/>
  <c r="G101" i="87"/>
  <c r="H101" i="87"/>
  <c r="I101" i="87"/>
  <c r="J101" i="87"/>
  <c r="K101" i="87"/>
  <c r="L101" i="87"/>
  <c r="M101" i="87"/>
  <c r="B98" i="87"/>
  <c r="B96" i="87"/>
  <c r="B94" i="87"/>
  <c r="B92" i="87"/>
  <c r="B90" i="87"/>
  <c r="D89" i="87"/>
  <c r="E89" i="87"/>
  <c r="F89" i="87"/>
  <c r="G89" i="87"/>
  <c r="H89" i="87"/>
  <c r="I89" i="87"/>
  <c r="J89" i="87"/>
  <c r="K89" i="87"/>
  <c r="L89" i="87"/>
  <c r="M89" i="87"/>
  <c r="M87" i="87"/>
  <c r="L87" i="87"/>
  <c r="K87" i="87"/>
  <c r="J87" i="87"/>
  <c r="I87" i="87"/>
  <c r="H87" i="87"/>
  <c r="G87" i="87"/>
  <c r="F87" i="87"/>
  <c r="E87" i="87"/>
  <c r="D87" i="87"/>
  <c r="D85" i="87"/>
  <c r="E85" i="87"/>
  <c r="F85" i="87"/>
  <c r="G85" i="87"/>
  <c r="D83" i="87"/>
  <c r="E83" i="87"/>
  <c r="F83" i="87"/>
  <c r="G83" i="87"/>
  <c r="D81" i="87"/>
  <c r="E81" i="87"/>
  <c r="F81" i="87"/>
  <c r="G81" i="87"/>
  <c r="D79" i="87"/>
  <c r="E79" i="87"/>
  <c r="F79" i="87"/>
  <c r="G79" i="87"/>
  <c r="D77" i="87"/>
  <c r="E77" i="87"/>
  <c r="F77" i="87"/>
  <c r="G77" i="87"/>
  <c r="B74" i="87"/>
  <c r="B72" i="87"/>
  <c r="B70" i="87"/>
  <c r="D69" i="87"/>
  <c r="E69" i="87"/>
  <c r="F69" i="87"/>
  <c r="G69" i="87"/>
  <c r="H69" i="87"/>
  <c r="I69" i="87"/>
  <c r="J69" i="87"/>
  <c r="K69" i="87"/>
  <c r="L69" i="87"/>
  <c r="M69" i="87"/>
  <c r="M67" i="87"/>
  <c r="L67" i="87"/>
  <c r="K67" i="87"/>
  <c r="J67" i="87"/>
  <c r="I67" i="87"/>
  <c r="H67" i="87"/>
  <c r="G67" i="87"/>
  <c r="F67" i="87"/>
  <c r="E67" i="87"/>
  <c r="D67" i="87"/>
  <c r="C67" i="87"/>
  <c r="D66" i="87"/>
  <c r="E66" i="87"/>
  <c r="F66" i="87"/>
  <c r="G66" i="87"/>
  <c r="H66" i="87"/>
  <c r="I66" i="87"/>
  <c r="C63" i="87"/>
  <c r="I54" i="87"/>
  <c r="J54" i="87"/>
  <c r="G54" i="87"/>
  <c r="H54" i="87"/>
  <c r="E54" i="87"/>
  <c r="F54" i="87"/>
  <c r="P49" i="87"/>
  <c r="P48" i="87"/>
  <c r="V47" i="87"/>
  <c r="T47" i="87"/>
  <c r="R47" i="87"/>
  <c r="P47" i="87"/>
  <c r="Q46" i="87"/>
  <c r="Z46" i="87"/>
  <c r="J46" i="87"/>
  <c r="AC46" i="87"/>
  <c r="H46" i="87"/>
  <c r="AB46" i="87"/>
  <c r="F46" i="87"/>
  <c r="AA46" i="87"/>
  <c r="Q45" i="87"/>
  <c r="Z45" i="87"/>
  <c r="J45" i="87"/>
  <c r="AC45" i="87"/>
  <c r="H45" i="87"/>
  <c r="AB45" i="87"/>
  <c r="F45" i="87"/>
  <c r="AA45" i="87"/>
  <c r="Q44" i="87"/>
  <c r="Z44" i="87"/>
  <c r="J44" i="87"/>
  <c r="AC44" i="87"/>
  <c r="H44" i="87"/>
  <c r="AB44" i="87"/>
  <c r="F44" i="87"/>
  <c r="AA44" i="87"/>
  <c r="Q43" i="87"/>
  <c r="Z43" i="87"/>
  <c r="J43" i="87"/>
  <c r="AC43" i="87"/>
  <c r="H43" i="87"/>
  <c r="AB43" i="87"/>
  <c r="F43" i="87"/>
  <c r="AA43" i="87"/>
  <c r="Q42" i="87"/>
  <c r="Z42" i="87"/>
  <c r="J42" i="87"/>
  <c r="AC42" i="87"/>
  <c r="H42" i="87"/>
  <c r="AB42" i="87"/>
  <c r="F42" i="87"/>
  <c r="AA42" i="87"/>
  <c r="Q41" i="87"/>
  <c r="Z41" i="87"/>
  <c r="J41" i="87"/>
  <c r="AC41" i="87"/>
  <c r="H41" i="87"/>
  <c r="AB41" i="87"/>
  <c r="F41" i="87"/>
  <c r="AA41" i="87"/>
  <c r="Q40" i="87"/>
  <c r="Z40" i="87"/>
  <c r="J40" i="87"/>
  <c r="AC40" i="87"/>
  <c r="H40" i="87"/>
  <c r="AB40" i="87"/>
  <c r="F40" i="87"/>
  <c r="AA40" i="87"/>
  <c r="Q39" i="87"/>
  <c r="Z39" i="87"/>
  <c r="J39" i="87"/>
  <c r="AC39" i="87"/>
  <c r="H39" i="87"/>
  <c r="AB39" i="87"/>
  <c r="F39" i="87"/>
  <c r="AA39" i="87"/>
  <c r="Q38" i="87"/>
  <c r="Z38" i="87"/>
  <c r="J38" i="87"/>
  <c r="AC38" i="87"/>
  <c r="H38" i="87"/>
  <c r="AB38" i="87"/>
  <c r="F38" i="87"/>
  <c r="AA38" i="87"/>
  <c r="Q37" i="87"/>
  <c r="Z37" i="87"/>
  <c r="J37" i="87"/>
  <c r="AC37" i="87"/>
  <c r="H37" i="87"/>
  <c r="AB37" i="87"/>
  <c r="F37" i="87"/>
  <c r="AA37" i="87"/>
  <c r="Q36" i="87"/>
  <c r="Z36" i="87"/>
  <c r="J36" i="87"/>
  <c r="AC36" i="87"/>
  <c r="H36" i="87"/>
  <c r="AB36" i="87"/>
  <c r="F36" i="87"/>
  <c r="AA36" i="87"/>
  <c r="Q35" i="87"/>
  <c r="Z35" i="87"/>
  <c r="J35" i="87"/>
  <c r="AC35" i="87"/>
  <c r="H35" i="87"/>
  <c r="AB35" i="87"/>
  <c r="F35" i="87"/>
  <c r="AA35" i="87"/>
  <c r="Q34" i="87"/>
  <c r="Z34" i="87"/>
  <c r="J34" i="87"/>
  <c r="AC34" i="87"/>
  <c r="H34" i="87"/>
  <c r="AB34" i="87"/>
  <c r="F34" i="87"/>
  <c r="AA34" i="87"/>
  <c r="Q33" i="87"/>
  <c r="Z33" i="87"/>
  <c r="Q32" i="87"/>
  <c r="Z32" i="87"/>
  <c r="J32" i="87"/>
  <c r="AC32" i="87"/>
  <c r="H32" i="87"/>
  <c r="AB32" i="87"/>
  <c r="F32" i="87"/>
  <c r="AA32" i="87"/>
  <c r="Q31" i="87"/>
  <c r="Z31" i="87"/>
  <c r="J31" i="87"/>
  <c r="AC31" i="87"/>
  <c r="H31" i="87"/>
  <c r="AB31" i="87"/>
  <c r="F31" i="87"/>
  <c r="AA31" i="87"/>
  <c r="Q30" i="87"/>
  <c r="Z30" i="87"/>
  <c r="J30" i="87"/>
  <c r="AC30" i="87"/>
  <c r="H30" i="87"/>
  <c r="AB30" i="87"/>
  <c r="F30" i="87"/>
  <c r="AA30" i="87"/>
  <c r="Q29" i="87"/>
  <c r="Z29" i="87"/>
  <c r="J29" i="87"/>
  <c r="AC29" i="87"/>
  <c r="H29" i="87"/>
  <c r="AB29" i="87"/>
  <c r="F29" i="87"/>
  <c r="AA29" i="87"/>
  <c r="Q28" i="87"/>
  <c r="Z28" i="87"/>
  <c r="J28" i="87"/>
  <c r="AC28" i="87"/>
  <c r="H28" i="87"/>
  <c r="AB28" i="87"/>
  <c r="F28" i="87"/>
  <c r="AA28" i="87"/>
  <c r="Q27" i="87"/>
  <c r="Z27" i="87"/>
  <c r="J27" i="87"/>
  <c r="AC27" i="87"/>
  <c r="H27" i="87"/>
  <c r="AB27" i="87"/>
  <c r="F27" i="87"/>
  <c r="AA27" i="87"/>
  <c r="Q26" i="87"/>
  <c r="Z26" i="87"/>
  <c r="J26" i="87"/>
  <c r="AC26" i="87"/>
  <c r="H26" i="87"/>
  <c r="AB26" i="87"/>
  <c r="F26" i="87"/>
  <c r="AA26" i="87"/>
  <c r="Q25" i="87"/>
  <c r="Z25" i="87"/>
  <c r="J25" i="87"/>
  <c r="AC25" i="87"/>
  <c r="H25" i="87"/>
  <c r="AB25" i="87"/>
  <c r="F25" i="87"/>
  <c r="AA25" i="87"/>
  <c r="Q23" i="87"/>
  <c r="Z23" i="87"/>
  <c r="J23" i="87"/>
  <c r="AC23" i="87"/>
  <c r="H23" i="87"/>
  <c r="AB23" i="87"/>
  <c r="F23" i="87"/>
  <c r="AA23" i="87"/>
  <c r="C23" i="87"/>
  <c r="Q21" i="87"/>
  <c r="Z21" i="87"/>
  <c r="J21" i="87"/>
  <c r="AC21" i="87"/>
  <c r="H21" i="87"/>
  <c r="AB21" i="87"/>
  <c r="F21" i="87"/>
  <c r="AA21" i="87"/>
  <c r="C21" i="87"/>
  <c r="Q19" i="87"/>
  <c r="Z19" i="87"/>
  <c r="J19" i="87"/>
  <c r="H19" i="87"/>
  <c r="AB19" i="87"/>
  <c r="F19" i="87"/>
  <c r="C19" i="87"/>
  <c r="J17" i="87"/>
  <c r="AC17" i="87"/>
  <c r="W17" i="87"/>
  <c r="Q17" i="87"/>
  <c r="Z17" i="87"/>
  <c r="H17" i="87"/>
  <c r="AB17" i="87"/>
  <c r="F17" i="87"/>
  <c r="AA17" i="87"/>
  <c r="C17" i="87"/>
  <c r="Q15" i="87"/>
  <c r="Z15" i="87"/>
  <c r="J15" i="87"/>
  <c r="AC15" i="87"/>
  <c r="H15" i="87"/>
  <c r="AB15" i="87"/>
  <c r="F15" i="87"/>
  <c r="AA15" i="87"/>
  <c r="C15" i="87"/>
  <c r="Q14" i="87"/>
  <c r="Z14" i="87"/>
  <c r="J14" i="87"/>
  <c r="AC14" i="87"/>
  <c r="H14" i="87"/>
  <c r="AB14" i="87"/>
  <c r="F14" i="87"/>
  <c r="AA14" i="87"/>
  <c r="Q13" i="87"/>
  <c r="Z13" i="87"/>
  <c r="J13" i="87"/>
  <c r="AC13" i="87"/>
  <c r="H13" i="87"/>
  <c r="AB13" i="87"/>
  <c r="F13" i="87"/>
  <c r="AA13" i="87"/>
  <c r="Q12" i="87"/>
  <c r="Z12" i="87"/>
  <c r="J12" i="87"/>
  <c r="AC12" i="87"/>
  <c r="H12" i="87"/>
  <c r="AB12" i="87"/>
  <c r="F12" i="87"/>
  <c r="AA12" i="87"/>
  <c r="Q11" i="87"/>
  <c r="Z11" i="87"/>
  <c r="Q10" i="87"/>
  <c r="Z10" i="87"/>
  <c r="J10" i="87"/>
  <c r="AC10" i="87"/>
  <c r="H10" i="87"/>
  <c r="AB10" i="87"/>
  <c r="F10" i="87"/>
  <c r="AA10" i="87"/>
  <c r="Q9" i="87"/>
  <c r="Z9" i="87"/>
  <c r="J9" i="87"/>
  <c r="AC9" i="87"/>
  <c r="H9" i="87"/>
  <c r="AB9" i="87"/>
  <c r="F9" i="87"/>
  <c r="AA9" i="87"/>
  <c r="J8" i="87"/>
  <c r="W8" i="87"/>
  <c r="AC8" i="87"/>
  <c r="H8" i="87"/>
  <c r="U8" i="87"/>
  <c r="F8" i="87"/>
  <c r="AA8" i="87"/>
  <c r="B2" i="1"/>
  <c r="C7" i="87"/>
  <c r="C58" i="87"/>
  <c r="D58" i="87"/>
  <c r="E58" i="87"/>
  <c r="F58" i="87"/>
  <c r="G58" i="87"/>
  <c r="H58" i="87"/>
  <c r="I58" i="87"/>
  <c r="J58" i="87"/>
  <c r="K58" i="87"/>
  <c r="L58" i="87"/>
  <c r="M58" i="87"/>
  <c r="N58" i="87"/>
  <c r="O58" i="87"/>
  <c r="F22" i="6"/>
  <c r="G22" i="6"/>
  <c r="E22" i="6"/>
  <c r="D3" i="87"/>
  <c r="C145" i="86"/>
  <c r="J142" i="86"/>
  <c r="J140" i="86"/>
  <c r="K139" i="86"/>
  <c r="K145" i="86"/>
  <c r="K143" i="86"/>
  <c r="B130" i="86"/>
  <c r="B128" i="86"/>
  <c r="B126" i="86"/>
  <c r="D125" i="86"/>
  <c r="E125" i="86"/>
  <c r="F125" i="86"/>
  <c r="G125" i="86"/>
  <c r="D123" i="86"/>
  <c r="E123" i="86"/>
  <c r="F123" i="86"/>
  <c r="G123" i="86"/>
  <c r="H123" i="86"/>
  <c r="I123" i="86"/>
  <c r="J123" i="86"/>
  <c r="K123" i="86"/>
  <c r="L123" i="86"/>
  <c r="M123" i="86"/>
  <c r="D119" i="86"/>
  <c r="E119" i="86"/>
  <c r="F119" i="86"/>
  <c r="G119" i="86"/>
  <c r="H119" i="86"/>
  <c r="I119" i="86"/>
  <c r="J119" i="86"/>
  <c r="K119" i="86"/>
  <c r="L119" i="86"/>
  <c r="M119" i="86"/>
  <c r="D117" i="86"/>
  <c r="E117" i="86"/>
  <c r="F117" i="86"/>
  <c r="G117" i="86"/>
  <c r="D115" i="86"/>
  <c r="E115" i="86"/>
  <c r="F115" i="86"/>
  <c r="G115" i="86"/>
  <c r="H115" i="86"/>
  <c r="I115" i="86"/>
  <c r="J115" i="86"/>
  <c r="K115" i="86"/>
  <c r="L115" i="86"/>
  <c r="M115" i="86"/>
  <c r="D113" i="86"/>
  <c r="E113" i="86"/>
  <c r="F113" i="86"/>
  <c r="G113" i="86"/>
  <c r="H113" i="86"/>
  <c r="H111" i="86"/>
  <c r="G111" i="86"/>
  <c r="F111" i="86"/>
  <c r="E111" i="86"/>
  <c r="D111" i="86"/>
  <c r="C111" i="86"/>
  <c r="D110" i="86"/>
  <c r="E110" i="86"/>
  <c r="F110" i="86"/>
  <c r="G110" i="86"/>
  <c r="H110" i="86"/>
  <c r="I110" i="86"/>
  <c r="J110" i="86"/>
  <c r="K110" i="86"/>
  <c r="L110" i="86"/>
  <c r="M110" i="86"/>
  <c r="D108" i="86"/>
  <c r="E108" i="86"/>
  <c r="F108" i="86"/>
  <c r="G108" i="86"/>
  <c r="H108" i="86"/>
  <c r="I108" i="86"/>
  <c r="J108" i="86"/>
  <c r="K108" i="86"/>
  <c r="L108" i="86"/>
  <c r="M108" i="86"/>
  <c r="D106" i="86"/>
  <c r="E106" i="86"/>
  <c r="F106" i="86"/>
  <c r="G106" i="86"/>
  <c r="H106" i="86"/>
  <c r="I106" i="86"/>
  <c r="J106" i="86"/>
  <c r="K106" i="86"/>
  <c r="L106" i="86"/>
  <c r="M106" i="86"/>
  <c r="M102" i="86"/>
  <c r="L102" i="86"/>
  <c r="K102" i="86"/>
  <c r="J102" i="86"/>
  <c r="I102" i="86"/>
  <c r="H102" i="86"/>
  <c r="G102" i="86"/>
  <c r="F102" i="86"/>
  <c r="E102" i="86"/>
  <c r="D102" i="86"/>
  <c r="C102" i="86"/>
  <c r="D101" i="86"/>
  <c r="E101" i="86"/>
  <c r="F101" i="86"/>
  <c r="G101" i="86"/>
  <c r="H101" i="86"/>
  <c r="I101" i="86"/>
  <c r="J101" i="86"/>
  <c r="K101" i="86"/>
  <c r="L101" i="86"/>
  <c r="M101" i="86"/>
  <c r="B98" i="86"/>
  <c r="B96" i="86"/>
  <c r="B94" i="86"/>
  <c r="B92" i="86"/>
  <c r="B90" i="86"/>
  <c r="D89" i="86"/>
  <c r="E89" i="86"/>
  <c r="F89" i="86"/>
  <c r="G89" i="86"/>
  <c r="H89" i="86"/>
  <c r="I89" i="86"/>
  <c r="J89" i="86"/>
  <c r="K89" i="86"/>
  <c r="L89" i="86"/>
  <c r="M89" i="86"/>
  <c r="M87" i="86"/>
  <c r="L87" i="86"/>
  <c r="K87" i="86"/>
  <c r="J87" i="86"/>
  <c r="I87" i="86"/>
  <c r="H87" i="86"/>
  <c r="G87" i="86"/>
  <c r="F87" i="86"/>
  <c r="E87" i="86"/>
  <c r="D87" i="86"/>
  <c r="D85" i="86"/>
  <c r="E85" i="86"/>
  <c r="F85" i="86"/>
  <c r="G85" i="86"/>
  <c r="D83" i="86"/>
  <c r="E83" i="86"/>
  <c r="F83" i="86"/>
  <c r="G83" i="86"/>
  <c r="D81" i="86"/>
  <c r="E81" i="86"/>
  <c r="F81" i="86"/>
  <c r="G81" i="86"/>
  <c r="D79" i="86"/>
  <c r="E79" i="86"/>
  <c r="F79" i="86"/>
  <c r="G79" i="86"/>
  <c r="D77" i="86"/>
  <c r="E77" i="86"/>
  <c r="F77" i="86"/>
  <c r="G77" i="86"/>
  <c r="B74" i="86"/>
  <c r="B72" i="86"/>
  <c r="B70" i="86"/>
  <c r="D69" i="86"/>
  <c r="E69" i="86"/>
  <c r="F69" i="86"/>
  <c r="G69" i="86"/>
  <c r="H69" i="86"/>
  <c r="I69" i="86"/>
  <c r="J69" i="86"/>
  <c r="K69" i="86"/>
  <c r="L69" i="86"/>
  <c r="M69" i="86"/>
  <c r="M67" i="86"/>
  <c r="L67" i="86"/>
  <c r="K67" i="86"/>
  <c r="J67" i="86"/>
  <c r="I67" i="86"/>
  <c r="H67" i="86"/>
  <c r="G67" i="86"/>
  <c r="F67" i="86"/>
  <c r="E67" i="86"/>
  <c r="D67" i="86"/>
  <c r="C67" i="86"/>
  <c r="D66" i="86"/>
  <c r="E66" i="86"/>
  <c r="F66" i="86"/>
  <c r="G66" i="86"/>
  <c r="H66" i="86"/>
  <c r="I66" i="86"/>
  <c r="C63" i="86"/>
  <c r="I54" i="86"/>
  <c r="J54" i="86"/>
  <c r="G54" i="86"/>
  <c r="H54" i="86"/>
  <c r="E54" i="86"/>
  <c r="F54" i="86"/>
  <c r="P49" i="86"/>
  <c r="P48" i="86"/>
  <c r="V47" i="86"/>
  <c r="T47" i="86"/>
  <c r="R47" i="86"/>
  <c r="P47" i="86"/>
  <c r="Q46" i="86"/>
  <c r="Z46" i="86"/>
  <c r="J46" i="86"/>
  <c r="AC46" i="86"/>
  <c r="H46" i="86"/>
  <c r="AB46" i="86"/>
  <c r="F46" i="86"/>
  <c r="AA46" i="86"/>
  <c r="Q45" i="86"/>
  <c r="Z45" i="86"/>
  <c r="J45" i="86"/>
  <c r="H45" i="86"/>
  <c r="AB45" i="86"/>
  <c r="F45" i="86"/>
  <c r="AA45" i="86"/>
  <c r="Q44" i="86"/>
  <c r="Z44" i="86"/>
  <c r="J44" i="86"/>
  <c r="AC44" i="86"/>
  <c r="H44" i="86"/>
  <c r="AB44" i="86"/>
  <c r="F44" i="86"/>
  <c r="AA44" i="86"/>
  <c r="Q43" i="86"/>
  <c r="Z43" i="86"/>
  <c r="J43" i="86"/>
  <c r="AC43" i="86"/>
  <c r="H43" i="86"/>
  <c r="AB43" i="86"/>
  <c r="F43" i="86"/>
  <c r="AA43" i="86"/>
  <c r="Q42" i="86"/>
  <c r="Z42" i="86"/>
  <c r="J42" i="86"/>
  <c r="AC42" i="86"/>
  <c r="H42" i="86"/>
  <c r="AB42" i="86"/>
  <c r="F42" i="86"/>
  <c r="AA42" i="86"/>
  <c r="Q41" i="86"/>
  <c r="Z41" i="86"/>
  <c r="J41" i="86"/>
  <c r="AC41" i="86"/>
  <c r="H41" i="86"/>
  <c r="AB41" i="86"/>
  <c r="F41" i="86"/>
  <c r="AA41" i="86"/>
  <c r="Q40" i="86"/>
  <c r="Z40" i="86"/>
  <c r="J40" i="86"/>
  <c r="AC40" i="86"/>
  <c r="H40" i="86"/>
  <c r="AB40" i="86"/>
  <c r="F40" i="86"/>
  <c r="AA40" i="86"/>
  <c r="Q39" i="86"/>
  <c r="Z39" i="86"/>
  <c r="J39" i="86"/>
  <c r="AC39" i="86"/>
  <c r="H39" i="86"/>
  <c r="AB39" i="86"/>
  <c r="F39" i="86"/>
  <c r="AA39" i="86"/>
  <c r="Q38" i="86"/>
  <c r="Z38" i="86"/>
  <c r="J38" i="86"/>
  <c r="AC38" i="86"/>
  <c r="H38" i="86"/>
  <c r="AB38" i="86"/>
  <c r="F38" i="86"/>
  <c r="AA38" i="86"/>
  <c r="Q37" i="86"/>
  <c r="Z37" i="86"/>
  <c r="J37" i="86"/>
  <c r="AC37" i="86"/>
  <c r="H37" i="86"/>
  <c r="AB37" i="86"/>
  <c r="F37" i="86"/>
  <c r="AA37" i="86"/>
  <c r="Q36" i="86"/>
  <c r="Z36" i="86"/>
  <c r="J36" i="86"/>
  <c r="AC36" i="86"/>
  <c r="H36" i="86"/>
  <c r="AB36" i="86"/>
  <c r="F36" i="86"/>
  <c r="AA36" i="86"/>
  <c r="Q35" i="86"/>
  <c r="Z35" i="86"/>
  <c r="J35" i="86"/>
  <c r="AC35" i="86"/>
  <c r="H35" i="86"/>
  <c r="AB35" i="86"/>
  <c r="F35" i="86"/>
  <c r="AA35" i="86"/>
  <c r="Q34" i="86"/>
  <c r="Z34" i="86"/>
  <c r="J34" i="86"/>
  <c r="AC34" i="86"/>
  <c r="H34" i="86"/>
  <c r="AB34" i="86"/>
  <c r="F34" i="86"/>
  <c r="AA34" i="86"/>
  <c r="Q33" i="86"/>
  <c r="Z33" i="86"/>
  <c r="Q32" i="86"/>
  <c r="Z32" i="86"/>
  <c r="J32" i="86"/>
  <c r="AC32" i="86"/>
  <c r="H32" i="86"/>
  <c r="AB32" i="86"/>
  <c r="F32" i="86"/>
  <c r="AA32" i="86"/>
  <c r="Q31" i="86"/>
  <c r="Z31" i="86"/>
  <c r="J31" i="86"/>
  <c r="AC31" i="86"/>
  <c r="H31" i="86"/>
  <c r="AB31" i="86"/>
  <c r="F31" i="86"/>
  <c r="AA31" i="86"/>
  <c r="Q30" i="86"/>
  <c r="Z30" i="86"/>
  <c r="J30" i="86"/>
  <c r="AC30" i="86"/>
  <c r="H30" i="86"/>
  <c r="AB30" i="86"/>
  <c r="F30" i="86"/>
  <c r="AA30" i="86"/>
  <c r="Q29" i="86"/>
  <c r="Z29" i="86"/>
  <c r="J29" i="86"/>
  <c r="AC29" i="86"/>
  <c r="H29" i="86"/>
  <c r="AB29" i="86"/>
  <c r="F29" i="86"/>
  <c r="AA29" i="86"/>
  <c r="Q28" i="86"/>
  <c r="Z28" i="86"/>
  <c r="J28" i="86"/>
  <c r="AC28" i="86"/>
  <c r="H28" i="86"/>
  <c r="AB28" i="86"/>
  <c r="F28" i="86"/>
  <c r="AA28" i="86"/>
  <c r="Q27" i="86"/>
  <c r="Z27" i="86"/>
  <c r="J27" i="86"/>
  <c r="AC27" i="86"/>
  <c r="H27" i="86"/>
  <c r="AB27" i="86"/>
  <c r="F27" i="86"/>
  <c r="AA27" i="86"/>
  <c r="Q26" i="86"/>
  <c r="Z26" i="86"/>
  <c r="J26" i="86"/>
  <c r="AC26" i="86"/>
  <c r="H26" i="86"/>
  <c r="AB26" i="86"/>
  <c r="F26" i="86"/>
  <c r="AA26" i="86"/>
  <c r="Q25" i="86"/>
  <c r="Z25" i="86"/>
  <c r="J25" i="86"/>
  <c r="AC25" i="86"/>
  <c r="H25" i="86"/>
  <c r="AB25" i="86"/>
  <c r="F25" i="86"/>
  <c r="AA25" i="86"/>
  <c r="Q23" i="86"/>
  <c r="Z23" i="86"/>
  <c r="J23" i="86"/>
  <c r="AC23" i="86"/>
  <c r="H23" i="86"/>
  <c r="AB23" i="86"/>
  <c r="F23" i="86"/>
  <c r="AA23" i="86"/>
  <c r="C23" i="86"/>
  <c r="Q21" i="86"/>
  <c r="Z21" i="86"/>
  <c r="J21" i="86"/>
  <c r="AC21" i="86"/>
  <c r="H21" i="86"/>
  <c r="AB21" i="86"/>
  <c r="F21" i="86"/>
  <c r="AA21" i="86"/>
  <c r="C21" i="86"/>
  <c r="Q19" i="86"/>
  <c r="Z19" i="86"/>
  <c r="J19" i="86"/>
  <c r="AC19" i="86"/>
  <c r="H19" i="86"/>
  <c r="AB19" i="86"/>
  <c r="F19" i="86"/>
  <c r="AA19" i="86"/>
  <c r="C19" i="86"/>
  <c r="Q17" i="86"/>
  <c r="Z17" i="86"/>
  <c r="J17" i="86"/>
  <c r="AC17" i="86"/>
  <c r="H17" i="86"/>
  <c r="AB17" i="86"/>
  <c r="F17" i="86"/>
  <c r="AA17" i="86"/>
  <c r="C17" i="86"/>
  <c r="Q15" i="86"/>
  <c r="Z15" i="86"/>
  <c r="J15" i="86"/>
  <c r="AC15" i="86"/>
  <c r="H15" i="86"/>
  <c r="AB15" i="86"/>
  <c r="F15" i="86"/>
  <c r="AA15" i="86"/>
  <c r="C15" i="86"/>
  <c r="Q14" i="86"/>
  <c r="Z14" i="86"/>
  <c r="J14" i="86"/>
  <c r="AC14" i="86"/>
  <c r="H14" i="86"/>
  <c r="AB14" i="86"/>
  <c r="F14" i="86"/>
  <c r="AA14" i="86"/>
  <c r="Q13" i="86"/>
  <c r="Z13" i="86"/>
  <c r="J13" i="86"/>
  <c r="AC13" i="86"/>
  <c r="H13" i="86"/>
  <c r="AB13" i="86"/>
  <c r="F13" i="86"/>
  <c r="AA13" i="86"/>
  <c r="Q12" i="86"/>
  <c r="Z12" i="86"/>
  <c r="J12" i="86"/>
  <c r="AC12" i="86"/>
  <c r="H12" i="86"/>
  <c r="AB12" i="86"/>
  <c r="F12" i="86"/>
  <c r="AA12" i="86"/>
  <c r="Q11" i="86"/>
  <c r="Z11" i="86"/>
  <c r="Q10" i="86"/>
  <c r="Z10" i="86"/>
  <c r="J10" i="86"/>
  <c r="AC10" i="86"/>
  <c r="H10" i="86"/>
  <c r="AB10" i="86"/>
  <c r="F10" i="86"/>
  <c r="AA10" i="86"/>
  <c r="Q9" i="86"/>
  <c r="Z9" i="86"/>
  <c r="J9" i="86"/>
  <c r="AC9" i="86"/>
  <c r="H9" i="86"/>
  <c r="AB9" i="86"/>
  <c r="F9" i="86"/>
  <c r="AA9" i="86"/>
  <c r="J8" i="86"/>
  <c r="W8" i="86"/>
  <c r="F8" i="86"/>
  <c r="S8" i="86"/>
  <c r="AC8" i="86"/>
  <c r="H8" i="86"/>
  <c r="U8" i="86"/>
  <c r="AA8" i="86"/>
  <c r="C7" i="86"/>
  <c r="C58" i="86"/>
  <c r="D58" i="86"/>
  <c r="E58" i="86"/>
  <c r="F58" i="86"/>
  <c r="G58" i="86"/>
  <c r="H58" i="86"/>
  <c r="I58" i="86"/>
  <c r="J58" i="86"/>
  <c r="K58" i="86"/>
  <c r="L58" i="86"/>
  <c r="M58" i="86"/>
  <c r="N58" i="86"/>
  <c r="O58" i="86"/>
  <c r="F21" i="6"/>
  <c r="E21" i="6"/>
  <c r="D3" i="86"/>
  <c r="C145" i="85"/>
  <c r="J142" i="85"/>
  <c r="J140" i="85"/>
  <c r="K139" i="85"/>
  <c r="K145" i="85"/>
  <c r="B130" i="85"/>
  <c r="B128" i="85"/>
  <c r="B126" i="85"/>
  <c r="D125" i="85"/>
  <c r="E125" i="85"/>
  <c r="F125" i="85"/>
  <c r="G125" i="85"/>
  <c r="D123" i="85"/>
  <c r="E123" i="85"/>
  <c r="F123" i="85"/>
  <c r="G123" i="85"/>
  <c r="H123" i="85"/>
  <c r="I123" i="85"/>
  <c r="J123" i="85"/>
  <c r="K123" i="85"/>
  <c r="L123" i="85"/>
  <c r="M123" i="85"/>
  <c r="D119" i="85"/>
  <c r="E119" i="85"/>
  <c r="F119" i="85"/>
  <c r="G119" i="85"/>
  <c r="H119" i="85"/>
  <c r="I119" i="85"/>
  <c r="J119" i="85"/>
  <c r="K119" i="85"/>
  <c r="L119" i="85"/>
  <c r="M119" i="85"/>
  <c r="D117" i="85"/>
  <c r="E117" i="85"/>
  <c r="F117" i="85"/>
  <c r="G117" i="85"/>
  <c r="D115" i="85"/>
  <c r="E115" i="85"/>
  <c r="F115" i="85"/>
  <c r="G115" i="85"/>
  <c r="H115" i="85"/>
  <c r="I115" i="85"/>
  <c r="J115" i="85"/>
  <c r="K115" i="85"/>
  <c r="L115" i="85"/>
  <c r="M115" i="85"/>
  <c r="D113" i="85"/>
  <c r="E113" i="85"/>
  <c r="F113" i="85"/>
  <c r="G113" i="85"/>
  <c r="H113" i="85"/>
  <c r="H111" i="85"/>
  <c r="G111" i="85"/>
  <c r="F111" i="85"/>
  <c r="E111" i="85"/>
  <c r="D111" i="85"/>
  <c r="C111" i="85"/>
  <c r="D110" i="85"/>
  <c r="E110" i="85"/>
  <c r="F110" i="85"/>
  <c r="G110" i="85"/>
  <c r="H110" i="85"/>
  <c r="I110" i="85"/>
  <c r="J110" i="85"/>
  <c r="K110" i="85"/>
  <c r="L110" i="85"/>
  <c r="M110" i="85"/>
  <c r="D108" i="85"/>
  <c r="E108" i="85"/>
  <c r="F108" i="85"/>
  <c r="G108" i="85"/>
  <c r="H108" i="85"/>
  <c r="I108" i="85"/>
  <c r="J108" i="85"/>
  <c r="K108" i="85"/>
  <c r="L108" i="85"/>
  <c r="M108" i="85"/>
  <c r="D106" i="85"/>
  <c r="E106" i="85"/>
  <c r="F106" i="85"/>
  <c r="G106" i="85"/>
  <c r="H106" i="85"/>
  <c r="I106" i="85"/>
  <c r="J106" i="85"/>
  <c r="K106" i="85"/>
  <c r="L106" i="85"/>
  <c r="M106" i="85"/>
  <c r="M102" i="85"/>
  <c r="L102" i="85"/>
  <c r="K102" i="85"/>
  <c r="J102" i="85"/>
  <c r="I102" i="85"/>
  <c r="H102" i="85"/>
  <c r="G102" i="85"/>
  <c r="F102" i="85"/>
  <c r="E102" i="85"/>
  <c r="D102" i="85"/>
  <c r="C102" i="85"/>
  <c r="D101" i="85"/>
  <c r="E101" i="85"/>
  <c r="F101" i="85"/>
  <c r="G101" i="85"/>
  <c r="H101" i="85"/>
  <c r="I101" i="85"/>
  <c r="J101" i="85"/>
  <c r="K101" i="85"/>
  <c r="L101" i="85"/>
  <c r="M101" i="85"/>
  <c r="B98" i="85"/>
  <c r="B96" i="85"/>
  <c r="B94" i="85"/>
  <c r="B92" i="85"/>
  <c r="B90" i="85"/>
  <c r="D89" i="85"/>
  <c r="E89" i="85"/>
  <c r="F89" i="85"/>
  <c r="G89" i="85"/>
  <c r="H89" i="85"/>
  <c r="I89" i="85"/>
  <c r="J89" i="85"/>
  <c r="K89" i="85"/>
  <c r="L89" i="85"/>
  <c r="M89" i="85"/>
  <c r="M87" i="85"/>
  <c r="L87" i="85"/>
  <c r="K87" i="85"/>
  <c r="J87" i="85"/>
  <c r="I87" i="85"/>
  <c r="H87" i="85"/>
  <c r="G87" i="85"/>
  <c r="F87" i="85"/>
  <c r="E87" i="85"/>
  <c r="D87" i="85"/>
  <c r="D85" i="85"/>
  <c r="E85" i="85"/>
  <c r="F85" i="85"/>
  <c r="G85" i="85"/>
  <c r="D83" i="85"/>
  <c r="E83" i="85"/>
  <c r="F83" i="85"/>
  <c r="G83" i="85"/>
  <c r="D81" i="85"/>
  <c r="E81" i="85"/>
  <c r="F81" i="85"/>
  <c r="G81" i="85"/>
  <c r="D79" i="85"/>
  <c r="E79" i="85"/>
  <c r="F79" i="85"/>
  <c r="G79" i="85"/>
  <c r="D77" i="85"/>
  <c r="E77" i="85"/>
  <c r="F77" i="85"/>
  <c r="G77" i="85"/>
  <c r="B74" i="85"/>
  <c r="B72" i="85"/>
  <c r="B70" i="85"/>
  <c r="D69" i="85"/>
  <c r="E69" i="85"/>
  <c r="F69" i="85"/>
  <c r="G69" i="85"/>
  <c r="H69" i="85"/>
  <c r="I69" i="85"/>
  <c r="J69" i="85"/>
  <c r="K69" i="85"/>
  <c r="L69" i="85"/>
  <c r="M69" i="85"/>
  <c r="M67" i="85"/>
  <c r="L67" i="85"/>
  <c r="K67" i="85"/>
  <c r="J67" i="85"/>
  <c r="I67" i="85"/>
  <c r="H67" i="85"/>
  <c r="G67" i="85"/>
  <c r="F67" i="85"/>
  <c r="E67" i="85"/>
  <c r="D67" i="85"/>
  <c r="C67" i="85"/>
  <c r="D66" i="85"/>
  <c r="E66" i="85"/>
  <c r="F66" i="85"/>
  <c r="G66" i="85"/>
  <c r="H66" i="85"/>
  <c r="I66" i="85"/>
  <c r="C63" i="85"/>
  <c r="I54" i="85"/>
  <c r="J54" i="85"/>
  <c r="G54" i="85"/>
  <c r="H54" i="85"/>
  <c r="E54" i="85"/>
  <c r="F54" i="85"/>
  <c r="P49" i="85"/>
  <c r="P48" i="85"/>
  <c r="V47" i="85"/>
  <c r="T47" i="85"/>
  <c r="R47" i="85"/>
  <c r="P47" i="85"/>
  <c r="Q46" i="85"/>
  <c r="Z46" i="85"/>
  <c r="J46" i="85"/>
  <c r="AC46" i="85"/>
  <c r="H46" i="85"/>
  <c r="AB46" i="85"/>
  <c r="F46" i="85"/>
  <c r="AA46" i="85"/>
  <c r="H45" i="85"/>
  <c r="AB45" i="85"/>
  <c r="U45" i="85"/>
  <c r="Q45" i="85"/>
  <c r="Z45" i="85"/>
  <c r="J45" i="85"/>
  <c r="F45" i="85"/>
  <c r="Q44" i="85"/>
  <c r="Z44" i="85"/>
  <c r="J44" i="85"/>
  <c r="AC44" i="85"/>
  <c r="H44" i="85"/>
  <c r="AB44" i="85"/>
  <c r="F44" i="85"/>
  <c r="AA44" i="85"/>
  <c r="Q43" i="85"/>
  <c r="Z43" i="85"/>
  <c r="J43" i="85"/>
  <c r="AC43" i="85"/>
  <c r="H43" i="85"/>
  <c r="AB43" i="85"/>
  <c r="F43" i="85"/>
  <c r="AA43" i="85"/>
  <c r="Q42" i="85"/>
  <c r="Z42" i="85"/>
  <c r="J42" i="85"/>
  <c r="AC42" i="85"/>
  <c r="H42" i="85"/>
  <c r="AB42" i="85"/>
  <c r="F42" i="85"/>
  <c r="AA42" i="85"/>
  <c r="Q41" i="85"/>
  <c r="Z41" i="85"/>
  <c r="J41" i="85"/>
  <c r="AC41" i="85"/>
  <c r="H41" i="85"/>
  <c r="AB41" i="85"/>
  <c r="F41" i="85"/>
  <c r="AA41" i="85"/>
  <c r="Q40" i="85"/>
  <c r="Z40" i="85"/>
  <c r="J40" i="85"/>
  <c r="AC40" i="85"/>
  <c r="H40" i="85"/>
  <c r="AB40" i="85"/>
  <c r="F40" i="85"/>
  <c r="AA40" i="85"/>
  <c r="Q39" i="85"/>
  <c r="Z39" i="85"/>
  <c r="J39" i="85"/>
  <c r="AC39" i="85"/>
  <c r="H39" i="85"/>
  <c r="AB39" i="85"/>
  <c r="F39" i="85"/>
  <c r="AA39" i="85"/>
  <c r="Q38" i="85"/>
  <c r="Z38" i="85"/>
  <c r="J38" i="85"/>
  <c r="AC38" i="85"/>
  <c r="H38" i="85"/>
  <c r="AB38" i="85"/>
  <c r="F38" i="85"/>
  <c r="AA38" i="85"/>
  <c r="Q37" i="85"/>
  <c r="Z37" i="85"/>
  <c r="J37" i="85"/>
  <c r="AC37" i="85"/>
  <c r="H37" i="85"/>
  <c r="AB37" i="85"/>
  <c r="F37" i="85"/>
  <c r="AA37" i="85"/>
  <c r="Q36" i="85"/>
  <c r="Z36" i="85"/>
  <c r="J36" i="85"/>
  <c r="AC36" i="85"/>
  <c r="H36" i="85"/>
  <c r="AB36" i="85"/>
  <c r="F36" i="85"/>
  <c r="AA36" i="85"/>
  <c r="Q35" i="85"/>
  <c r="Z35" i="85"/>
  <c r="J35" i="85"/>
  <c r="AC35" i="85"/>
  <c r="H35" i="85"/>
  <c r="AB35" i="85"/>
  <c r="F35" i="85"/>
  <c r="AA35" i="85"/>
  <c r="Q34" i="85"/>
  <c r="Z34" i="85"/>
  <c r="J34" i="85"/>
  <c r="AC34" i="85"/>
  <c r="H34" i="85"/>
  <c r="AB34" i="85"/>
  <c r="F34" i="85"/>
  <c r="AA34" i="85"/>
  <c r="Q33" i="85"/>
  <c r="Z33" i="85"/>
  <c r="Q32" i="85"/>
  <c r="Z32" i="85"/>
  <c r="J32" i="85"/>
  <c r="AC32" i="85"/>
  <c r="H32" i="85"/>
  <c r="AB32" i="85"/>
  <c r="F32" i="85"/>
  <c r="AA32" i="85"/>
  <c r="Q31" i="85"/>
  <c r="Z31" i="85"/>
  <c r="J31" i="85"/>
  <c r="AC31" i="85"/>
  <c r="H31" i="85"/>
  <c r="AB31" i="85"/>
  <c r="F31" i="85"/>
  <c r="AA31" i="85"/>
  <c r="Q30" i="85"/>
  <c r="Z30" i="85"/>
  <c r="J30" i="85"/>
  <c r="AC30" i="85"/>
  <c r="H30" i="85"/>
  <c r="AB30" i="85"/>
  <c r="F30" i="85"/>
  <c r="AA30" i="85"/>
  <c r="Q29" i="85"/>
  <c r="Z29" i="85"/>
  <c r="J29" i="85"/>
  <c r="AC29" i="85"/>
  <c r="H29" i="85"/>
  <c r="AB29" i="85"/>
  <c r="F29" i="85"/>
  <c r="AA29" i="85"/>
  <c r="Q28" i="85"/>
  <c r="Z28" i="85"/>
  <c r="J28" i="85"/>
  <c r="AC28" i="85"/>
  <c r="H28" i="85"/>
  <c r="AB28" i="85"/>
  <c r="F28" i="85"/>
  <c r="AA28" i="85"/>
  <c r="Q27" i="85"/>
  <c r="Z27" i="85"/>
  <c r="J27" i="85"/>
  <c r="AC27" i="85"/>
  <c r="H27" i="85"/>
  <c r="AB27" i="85"/>
  <c r="F27" i="85"/>
  <c r="AA27" i="85"/>
  <c r="Q26" i="85"/>
  <c r="Z26" i="85"/>
  <c r="J26" i="85"/>
  <c r="AC26" i="85"/>
  <c r="H26" i="85"/>
  <c r="AB26" i="85"/>
  <c r="F26" i="85"/>
  <c r="AA26" i="85"/>
  <c r="Q25" i="85"/>
  <c r="Z25" i="85"/>
  <c r="J25" i="85"/>
  <c r="AC25" i="85"/>
  <c r="H25" i="85"/>
  <c r="AB25" i="85"/>
  <c r="F25" i="85"/>
  <c r="AA25" i="85"/>
  <c r="Q23" i="85"/>
  <c r="Z23" i="85"/>
  <c r="J23" i="85"/>
  <c r="AC23" i="85"/>
  <c r="H23" i="85"/>
  <c r="AB23" i="85"/>
  <c r="F23" i="85"/>
  <c r="AA23" i="85"/>
  <c r="C23" i="85"/>
  <c r="Q21" i="85"/>
  <c r="Z21" i="85"/>
  <c r="J21" i="85"/>
  <c r="AC21" i="85"/>
  <c r="H21" i="85"/>
  <c r="AB21" i="85"/>
  <c r="F21" i="85"/>
  <c r="AA21" i="85"/>
  <c r="C21" i="85"/>
  <c r="Q19" i="85"/>
  <c r="Z19" i="85"/>
  <c r="J19" i="85"/>
  <c r="AC19" i="85"/>
  <c r="H19" i="85"/>
  <c r="AB19" i="85"/>
  <c r="F19" i="85"/>
  <c r="C19" i="85"/>
  <c r="Q17" i="85"/>
  <c r="Z17" i="85"/>
  <c r="J17" i="85"/>
  <c r="AC17" i="85"/>
  <c r="H17" i="85"/>
  <c r="F17" i="85"/>
  <c r="AA17" i="85"/>
  <c r="C17" i="85"/>
  <c r="Q15" i="85"/>
  <c r="Z15" i="85"/>
  <c r="J15" i="85"/>
  <c r="AC15" i="85"/>
  <c r="H15" i="85"/>
  <c r="AB15" i="85"/>
  <c r="F15" i="85"/>
  <c r="AA15" i="85"/>
  <c r="C15" i="85"/>
  <c r="Q14" i="85"/>
  <c r="Z14" i="85"/>
  <c r="J14" i="85"/>
  <c r="AC14" i="85"/>
  <c r="H14" i="85"/>
  <c r="AB14" i="85"/>
  <c r="F14" i="85"/>
  <c r="AA14" i="85"/>
  <c r="Q13" i="85"/>
  <c r="Z13" i="85"/>
  <c r="J13" i="85"/>
  <c r="AC13" i="85"/>
  <c r="H13" i="85"/>
  <c r="AB13" i="85"/>
  <c r="F13" i="85"/>
  <c r="AA13" i="85"/>
  <c r="Q12" i="85"/>
  <c r="Z12" i="85"/>
  <c r="J12" i="85"/>
  <c r="AC12" i="85"/>
  <c r="H12" i="85"/>
  <c r="AB12" i="85"/>
  <c r="F12" i="85"/>
  <c r="AA12" i="85"/>
  <c r="Q11" i="85"/>
  <c r="Z11" i="85"/>
  <c r="Q10" i="85"/>
  <c r="Z10" i="85"/>
  <c r="J10" i="85"/>
  <c r="AC10" i="85"/>
  <c r="H10" i="85"/>
  <c r="AB10" i="85"/>
  <c r="F10" i="85"/>
  <c r="AA10" i="85"/>
  <c r="Q9" i="85"/>
  <c r="Z9" i="85"/>
  <c r="J9" i="85"/>
  <c r="AC9" i="85"/>
  <c r="H9" i="85"/>
  <c r="AB9" i="85"/>
  <c r="F9" i="85"/>
  <c r="AA9" i="85"/>
  <c r="J8" i="85"/>
  <c r="W8" i="85"/>
  <c r="H8" i="85"/>
  <c r="AB8" i="85"/>
  <c r="F8" i="85"/>
  <c r="S8" i="85"/>
  <c r="C7" i="85"/>
  <c r="I7" i="85"/>
  <c r="C58" i="85"/>
  <c r="D58" i="85"/>
  <c r="E58" i="85"/>
  <c r="F58" i="85"/>
  <c r="G58" i="85"/>
  <c r="H58" i="85"/>
  <c r="I58" i="85"/>
  <c r="J58" i="85"/>
  <c r="K58" i="85"/>
  <c r="L58" i="85"/>
  <c r="M58" i="85"/>
  <c r="N58" i="85"/>
  <c r="O58" i="85"/>
  <c r="J7" i="85"/>
  <c r="G7" i="85"/>
  <c r="H7" i="85"/>
  <c r="E7" i="85"/>
  <c r="F7" i="85"/>
  <c r="F19" i="6"/>
  <c r="G19" i="6"/>
  <c r="E19" i="6"/>
  <c r="D3" i="85"/>
  <c r="C7" i="21"/>
  <c r="I7" i="21"/>
  <c r="G7" i="21"/>
  <c r="E7" i="21"/>
  <c r="L8" i="1"/>
  <c r="L7" i="1"/>
  <c r="I46" i="39"/>
  <c r="G46" i="39"/>
  <c r="E46" i="39"/>
  <c r="I38" i="39"/>
  <c r="G38" i="39"/>
  <c r="E38" i="39"/>
  <c r="I5" i="39"/>
  <c r="G5" i="39"/>
  <c r="E5" i="39"/>
  <c r="I7" i="39"/>
  <c r="G7" i="39"/>
  <c r="E7" i="39"/>
  <c r="C35" i="80"/>
  <c r="C34" i="80"/>
  <c r="C32" i="80"/>
  <c r="C29" i="80"/>
  <c r="C24" i="80"/>
  <c r="C23" i="80"/>
  <c r="C22" i="80"/>
  <c r="C21" i="80"/>
  <c r="C20" i="80"/>
  <c r="C19" i="80"/>
  <c r="C12" i="80"/>
  <c r="C11" i="80"/>
  <c r="C5" i="80"/>
  <c r="C41" i="80"/>
  <c r="E41" i="80"/>
  <c r="D2" i="87"/>
  <c r="D2" i="86"/>
  <c r="D2" i="85"/>
  <c r="S8" i="87"/>
  <c r="AB8" i="87"/>
  <c r="S9" i="87"/>
  <c r="W9" i="87"/>
  <c r="U10" i="87"/>
  <c r="S12" i="87"/>
  <c r="W12" i="87"/>
  <c r="U13" i="87"/>
  <c r="S14" i="87"/>
  <c r="W14" i="87"/>
  <c r="S15" i="87"/>
  <c r="W15" i="87"/>
  <c r="S17" i="87"/>
  <c r="E7" i="87"/>
  <c r="F7" i="87"/>
  <c r="G7" i="87"/>
  <c r="H7" i="87"/>
  <c r="I7" i="87"/>
  <c r="J7" i="87"/>
  <c r="U9" i="87"/>
  <c r="S10" i="87"/>
  <c r="W10" i="87"/>
  <c r="U12" i="87"/>
  <c r="S13" i="87"/>
  <c r="W13" i="87"/>
  <c r="U14" i="87"/>
  <c r="U15" i="87"/>
  <c r="AA19" i="87"/>
  <c r="S19" i="87"/>
  <c r="AC19" i="87"/>
  <c r="W19" i="87"/>
  <c r="S21" i="87"/>
  <c r="W21" i="87"/>
  <c r="S23" i="87"/>
  <c r="W23" i="87"/>
  <c r="U25" i="87"/>
  <c r="S26" i="87"/>
  <c r="W26" i="87"/>
  <c r="U27" i="87"/>
  <c r="S28" i="87"/>
  <c r="W28" i="87"/>
  <c r="U29" i="87"/>
  <c r="S30" i="87"/>
  <c r="W30" i="87"/>
  <c r="U31" i="87"/>
  <c r="S32" i="87"/>
  <c r="W32" i="87"/>
  <c r="U34" i="87"/>
  <c r="S35" i="87"/>
  <c r="W35" i="87"/>
  <c r="U36" i="87"/>
  <c r="S37" i="87"/>
  <c r="W37" i="87"/>
  <c r="U38" i="87"/>
  <c r="S39" i="87"/>
  <c r="W39" i="87"/>
  <c r="U40" i="87"/>
  <c r="S41" i="87"/>
  <c r="W41" i="87"/>
  <c r="U42" i="87"/>
  <c r="S43" i="87"/>
  <c r="W43" i="87"/>
  <c r="U44" i="87"/>
  <c r="U17" i="87"/>
  <c r="U19" i="87"/>
  <c r="U21" i="87"/>
  <c r="U23" i="87"/>
  <c r="S25" i="87"/>
  <c r="W25" i="87"/>
  <c r="U26" i="87"/>
  <c r="S27" i="87"/>
  <c r="W27" i="87"/>
  <c r="U28" i="87"/>
  <c r="S29" i="87"/>
  <c r="W29" i="87"/>
  <c r="U30" i="87"/>
  <c r="S31" i="87"/>
  <c r="W31" i="87"/>
  <c r="U32" i="87"/>
  <c r="S34" i="87"/>
  <c r="W34" i="87"/>
  <c r="U35" i="87"/>
  <c r="S36" i="87"/>
  <c r="W36" i="87"/>
  <c r="U37" i="87"/>
  <c r="S38" i="87"/>
  <c r="W38" i="87"/>
  <c r="U39" i="87"/>
  <c r="S40" i="87"/>
  <c r="W40" i="87"/>
  <c r="U41" i="87"/>
  <c r="S42" i="87"/>
  <c r="W42" i="87"/>
  <c r="U43" i="87"/>
  <c r="S44" i="87"/>
  <c r="W44" i="87"/>
  <c r="U45" i="87"/>
  <c r="S46" i="87"/>
  <c r="W46" i="87"/>
  <c r="K141" i="87"/>
  <c r="S45" i="87"/>
  <c r="W45" i="87"/>
  <c r="U46" i="87"/>
  <c r="K144" i="87"/>
  <c r="AB8" i="86"/>
  <c r="S9" i="86"/>
  <c r="W9" i="86"/>
  <c r="U10" i="86"/>
  <c r="S12" i="86"/>
  <c r="W12" i="86"/>
  <c r="U13" i="86"/>
  <c r="S14" i="86"/>
  <c r="W14" i="86"/>
  <c r="S15" i="86"/>
  <c r="W15" i="86"/>
  <c r="S17" i="86"/>
  <c r="W17" i="86"/>
  <c r="S19" i="86"/>
  <c r="E7" i="86"/>
  <c r="F7" i="86"/>
  <c r="G7" i="86"/>
  <c r="H7" i="86"/>
  <c r="I7" i="86"/>
  <c r="J7" i="86"/>
  <c r="U9" i="86"/>
  <c r="S10" i="86"/>
  <c r="W10" i="86"/>
  <c r="U12" i="86"/>
  <c r="S13" i="86"/>
  <c r="W13" i="86"/>
  <c r="U14" i="86"/>
  <c r="U15" i="86"/>
  <c r="U17" i="86"/>
  <c r="W19" i="86"/>
  <c r="S21" i="86"/>
  <c r="W21" i="86"/>
  <c r="S23" i="86"/>
  <c r="W23" i="86"/>
  <c r="U25" i="86"/>
  <c r="S26" i="86"/>
  <c r="W26" i="86"/>
  <c r="U27" i="86"/>
  <c r="S28" i="86"/>
  <c r="W28" i="86"/>
  <c r="U29" i="86"/>
  <c r="S30" i="86"/>
  <c r="W30" i="86"/>
  <c r="U31" i="86"/>
  <c r="S32" i="86"/>
  <c r="W32" i="86"/>
  <c r="U34" i="86"/>
  <c r="S35" i="86"/>
  <c r="W35" i="86"/>
  <c r="U36" i="86"/>
  <c r="S37" i="86"/>
  <c r="W37" i="86"/>
  <c r="U38" i="86"/>
  <c r="S39" i="86"/>
  <c r="W39" i="86"/>
  <c r="U40" i="86"/>
  <c r="S41" i="86"/>
  <c r="W41" i="86"/>
  <c r="U42" i="86"/>
  <c r="S43" i="86"/>
  <c r="W43" i="86"/>
  <c r="U44" i="86"/>
  <c r="AC45" i="86"/>
  <c r="W45" i="86"/>
  <c r="S45" i="86"/>
  <c r="U19" i="86"/>
  <c r="U21" i="86"/>
  <c r="U23" i="86"/>
  <c r="S25" i="86"/>
  <c r="W25" i="86"/>
  <c r="U26" i="86"/>
  <c r="S27" i="86"/>
  <c r="W27" i="86"/>
  <c r="U28" i="86"/>
  <c r="S29" i="86"/>
  <c r="W29" i="86"/>
  <c r="U30" i="86"/>
  <c r="S31" i="86"/>
  <c r="W31" i="86"/>
  <c r="U32" i="86"/>
  <c r="S34" i="86"/>
  <c r="W34" i="86"/>
  <c r="U35" i="86"/>
  <c r="S36" i="86"/>
  <c r="W36" i="86"/>
  <c r="U37" i="86"/>
  <c r="S38" i="86"/>
  <c r="W38" i="86"/>
  <c r="U39" i="86"/>
  <c r="S40" i="86"/>
  <c r="W40" i="86"/>
  <c r="U41" i="86"/>
  <c r="S42" i="86"/>
  <c r="W42" i="86"/>
  <c r="U43" i="86"/>
  <c r="S44" i="86"/>
  <c r="W44" i="86"/>
  <c r="U45" i="86"/>
  <c r="S46" i="86"/>
  <c r="W46" i="86"/>
  <c r="K141" i="86"/>
  <c r="U46" i="86"/>
  <c r="K144" i="86"/>
  <c r="U7" i="85"/>
  <c r="AB7" i="85"/>
  <c r="AA7" i="85"/>
  <c r="S7" i="85"/>
  <c r="AC7" i="85"/>
  <c r="W7" i="85"/>
  <c r="U8" i="85"/>
  <c r="AA8" i="85"/>
  <c r="AC8" i="85"/>
  <c r="U9" i="85"/>
  <c r="S10" i="85"/>
  <c r="W10" i="85"/>
  <c r="U12" i="85"/>
  <c r="S13" i="85"/>
  <c r="W13" i="85"/>
  <c r="U14" i="85"/>
  <c r="U15" i="85"/>
  <c r="AB17" i="85"/>
  <c r="U17" i="85"/>
  <c r="W17" i="85"/>
  <c r="AA19" i="85"/>
  <c r="S19" i="85"/>
  <c r="S9" i="85"/>
  <c r="W9" i="85"/>
  <c r="U10" i="85"/>
  <c r="S12" i="85"/>
  <c r="W12" i="85"/>
  <c r="U13" i="85"/>
  <c r="S14" i="85"/>
  <c r="W14" i="85"/>
  <c r="S15" i="85"/>
  <c r="W15" i="85"/>
  <c r="S17" i="85"/>
  <c r="U19" i="85"/>
  <c r="U21" i="85"/>
  <c r="U23" i="85"/>
  <c r="S25" i="85"/>
  <c r="W25" i="85"/>
  <c r="U26" i="85"/>
  <c r="S27" i="85"/>
  <c r="W27" i="85"/>
  <c r="U28" i="85"/>
  <c r="S29" i="85"/>
  <c r="W29" i="85"/>
  <c r="U30" i="85"/>
  <c r="S31" i="85"/>
  <c r="W31" i="85"/>
  <c r="U32" i="85"/>
  <c r="S34" i="85"/>
  <c r="W34" i="85"/>
  <c r="U35" i="85"/>
  <c r="S36" i="85"/>
  <c r="W36" i="85"/>
  <c r="U37" i="85"/>
  <c r="S38" i="85"/>
  <c r="W38" i="85"/>
  <c r="U39" i="85"/>
  <c r="S40" i="85"/>
  <c r="W40" i="85"/>
  <c r="U41" i="85"/>
  <c r="S42" i="85"/>
  <c r="W42" i="85"/>
  <c r="U43" i="85"/>
  <c r="S44" i="85"/>
  <c r="W44" i="85"/>
  <c r="W19" i="85"/>
  <c r="S21" i="85"/>
  <c r="W21" i="85"/>
  <c r="S23" i="85"/>
  <c r="W23" i="85"/>
  <c r="U25" i="85"/>
  <c r="S26" i="85"/>
  <c r="W26" i="85"/>
  <c r="U27" i="85"/>
  <c r="S28" i="85"/>
  <c r="W28" i="85"/>
  <c r="U29" i="85"/>
  <c r="S30" i="85"/>
  <c r="W30" i="85"/>
  <c r="U31" i="85"/>
  <c r="S32" i="85"/>
  <c r="W32" i="85"/>
  <c r="U34" i="85"/>
  <c r="S35" i="85"/>
  <c r="W35" i="85"/>
  <c r="U36" i="85"/>
  <c r="S37" i="85"/>
  <c r="W37" i="85"/>
  <c r="U38" i="85"/>
  <c r="S39" i="85"/>
  <c r="W39" i="85"/>
  <c r="U40" i="85"/>
  <c r="S41" i="85"/>
  <c r="W41" i="85"/>
  <c r="U42" i="85"/>
  <c r="S43" i="85"/>
  <c r="W43" i="85"/>
  <c r="U44" i="85"/>
  <c r="AA45" i="85"/>
  <c r="S45" i="85"/>
  <c r="AC45" i="85"/>
  <c r="W45" i="85"/>
  <c r="S46" i="85"/>
  <c r="W46" i="85"/>
  <c r="K141" i="85"/>
  <c r="K143" i="85"/>
  <c r="U46" i="85"/>
  <c r="K144" i="85"/>
  <c r="N10" i="1"/>
  <c r="N9" i="1"/>
  <c r="D15" i="4"/>
  <c r="C10" i="39"/>
  <c r="C38" i="39"/>
  <c r="AB7" i="87"/>
  <c r="U7" i="87"/>
  <c r="W7" i="87"/>
  <c r="AC7" i="87"/>
  <c r="S7" i="87"/>
  <c r="AA7" i="87"/>
  <c r="W7" i="86"/>
  <c r="AC7" i="86"/>
  <c r="S7" i="86"/>
  <c r="AA7" i="86"/>
  <c r="AB7" i="86"/>
  <c r="U7" i="86"/>
  <c r="G23" i="6"/>
  <c r="F20" i="6"/>
  <c r="C19" i="3"/>
  <c r="C20" i="3"/>
  <c r="L3" i="77"/>
  <c r="L4" i="77"/>
  <c r="L5" i="77"/>
  <c r="L6" i="77"/>
  <c r="L25" i="77"/>
  <c r="L26" i="77"/>
  <c r="L27" i="77"/>
  <c r="L28" i="77"/>
  <c r="L47" i="77"/>
  <c r="L48" i="77"/>
  <c r="L49" i="77"/>
  <c r="L50" i="77"/>
  <c r="L69" i="77"/>
  <c r="L70" i="77"/>
  <c r="L71" i="77"/>
  <c r="L72" i="77"/>
  <c r="L91" i="77"/>
  <c r="L92" i="77"/>
  <c r="L93" i="77"/>
  <c r="L94" i="77"/>
  <c r="L113" i="77"/>
  <c r="L114" i="77"/>
  <c r="L115" i="77"/>
  <c r="L116" i="77"/>
  <c r="L135" i="77"/>
  <c r="L136" i="77"/>
  <c r="L137" i="77"/>
  <c r="L138" i="77"/>
  <c r="L157" i="77"/>
  <c r="L158" i="77"/>
  <c r="L159" i="77"/>
  <c r="L160" i="77"/>
  <c r="L179" i="77"/>
  <c r="L180" i="77"/>
  <c r="L181" i="77"/>
  <c r="L182" i="77"/>
  <c r="L201" i="77"/>
  <c r="L202" i="77"/>
  <c r="L223" i="77"/>
  <c r="L224" i="77"/>
  <c r="L245" i="77"/>
  <c r="L246" i="77"/>
  <c r="L247" i="77"/>
  <c r="L248" i="77"/>
  <c r="L263" i="77"/>
  <c r="L264" i="77"/>
  <c r="L265" i="77"/>
  <c r="L266" i="77"/>
  <c r="L285" i="77"/>
  <c r="L286" i="77"/>
  <c r="L287" i="77"/>
  <c r="L288" i="77"/>
  <c r="L307" i="77"/>
  <c r="L308" i="77"/>
  <c r="L309" i="77"/>
  <c r="L310" i="77"/>
  <c r="L329" i="77"/>
  <c r="L330" i="77"/>
  <c r="L331" i="77"/>
  <c r="L332" i="77"/>
  <c r="L343" i="77"/>
  <c r="L344" i="77"/>
  <c r="L345" i="77"/>
  <c r="L346" i="77"/>
  <c r="L365" i="77"/>
  <c r="L366" i="77"/>
  <c r="L367" i="77"/>
  <c r="L368" i="77"/>
  <c r="L387" i="77"/>
  <c r="L388" i="77"/>
  <c r="L389" i="77"/>
  <c r="L390" i="77"/>
  <c r="L409" i="77"/>
  <c r="L410" i="77"/>
  <c r="L411" i="77"/>
  <c r="L412" i="77"/>
  <c r="L431" i="77"/>
  <c r="L432" i="77"/>
  <c r="L433" i="77"/>
  <c r="L434" i="77"/>
  <c r="L445" i="77"/>
  <c r="L446" i="77"/>
  <c r="L447" i="77"/>
  <c r="L448" i="77"/>
  <c r="L459" i="77"/>
  <c r="L460" i="77"/>
  <c r="L461" i="77"/>
  <c r="L462" i="77"/>
  <c r="L475" i="77"/>
  <c r="L476" i="77"/>
  <c r="L477" i="77"/>
  <c r="L478" i="77"/>
  <c r="L491" i="77"/>
  <c r="L492" i="77"/>
  <c r="L493" i="77"/>
  <c r="L494" i="77"/>
  <c r="L509" i="77"/>
  <c r="L510" i="77"/>
  <c r="L511" i="77"/>
  <c r="L512" i="77"/>
  <c r="L531" i="77"/>
  <c r="L532" i="77"/>
  <c r="L533" i="77"/>
  <c r="L534" i="77"/>
  <c r="L543" i="77"/>
  <c r="L544" i="77"/>
  <c r="L545" i="77"/>
  <c r="L546" i="77"/>
  <c r="L555" i="77"/>
  <c r="L556" i="77"/>
  <c r="L557" i="77"/>
  <c r="L558" i="77"/>
  <c r="L569" i="77"/>
  <c r="L570" i="77"/>
  <c r="L571" i="77"/>
  <c r="L572" i="77"/>
  <c r="L583" i="77"/>
  <c r="L584" i="77"/>
  <c r="L585" i="77"/>
  <c r="L586" i="77"/>
  <c r="L605" i="77"/>
  <c r="L606" i="77"/>
  <c r="L607" i="77"/>
  <c r="L608" i="77"/>
  <c r="L617" i="77"/>
  <c r="L618" i="77"/>
  <c r="L619" i="77"/>
  <c r="L620" i="77"/>
  <c r="L629" i="77"/>
  <c r="L630" i="77"/>
  <c r="L631" i="77"/>
  <c r="L632" i="77"/>
  <c r="L641" i="77"/>
  <c r="L642" i="77"/>
  <c r="L643" i="77"/>
  <c r="L644" i="77"/>
  <c r="L653" i="77"/>
  <c r="L654" i="77"/>
  <c r="L655" i="77"/>
  <c r="L656" i="77"/>
  <c r="L675" i="77"/>
  <c r="L676" i="77"/>
  <c r="L677" i="77"/>
  <c r="L678" i="77"/>
  <c r="L697" i="77"/>
  <c r="L698" i="77"/>
  <c r="L699" i="77"/>
  <c r="L700" i="77"/>
  <c r="L701" i="77"/>
  <c r="L702" i="77"/>
  <c r="L703" i="77"/>
  <c r="L704" i="77"/>
  <c r="L705" i="77"/>
  <c r="L706" i="77"/>
  <c r="L707" i="77"/>
  <c r="L708" i="77"/>
  <c r="L709" i="77"/>
  <c r="L710" i="77"/>
  <c r="L711" i="77"/>
  <c r="L712" i="77"/>
  <c r="L713" i="77"/>
  <c r="L714" i="77"/>
  <c r="L715" i="77"/>
  <c r="L716" i="77"/>
  <c r="L717" i="77"/>
  <c r="L718" i="77"/>
  <c r="L719" i="77"/>
  <c r="L720" i="77"/>
  <c r="L721" i="77"/>
  <c r="L722" i="77"/>
  <c r="L723" i="77"/>
  <c r="L724" i="77"/>
  <c r="L725" i="77"/>
  <c r="L726" i="77"/>
  <c r="L727" i="77"/>
  <c r="L728" i="77"/>
  <c r="L729" i="77"/>
  <c r="L730" i="77"/>
  <c r="L731" i="77"/>
  <c r="L732" i="77"/>
  <c r="L733" i="77"/>
  <c r="L734" i="77"/>
  <c r="L735" i="77"/>
  <c r="L736" i="77"/>
  <c r="L737" i="77"/>
  <c r="L738" i="77"/>
  <c r="L739" i="77"/>
  <c r="L740" i="77"/>
  <c r="L741" i="77"/>
  <c r="L742" i="77"/>
  <c r="L743" i="77"/>
  <c r="L744" i="77"/>
  <c r="L745" i="77"/>
  <c r="L746" i="77"/>
  <c r="L747" i="77"/>
  <c r="L748" i="77"/>
  <c r="L749" i="77"/>
  <c r="L750" i="77"/>
  <c r="L751" i="77"/>
  <c r="L752" i="77"/>
  <c r="L753" i="77"/>
  <c r="L754" i="77"/>
  <c r="L755" i="77"/>
  <c r="L756" i="77"/>
  <c r="L757" i="77"/>
  <c r="L758" i="77"/>
  <c r="L759" i="77"/>
  <c r="K759" i="77"/>
  <c r="J697" i="77"/>
  <c r="J698" i="77"/>
  <c r="J699" i="77"/>
  <c r="J700" i="77"/>
  <c r="J701" i="77"/>
  <c r="J702" i="77"/>
  <c r="J703" i="77"/>
  <c r="J704" i="77"/>
  <c r="J705" i="77"/>
  <c r="J706" i="77"/>
  <c r="J707" i="77"/>
  <c r="J708" i="77"/>
  <c r="J709" i="77"/>
  <c r="J710" i="77"/>
  <c r="J711" i="77"/>
  <c r="J712" i="77"/>
  <c r="J713" i="77"/>
  <c r="J714" i="77"/>
  <c r="J715" i="77"/>
  <c r="J716" i="77"/>
  <c r="J717" i="77"/>
  <c r="J718" i="77"/>
  <c r="J719" i="77"/>
  <c r="J720" i="77"/>
  <c r="J721" i="77"/>
  <c r="J722" i="77"/>
  <c r="J723" i="77"/>
  <c r="J724" i="77"/>
  <c r="J725" i="77"/>
  <c r="J726" i="77"/>
  <c r="J727" i="77"/>
  <c r="J728" i="77"/>
  <c r="J729" i="77"/>
  <c r="J730" i="77"/>
  <c r="J731" i="77"/>
  <c r="J732" i="77"/>
  <c r="J733" i="77"/>
  <c r="J734" i="77"/>
  <c r="J735" i="77"/>
  <c r="J736" i="77"/>
  <c r="J737" i="77"/>
  <c r="J738" i="77"/>
  <c r="J739" i="77"/>
  <c r="J740" i="77"/>
  <c r="J741" i="77"/>
  <c r="J742" i="77"/>
  <c r="J743" i="77"/>
  <c r="J744" i="77"/>
  <c r="J745" i="77"/>
  <c r="J746" i="77"/>
  <c r="J747" i="77"/>
  <c r="J748" i="77"/>
  <c r="J749" i="77"/>
  <c r="J750" i="77"/>
  <c r="J751" i="77"/>
  <c r="J752" i="77"/>
  <c r="J753" i="77"/>
  <c r="J754" i="77"/>
  <c r="J755" i="77"/>
  <c r="J756" i="77"/>
  <c r="J757" i="77"/>
  <c r="J758" i="77"/>
  <c r="J759" i="77"/>
  <c r="M3" i="77"/>
  <c r="M69" i="77"/>
  <c r="M113" i="77"/>
  <c r="M201" i="77"/>
  <c r="M245" i="77"/>
  <c r="M285" i="77"/>
  <c r="M307" i="77"/>
  <c r="M343" i="77"/>
  <c r="M387" i="77"/>
  <c r="M431" i="77"/>
  <c r="M459" i="77"/>
  <c r="M491" i="77"/>
  <c r="M531" i="77"/>
  <c r="M555" i="77"/>
  <c r="M583" i="77"/>
  <c r="M605" i="77"/>
  <c r="M629" i="77"/>
  <c r="M653" i="77"/>
  <c r="M759" i="77"/>
  <c r="N759" i="77"/>
  <c r="C18" i="3"/>
  <c r="C17" i="3"/>
  <c r="I696" i="77"/>
  <c r="I695" i="77"/>
  <c r="I678" i="77"/>
  <c r="I677" i="77"/>
  <c r="I676" i="77"/>
  <c r="I675" i="77"/>
  <c r="I674" i="77"/>
  <c r="I673" i="77"/>
  <c r="I656" i="77"/>
  <c r="I655" i="77"/>
  <c r="I654" i="77"/>
  <c r="I653" i="77"/>
  <c r="I759" i="77"/>
  <c r="E34" i="6"/>
  <c r="N14" i="1"/>
  <c r="N8" i="1"/>
  <c r="N7" i="1"/>
  <c r="L3" i="71"/>
  <c r="K3" i="71"/>
  <c r="J3" i="71"/>
  <c r="I3" i="71"/>
  <c r="AH5" i="71"/>
  <c r="AG5" i="71"/>
  <c r="AE5" i="71"/>
  <c r="AF5" i="71"/>
  <c r="AD5" i="71"/>
  <c r="Q5" i="71"/>
  <c r="Q6" i="71"/>
  <c r="P5" i="71"/>
  <c r="P6" i="71"/>
  <c r="O5" i="71"/>
  <c r="O6" i="71"/>
  <c r="N5" i="71"/>
  <c r="N6" i="71"/>
  <c r="N7" i="71"/>
  <c r="AH6" i="71"/>
  <c r="AG6" i="71"/>
  <c r="AE6" i="71"/>
  <c r="AF6" i="71"/>
  <c r="AD6" i="71"/>
  <c r="Q7" i="71"/>
  <c r="P7" i="71"/>
  <c r="O7" i="71"/>
  <c r="P8" i="71"/>
  <c r="E8" i="71"/>
  <c r="E7" i="71"/>
  <c r="E6" i="71"/>
  <c r="E5" i="71"/>
  <c r="M19" i="43"/>
  <c r="D9" i="71"/>
  <c r="AH7" i="71"/>
  <c r="AG7" i="71"/>
  <c r="AE7" i="71"/>
  <c r="AF7" i="71"/>
  <c r="AD7" i="71"/>
  <c r="AD8" i="71"/>
  <c r="AG8" i="71"/>
  <c r="AH8" i="71"/>
  <c r="AE8" i="71"/>
  <c r="AF8" i="71"/>
  <c r="N8" i="71"/>
  <c r="Q8" i="71"/>
  <c r="O8" i="71"/>
  <c r="C8" i="71"/>
  <c r="C7" i="71"/>
  <c r="Q9" i="71"/>
  <c r="F8" i="71"/>
  <c r="F7" i="71"/>
  <c r="F6" i="71"/>
  <c r="F5" i="71"/>
  <c r="P9" i="71"/>
  <c r="O9" i="71"/>
  <c r="N9" i="71"/>
  <c r="B8" i="71"/>
  <c r="B7" i="71"/>
  <c r="B6" i="71"/>
  <c r="B5" i="71"/>
  <c r="V8" i="71"/>
  <c r="A2" i="53"/>
  <c r="K59" i="67"/>
  <c r="P61" i="67"/>
  <c r="K59" i="15"/>
  <c r="P74"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10" i="71"/>
  <c r="P10" i="71"/>
  <c r="O10" i="71"/>
  <c r="N10" i="71"/>
  <c r="D5" i="43"/>
  <c r="A15" i="5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D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AB23" i="71"/>
  <c r="P23" i="71"/>
  <c r="AA23" i="71"/>
  <c r="O23" i="71"/>
  <c r="Y23" i="71"/>
  <c r="Z23" i="71"/>
  <c r="N23" i="71"/>
  <c r="X23" i="71"/>
  <c r="Q22" i="71"/>
  <c r="AB22" i="71"/>
  <c r="P22" i="71"/>
  <c r="O22" i="71"/>
  <c r="Y22" i="71"/>
  <c r="Z22" i="71"/>
  <c r="N22" i="71"/>
  <c r="Q21" i="71"/>
  <c r="F22" i="71"/>
  <c r="F23" i="71"/>
  <c r="F24" i="71"/>
  <c r="V24" i="71"/>
  <c r="P21" i="71"/>
  <c r="O21" i="71"/>
  <c r="N21" i="71"/>
  <c r="B22" i="71"/>
  <c r="B23" i="71"/>
  <c r="B24" i="71"/>
  <c r="S24" i="71"/>
  <c r="D21" i="71"/>
  <c r="Q20" i="71"/>
  <c r="AB20" i="71"/>
  <c r="P20" i="71"/>
  <c r="P19" i="71"/>
  <c r="AA19" i="71"/>
  <c r="O20" i="71"/>
  <c r="Y20" i="71"/>
  <c r="Z20" i="71"/>
  <c r="N20" i="71"/>
  <c r="Q19" i="71"/>
  <c r="AB19" i="71"/>
  <c r="O19" i="71"/>
  <c r="Y19" i="71"/>
  <c r="Z19" i="71"/>
  <c r="N19" i="71"/>
  <c r="Q18" i="71"/>
  <c r="AB18" i="71"/>
  <c r="P18" i="71"/>
  <c r="AA18" i="71"/>
  <c r="O18" i="71"/>
  <c r="Y18" i="71"/>
  <c r="Z18" i="71"/>
  <c r="N18" i="71"/>
  <c r="Q17" i="71"/>
  <c r="F18" i="71"/>
  <c r="F19" i="71"/>
  <c r="F20" i="71"/>
  <c r="V20" i="71"/>
  <c r="P17" i="71"/>
  <c r="O17" i="71"/>
  <c r="N17" i="71"/>
  <c r="D17" i="71"/>
  <c r="Q16" i="71"/>
  <c r="AB16" i="71"/>
  <c r="P16" i="71"/>
  <c r="O16" i="71"/>
  <c r="Y16" i="71"/>
  <c r="Z16" i="71"/>
  <c r="N16" i="71"/>
  <c r="N15" i="71"/>
  <c r="X15" i="71"/>
  <c r="Q15" i="71"/>
  <c r="AB15" i="71"/>
  <c r="P15" i="71"/>
  <c r="O15" i="71"/>
  <c r="Y15" i="71"/>
  <c r="Z15" i="71"/>
  <c r="Q14" i="71"/>
  <c r="AB14" i="71"/>
  <c r="P14" i="71"/>
  <c r="O14" i="71"/>
  <c r="Y14" i="71"/>
  <c r="Z14" i="71"/>
  <c r="N14" i="71"/>
  <c r="X14" i="71"/>
  <c r="Q13" i="71"/>
  <c r="F14" i="71"/>
  <c r="F15" i="71"/>
  <c r="F16" i="71"/>
  <c r="V16" i="71"/>
  <c r="P13" i="71"/>
  <c r="E14" i="71"/>
  <c r="E15" i="71"/>
  <c r="E16" i="71"/>
  <c r="U16" i="71"/>
  <c r="O13" i="71"/>
  <c r="N13" i="71"/>
  <c r="N12" i="71"/>
  <c r="X9" i="71"/>
  <c r="D13" i="71"/>
  <c r="O12" i="71"/>
  <c r="C12" i="71"/>
  <c r="C11" i="71"/>
  <c r="B14" i="71"/>
  <c r="B15" i="71"/>
  <c r="B16" i="71"/>
  <c r="S16" i="71"/>
  <c r="X13" i="71"/>
  <c r="B18" i="71"/>
  <c r="B19" i="71"/>
  <c r="B20" i="71"/>
  <c r="S20" i="71"/>
  <c r="X17" i="71"/>
  <c r="E22" i="71"/>
  <c r="E23" i="71"/>
  <c r="E24" i="71"/>
  <c r="U24" i="71"/>
  <c r="AA21" i="71"/>
  <c r="N52" i="71"/>
  <c r="E18" i="71"/>
  <c r="E19" i="71"/>
  <c r="E20" i="71"/>
  <c r="U20" i="71"/>
  <c r="AA17" i="71"/>
  <c r="C14" i="71"/>
  <c r="Y13" i="71"/>
  <c r="Z13" i="71"/>
  <c r="AB13" i="71"/>
  <c r="AA14" i="71"/>
  <c r="AA15" i="71"/>
  <c r="AA16" i="71"/>
  <c r="C18" i="71"/>
  <c r="C19" i="71"/>
  <c r="X18" i="71"/>
  <c r="X19" i="71"/>
  <c r="X20" i="71"/>
  <c r="C22" i="71"/>
  <c r="C23" i="71"/>
  <c r="Y21" i="71"/>
  <c r="Z21" i="71"/>
  <c r="AB21" i="71"/>
  <c r="X22" i="71"/>
  <c r="AA22" i="71"/>
  <c r="F35" i="71"/>
  <c r="F36" i="71"/>
  <c r="V36" i="71"/>
  <c r="Y3" i="71"/>
  <c r="Z3" i="71"/>
  <c r="Y9" i="71"/>
  <c r="Z9" i="71"/>
  <c r="Y10" i="71"/>
  <c r="Z10" i="71"/>
  <c r="Y11" i="71"/>
  <c r="Z11" i="71"/>
  <c r="Y12" i="71"/>
  <c r="Z12" i="71"/>
  <c r="B12" i="71"/>
  <c r="B11" i="71"/>
  <c r="B10" i="71"/>
  <c r="X10" i="71"/>
  <c r="X3" i="71"/>
  <c r="C15" i="71"/>
  <c r="D14" i="71"/>
  <c r="D18" i="71"/>
  <c r="D22" i="71"/>
  <c r="C27" i="71"/>
  <c r="D26" i="71"/>
  <c r="C31" i="71"/>
  <c r="D31" i="71"/>
  <c r="D30" i="71"/>
  <c r="C35" i="71"/>
  <c r="D34" i="71"/>
  <c r="P12" i="71"/>
  <c r="E12" i="71"/>
  <c r="E39" i="71"/>
  <c r="E40" i="71"/>
  <c r="U40" i="71"/>
  <c r="E43" i="71"/>
  <c r="E44" i="71"/>
  <c r="U44" i="71"/>
  <c r="E47" i="71"/>
  <c r="E48" i="71"/>
  <c r="U48" i="71"/>
  <c r="U52" i="71"/>
  <c r="E51" i="71"/>
  <c r="Q12" i="71"/>
  <c r="C39" i="71"/>
  <c r="C43" i="71"/>
  <c r="D42" i="71"/>
  <c r="C47" i="71"/>
  <c r="D46" i="71"/>
  <c r="N51" i="71"/>
  <c r="B50" i="71"/>
  <c r="T52" i="71"/>
  <c r="O52" i="71"/>
  <c r="D52" i="71"/>
  <c r="C51" i="71"/>
  <c r="Q52" i="71"/>
  <c r="C55" i="71"/>
  <c r="E55" i="71"/>
  <c r="E54" i="71"/>
  <c r="D56" i="71"/>
  <c r="C59" i="71"/>
  <c r="E59" i="71"/>
  <c r="E58" i="71"/>
  <c r="D60" i="71"/>
  <c r="C63" i="71"/>
  <c r="E63" i="71"/>
  <c r="E62" i="71"/>
  <c r="D64" i="71"/>
  <c r="C67" i="71"/>
  <c r="C71" i="71"/>
  <c r="T12" i="71"/>
  <c r="S12" i="71"/>
  <c r="F12" i="71"/>
  <c r="F11" i="71"/>
  <c r="F10" i="71"/>
  <c r="AB3" i="71"/>
  <c r="AB9" i="71"/>
  <c r="AB10" i="71"/>
  <c r="AB11" i="71"/>
  <c r="AB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10" i="1"/>
  <c r="AP11" i="1"/>
  <c r="AP12" i="1"/>
  <c r="AP13" i="1"/>
  <c r="L21" i="6"/>
  <c r="L22" i="6"/>
  <c r="L23" i="6"/>
  <c r="L24" i="6"/>
  <c r="L25" i="6"/>
  <c r="L26" i="6"/>
  <c r="P27" i="6"/>
  <c r="A7" i="70"/>
  <c r="A8" i="70"/>
  <c r="E8" i="70"/>
  <c r="A9" i="70"/>
  <c r="E9" i="70"/>
  <c r="A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C21" i="37"/>
  <c r="Q21" i="34"/>
  <c r="Z21" i="34"/>
  <c r="D84" i="34"/>
  <c r="E84" i="34"/>
  <c r="F84" i="34"/>
  <c r="G84" i="34"/>
  <c r="F21" i="34"/>
  <c r="AA21" i="34"/>
  <c r="C21" i="34"/>
  <c r="Q21" i="33"/>
  <c r="Z21" i="33"/>
  <c r="D83" i="33"/>
  <c r="E83" i="33"/>
  <c r="C21" i="33"/>
  <c r="C21" i="21"/>
  <c r="Q21" i="21"/>
  <c r="Z21" i="21"/>
  <c r="D83" i="21"/>
  <c r="F21" i="21"/>
  <c r="AA21" i="21"/>
  <c r="D81" i="21"/>
  <c r="G20" i="20"/>
  <c r="B86" i="43"/>
  <c r="C22" i="20"/>
  <c r="B75" i="43"/>
  <c r="B55" i="43"/>
  <c r="S25" i="40"/>
  <c r="S29" i="39"/>
  <c r="S18" i="36"/>
  <c r="U18" i="36"/>
  <c r="S21" i="34"/>
  <c r="H25" i="40"/>
  <c r="J25" i="40"/>
  <c r="H29" i="39"/>
  <c r="U29" i="39"/>
  <c r="J29" i="39"/>
  <c r="AC29" i="39"/>
  <c r="J18" i="36"/>
  <c r="AC18" i="36"/>
  <c r="H18" i="35"/>
  <c r="AB18" i="35"/>
  <c r="S18" i="35"/>
  <c r="J18" i="35"/>
  <c r="F77" i="37"/>
  <c r="G77" i="37"/>
  <c r="H21" i="37"/>
  <c r="F21" i="37"/>
  <c r="AA21" i="37"/>
  <c r="H21" i="34"/>
  <c r="AB21" i="34"/>
  <c r="F83" i="33"/>
  <c r="H21" i="33"/>
  <c r="U21" i="33"/>
  <c r="F21" i="33"/>
  <c r="E83" i="21"/>
  <c r="F83" i="21"/>
  <c r="G83" i="21"/>
  <c r="H1" i="69"/>
  <c r="AC25" i="40"/>
  <c r="W25" i="40"/>
  <c r="AB25" i="40"/>
  <c r="U25" i="40"/>
  <c r="AB29" i="39"/>
  <c r="W29" i="39"/>
  <c r="W18" i="36"/>
  <c r="AB21" i="37"/>
  <c r="U21" i="37"/>
  <c r="S21" i="37"/>
  <c r="U21" i="34"/>
  <c r="AB21" i="33"/>
  <c r="AA21" i="33"/>
  <c r="S21" i="33"/>
  <c r="U18" i="35"/>
  <c r="AC18" i="35"/>
  <c r="W18" i="35"/>
  <c r="J21" i="37"/>
  <c r="W21" i="37"/>
  <c r="J21" i="34"/>
  <c r="W21" i="34"/>
  <c r="G83" i="33"/>
  <c r="J21" i="33"/>
  <c r="W21" i="33"/>
  <c r="H21" i="21"/>
  <c r="U21" i="21"/>
  <c r="F38" i="69"/>
  <c r="E37" i="69"/>
  <c r="F36" i="69"/>
  <c r="F35" i="69"/>
  <c r="F21" i="69"/>
  <c r="C21" i="69"/>
  <c r="F20" i="69"/>
  <c r="E10" i="69"/>
  <c r="E9" i="69"/>
  <c r="F7" i="69"/>
  <c r="C7" i="69"/>
  <c r="AC21" i="37"/>
  <c r="AC21" i="34"/>
  <c r="AC21" i="33"/>
  <c r="J21" i="21"/>
  <c r="AC21" i="21"/>
  <c r="F38" i="68"/>
  <c r="E37" i="68"/>
  <c r="F36" i="68"/>
  <c r="F35" i="68"/>
  <c r="F21" i="68"/>
  <c r="C21" i="68"/>
  <c r="F20" i="68"/>
  <c r="E10" i="68"/>
  <c r="E9" i="68"/>
  <c r="F7" i="68"/>
  <c r="W21" i="21"/>
  <c r="C40" i="68"/>
  <c r="Q72" i="67"/>
  <c r="Q59" i="67"/>
  <c r="Q58" i="67"/>
  <c r="Q51" i="67"/>
  <c r="J50" i="67"/>
  <c r="M47" i="67"/>
  <c r="J53"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C7" i="34"/>
  <c r="C59" i="34"/>
  <c r="D59" i="34"/>
  <c r="E59" i="34"/>
  <c r="F59" i="34"/>
  <c r="F15" i="4"/>
  <c r="F9" i="1"/>
  <c r="G15" i="4"/>
  <c r="F10" i="1"/>
  <c r="F11" i="1"/>
  <c r="F12" i="1"/>
  <c r="F13" i="1"/>
  <c r="D6" i="1"/>
  <c r="D9" i="1"/>
  <c r="D10" i="1"/>
  <c r="D11" i="1"/>
  <c r="D12" i="1"/>
  <c r="D13" i="1"/>
  <c r="D7" i="1"/>
  <c r="D8" i="1"/>
  <c r="B7" i="1"/>
  <c r="E7" i="1"/>
  <c r="B8" i="1"/>
  <c r="E8" i="1"/>
  <c r="B11" i="1"/>
  <c r="E11"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H71" i="3"/>
  <c r="G71" i="3"/>
  <c r="BT70" i="3"/>
  <c r="BS70" i="3"/>
  <c r="BR70" i="3"/>
  <c r="BQ70" i="3"/>
  <c r="BP70" i="3"/>
  <c r="BO70" i="3"/>
  <c r="BN70" i="3"/>
  <c r="BM70" i="3"/>
  <c r="BK70" i="3"/>
  <c r="BJ70" i="3"/>
  <c r="BI70" i="3"/>
  <c r="BH70" i="3"/>
  <c r="BG70" i="3"/>
  <c r="BF70" i="3"/>
  <c r="BE70" i="3"/>
  <c r="BD70" i="3"/>
  <c r="BC70" i="3"/>
  <c r="BB70" i="3"/>
  <c r="BA70" i="3"/>
  <c r="AX70" i="3"/>
  <c r="AW70" i="3"/>
  <c r="AV70" i="3"/>
  <c r="H70" i="3"/>
  <c r="BT69" i="3"/>
  <c r="BS69" i="3"/>
  <c r="BR69" i="3"/>
  <c r="BQ69" i="3"/>
  <c r="BP69" i="3"/>
  <c r="BO69" i="3"/>
  <c r="BN69" i="3"/>
  <c r="BM69" i="3"/>
  <c r="BL69" i="3"/>
  <c r="BK69" i="3"/>
  <c r="BJ69" i="3"/>
  <c r="BI69" i="3"/>
  <c r="BH69" i="3"/>
  <c r="BG69" i="3"/>
  <c r="BF69" i="3"/>
  <c r="BE69" i="3"/>
  <c r="BD69" i="3"/>
  <c r="BC69" i="3"/>
  <c r="BB69" i="3"/>
  <c r="BA69" i="3"/>
  <c r="AX69" i="3"/>
  <c r="AW69" i="3"/>
  <c r="AV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H67" i="3"/>
  <c r="G67" i="3"/>
  <c r="BT66" i="3"/>
  <c r="BS66" i="3"/>
  <c r="BR66" i="3"/>
  <c r="BQ66" i="3"/>
  <c r="BP66" i="3"/>
  <c r="BO66" i="3"/>
  <c r="BN66" i="3"/>
  <c r="BM66" i="3"/>
  <c r="BK66" i="3"/>
  <c r="BJ66" i="3"/>
  <c r="BI66" i="3"/>
  <c r="BH66" i="3"/>
  <c r="BG66" i="3"/>
  <c r="BF66" i="3"/>
  <c r="BE66" i="3"/>
  <c r="BD66" i="3"/>
  <c r="BC66" i="3"/>
  <c r="BB66" i="3"/>
  <c r="BA66" i="3"/>
  <c r="AX66" i="3"/>
  <c r="AW66" i="3"/>
  <c r="AV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H64" i="3"/>
  <c r="G64" i="3"/>
  <c r="BT63" i="3"/>
  <c r="BS63" i="3"/>
  <c r="BR63" i="3"/>
  <c r="BQ63" i="3"/>
  <c r="BP63" i="3"/>
  <c r="BO63" i="3"/>
  <c r="BN63" i="3"/>
  <c r="BM63" i="3"/>
  <c r="BK63" i="3"/>
  <c r="BJ63" i="3"/>
  <c r="BI63" i="3"/>
  <c r="BH63" i="3"/>
  <c r="BG63" i="3"/>
  <c r="BF63" i="3"/>
  <c r="BE63" i="3"/>
  <c r="BD63" i="3"/>
  <c r="BC63" i="3"/>
  <c r="BB63" i="3"/>
  <c r="BA63" i="3"/>
  <c r="AX63" i="3"/>
  <c r="AW63" i="3"/>
  <c r="AV63" i="3"/>
  <c r="H63" i="3"/>
  <c r="G63" i="3"/>
  <c r="BT62" i="3"/>
  <c r="BS62" i="3"/>
  <c r="BR62" i="3"/>
  <c r="BQ62" i="3"/>
  <c r="BP62" i="3"/>
  <c r="BO62" i="3"/>
  <c r="BN62" i="3"/>
  <c r="BM62" i="3"/>
  <c r="BK62" i="3"/>
  <c r="BJ62" i="3"/>
  <c r="BI62" i="3"/>
  <c r="BH62" i="3"/>
  <c r="BG62" i="3"/>
  <c r="BF62" i="3"/>
  <c r="BE62" i="3"/>
  <c r="BD62" i="3"/>
  <c r="BC62" i="3"/>
  <c r="BB62" i="3"/>
  <c r="BA62" i="3"/>
  <c r="AX62" i="3"/>
  <c r="AW62" i="3"/>
  <c r="AV62" i="3"/>
  <c r="H62" i="3"/>
  <c r="BT61" i="3"/>
  <c r="BS61" i="3"/>
  <c r="BR61" i="3"/>
  <c r="BQ61" i="3"/>
  <c r="BP61" i="3"/>
  <c r="BO61" i="3"/>
  <c r="BN61" i="3"/>
  <c r="BM61" i="3"/>
  <c r="BK61" i="3"/>
  <c r="BJ61" i="3"/>
  <c r="BI61" i="3"/>
  <c r="BH61" i="3"/>
  <c r="BG61" i="3"/>
  <c r="BF61" i="3"/>
  <c r="BE61" i="3"/>
  <c r="BD61" i="3"/>
  <c r="BC61" i="3"/>
  <c r="BB61" i="3"/>
  <c r="BA61" i="3"/>
  <c r="AX61" i="3"/>
  <c r="AW61" i="3"/>
  <c r="AV61" i="3"/>
  <c r="H61" i="3"/>
  <c r="BT60" i="3"/>
  <c r="BS60" i="3"/>
  <c r="BR60" i="3"/>
  <c r="BQ60" i="3"/>
  <c r="BP60" i="3"/>
  <c r="BO60" i="3"/>
  <c r="BN60" i="3"/>
  <c r="BM60" i="3"/>
  <c r="BL60" i="3"/>
  <c r="BK60" i="3"/>
  <c r="BJ60" i="3"/>
  <c r="BI60" i="3"/>
  <c r="BH60" i="3"/>
  <c r="BG60" i="3"/>
  <c r="BF60" i="3"/>
  <c r="BE60" i="3"/>
  <c r="BD60" i="3"/>
  <c r="BC60" i="3"/>
  <c r="BB60" i="3"/>
  <c r="BA60" i="3"/>
  <c r="AX60" i="3"/>
  <c r="AW60" i="3"/>
  <c r="AV60" i="3"/>
  <c r="H60" i="3"/>
  <c r="G60" i="3"/>
  <c r="BT59" i="3"/>
  <c r="BS59" i="3"/>
  <c r="BR59" i="3"/>
  <c r="BQ59" i="3"/>
  <c r="BP59" i="3"/>
  <c r="BO59" i="3"/>
  <c r="BN59" i="3"/>
  <c r="BM59" i="3"/>
  <c r="BK59" i="3"/>
  <c r="BJ59" i="3"/>
  <c r="BI59" i="3"/>
  <c r="BH59" i="3"/>
  <c r="BG59" i="3"/>
  <c r="BF59" i="3"/>
  <c r="BE59" i="3"/>
  <c r="BD59" i="3"/>
  <c r="BC59" i="3"/>
  <c r="BB59" i="3"/>
  <c r="BA59" i="3"/>
  <c r="AX59" i="3"/>
  <c r="AW59" i="3"/>
  <c r="AV59" i="3"/>
  <c r="H59" i="3"/>
  <c r="G59" i="3"/>
  <c r="BT58" i="3"/>
  <c r="BS58" i="3"/>
  <c r="BR58" i="3"/>
  <c r="BQ58" i="3"/>
  <c r="BP58" i="3"/>
  <c r="BO58" i="3"/>
  <c r="BN58" i="3"/>
  <c r="BM58" i="3"/>
  <c r="BK58" i="3"/>
  <c r="BJ58" i="3"/>
  <c r="BI58" i="3"/>
  <c r="BH58" i="3"/>
  <c r="BG58" i="3"/>
  <c r="BF58" i="3"/>
  <c r="BE58" i="3"/>
  <c r="BD58" i="3"/>
  <c r="BC58" i="3"/>
  <c r="BB58" i="3"/>
  <c r="BA58" i="3"/>
  <c r="AX58" i="3"/>
  <c r="AW58" i="3"/>
  <c r="AV58" i="3"/>
  <c r="H58" i="3"/>
  <c r="G58" i="3"/>
  <c r="BT57" i="3"/>
  <c r="BS57" i="3"/>
  <c r="BR57" i="3"/>
  <c r="BQ57" i="3"/>
  <c r="BP57" i="3"/>
  <c r="BO57" i="3"/>
  <c r="BN57" i="3"/>
  <c r="BM57" i="3"/>
  <c r="BK57" i="3"/>
  <c r="BJ57" i="3"/>
  <c r="BI57" i="3"/>
  <c r="BH57" i="3"/>
  <c r="BG57" i="3"/>
  <c r="BF57" i="3"/>
  <c r="BE57" i="3"/>
  <c r="BD57" i="3"/>
  <c r="BC57" i="3"/>
  <c r="BB57" i="3"/>
  <c r="BA57" i="3"/>
  <c r="AX57" i="3"/>
  <c r="AW57" i="3"/>
  <c r="AV57" i="3"/>
  <c r="H57" i="3"/>
  <c r="BT56" i="3"/>
  <c r="BS56" i="3"/>
  <c r="BR56" i="3"/>
  <c r="BQ56" i="3"/>
  <c r="BP56" i="3"/>
  <c r="BO56" i="3"/>
  <c r="BN56" i="3"/>
  <c r="BM56" i="3"/>
  <c r="BK56" i="3"/>
  <c r="BJ56" i="3"/>
  <c r="BI56" i="3"/>
  <c r="BH56" i="3"/>
  <c r="BG56" i="3"/>
  <c r="BF56" i="3"/>
  <c r="BE56" i="3"/>
  <c r="BD56" i="3"/>
  <c r="BC56" i="3"/>
  <c r="BB56" i="3"/>
  <c r="BA56" i="3"/>
  <c r="AX56" i="3"/>
  <c r="AW56" i="3"/>
  <c r="AV56" i="3"/>
  <c r="H56" i="3"/>
  <c r="G56" i="3"/>
  <c r="BT55" i="3"/>
  <c r="BS55" i="3"/>
  <c r="BR55" i="3"/>
  <c r="BQ55" i="3"/>
  <c r="BP55" i="3"/>
  <c r="BO55" i="3"/>
  <c r="BN55" i="3"/>
  <c r="BM55" i="3"/>
  <c r="BK55" i="3"/>
  <c r="BJ55" i="3"/>
  <c r="BI55" i="3"/>
  <c r="BH55" i="3"/>
  <c r="BG55" i="3"/>
  <c r="BF55" i="3"/>
  <c r="BE55" i="3"/>
  <c r="BD55" i="3"/>
  <c r="BC55" i="3"/>
  <c r="BB55" i="3"/>
  <c r="BA55" i="3"/>
  <c r="AX55" i="3"/>
  <c r="AW55" i="3"/>
  <c r="AV55" i="3"/>
  <c r="H55" i="3"/>
  <c r="G55" i="3"/>
  <c r="BT54" i="3"/>
  <c r="BS54" i="3"/>
  <c r="BR54" i="3"/>
  <c r="BQ54" i="3"/>
  <c r="BP54" i="3"/>
  <c r="BO54" i="3"/>
  <c r="BN54" i="3"/>
  <c r="BM54" i="3"/>
  <c r="BK54" i="3"/>
  <c r="BJ54" i="3"/>
  <c r="BI54" i="3"/>
  <c r="BH54" i="3"/>
  <c r="BG54" i="3"/>
  <c r="BF54" i="3"/>
  <c r="BE54" i="3"/>
  <c r="BD54" i="3"/>
  <c r="BC54" i="3"/>
  <c r="BB54" i="3"/>
  <c r="BA54" i="3"/>
  <c r="AX54" i="3"/>
  <c r="AW54" i="3"/>
  <c r="AV54" i="3"/>
  <c r="H54" i="3"/>
  <c r="BT53" i="3"/>
  <c r="BS53" i="3"/>
  <c r="BR53" i="3"/>
  <c r="BQ53" i="3"/>
  <c r="BP53" i="3"/>
  <c r="BO53" i="3"/>
  <c r="BN53" i="3"/>
  <c r="BM53" i="3"/>
  <c r="BL53" i="3"/>
  <c r="BB53" i="3"/>
  <c r="BC53" i="3"/>
  <c r="BD53" i="3"/>
  <c r="BE53" i="3"/>
  <c r="BF53" i="3"/>
  <c r="BG53" i="3"/>
  <c r="BH53" i="3"/>
  <c r="BI53" i="3"/>
  <c r="BJ53" i="3"/>
  <c r="BK53" i="3"/>
  <c r="BA53" i="3"/>
  <c r="AZ53" i="3"/>
  <c r="AX53" i="3"/>
  <c r="AW53" i="3"/>
  <c r="AV53" i="3"/>
  <c r="H53" i="3"/>
  <c r="BT52" i="3"/>
  <c r="BS52" i="3"/>
  <c r="BR52" i="3"/>
  <c r="BQ52" i="3"/>
  <c r="BP52" i="3"/>
  <c r="BO52" i="3"/>
  <c r="BN52" i="3"/>
  <c r="BM52" i="3"/>
  <c r="BL52" i="3"/>
  <c r="BK52" i="3"/>
  <c r="BJ52" i="3"/>
  <c r="BI52" i="3"/>
  <c r="BH52" i="3"/>
  <c r="BG52" i="3"/>
  <c r="BF52" i="3"/>
  <c r="BE52" i="3"/>
  <c r="BD52" i="3"/>
  <c r="BC52" i="3"/>
  <c r="BB52" i="3"/>
  <c r="BA52" i="3"/>
  <c r="AZ52" i="3"/>
  <c r="AX52" i="3"/>
  <c r="AW52" i="3"/>
  <c r="AV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H51" i="3"/>
  <c r="G51" i="3"/>
  <c r="BT50" i="3"/>
  <c r="BS50" i="3"/>
  <c r="BR50" i="3"/>
  <c r="BQ50" i="3"/>
  <c r="BP50" i="3"/>
  <c r="BO50" i="3"/>
  <c r="BN50" i="3"/>
  <c r="BM50" i="3"/>
  <c r="BK50" i="3"/>
  <c r="BJ50" i="3"/>
  <c r="BI50" i="3"/>
  <c r="BH50" i="3"/>
  <c r="BG50" i="3"/>
  <c r="BF50" i="3"/>
  <c r="BE50" i="3"/>
  <c r="BD50" i="3"/>
  <c r="BC50" i="3"/>
  <c r="BB50" i="3"/>
  <c r="BA50" i="3"/>
  <c r="AX50" i="3"/>
  <c r="AW50" i="3"/>
  <c r="AV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H49" i="3"/>
  <c r="BT48" i="3"/>
  <c r="BS48" i="3"/>
  <c r="BR48" i="3"/>
  <c r="BQ48" i="3"/>
  <c r="BP48" i="3"/>
  <c r="BO48" i="3"/>
  <c r="BN48" i="3"/>
  <c r="BM48" i="3"/>
  <c r="BK48" i="3"/>
  <c r="BJ48" i="3"/>
  <c r="BI48" i="3"/>
  <c r="BH48" i="3"/>
  <c r="BG48" i="3"/>
  <c r="BF48" i="3"/>
  <c r="BE48" i="3"/>
  <c r="BD48" i="3"/>
  <c r="BC48" i="3"/>
  <c r="BB48" i="3"/>
  <c r="AX48" i="3"/>
  <c r="AW48" i="3"/>
  <c r="AV48" i="3"/>
  <c r="H48" i="3"/>
  <c r="BT47" i="3"/>
  <c r="BS47" i="3"/>
  <c r="BR47" i="3"/>
  <c r="BQ47" i="3"/>
  <c r="BP47" i="3"/>
  <c r="BO47" i="3"/>
  <c r="BN47" i="3"/>
  <c r="BM47" i="3"/>
  <c r="BK47" i="3"/>
  <c r="BJ47" i="3"/>
  <c r="BI47" i="3"/>
  <c r="BH47" i="3"/>
  <c r="BG47" i="3"/>
  <c r="BF47" i="3"/>
  <c r="BE47" i="3"/>
  <c r="BD47" i="3"/>
  <c r="BC47" i="3"/>
  <c r="BB47" i="3"/>
  <c r="AX47" i="3"/>
  <c r="AW47" i="3"/>
  <c r="AV47" i="3"/>
  <c r="H47" i="3"/>
  <c r="BT46" i="3"/>
  <c r="BS46" i="3"/>
  <c r="BR46" i="3"/>
  <c r="BQ46" i="3"/>
  <c r="BP46" i="3"/>
  <c r="BO46" i="3"/>
  <c r="BN46" i="3"/>
  <c r="BM46" i="3"/>
  <c r="BK46" i="3"/>
  <c r="BJ46" i="3"/>
  <c r="BI46" i="3"/>
  <c r="BH46" i="3"/>
  <c r="BG46" i="3"/>
  <c r="BF46" i="3"/>
  <c r="BE46" i="3"/>
  <c r="BD46" i="3"/>
  <c r="BC46" i="3"/>
  <c r="BB46" i="3"/>
  <c r="AX46" i="3"/>
  <c r="AW46" i="3"/>
  <c r="AV46" i="3"/>
  <c r="H46" i="3"/>
  <c r="BT45" i="3"/>
  <c r="BS45" i="3"/>
  <c r="BR45" i="3"/>
  <c r="BQ45" i="3"/>
  <c r="BP45" i="3"/>
  <c r="BO45" i="3"/>
  <c r="BN45" i="3"/>
  <c r="BM45" i="3"/>
  <c r="BK45" i="3"/>
  <c r="BJ45" i="3"/>
  <c r="BI45" i="3"/>
  <c r="BH45" i="3"/>
  <c r="BG45" i="3"/>
  <c r="BF45" i="3"/>
  <c r="BE45" i="3"/>
  <c r="BD45" i="3"/>
  <c r="BC45" i="3"/>
  <c r="BB45" i="3"/>
  <c r="BA45" i="3"/>
  <c r="AX45" i="3"/>
  <c r="AW45" i="3"/>
  <c r="AV45" i="3"/>
  <c r="H45" i="3"/>
  <c r="BT44" i="3"/>
  <c r="BS44" i="3"/>
  <c r="BR44" i="3"/>
  <c r="BQ44" i="3"/>
  <c r="BP44" i="3"/>
  <c r="BO44" i="3"/>
  <c r="BN44" i="3"/>
  <c r="BM44" i="3"/>
  <c r="BK44" i="3"/>
  <c r="BJ44" i="3"/>
  <c r="BI44" i="3"/>
  <c r="BH44" i="3"/>
  <c r="BG44" i="3"/>
  <c r="BF44" i="3"/>
  <c r="BE44" i="3"/>
  <c r="BD44" i="3"/>
  <c r="BC44" i="3"/>
  <c r="BB44" i="3"/>
  <c r="BA44" i="3"/>
  <c r="AX44" i="3"/>
  <c r="AW44" i="3"/>
  <c r="AV44" i="3"/>
  <c r="H44" i="3"/>
  <c r="BT43" i="3"/>
  <c r="BS43" i="3"/>
  <c r="BR43" i="3"/>
  <c r="BQ43" i="3"/>
  <c r="BP43" i="3"/>
  <c r="BO43" i="3"/>
  <c r="BN43" i="3"/>
  <c r="BM43" i="3"/>
  <c r="BK43" i="3"/>
  <c r="BJ43" i="3"/>
  <c r="BI43" i="3"/>
  <c r="BH43" i="3"/>
  <c r="BG43" i="3"/>
  <c r="BF43" i="3"/>
  <c r="BE43" i="3"/>
  <c r="BD43" i="3"/>
  <c r="BC43" i="3"/>
  <c r="BB43" i="3"/>
  <c r="AX43" i="3"/>
  <c r="AW43" i="3"/>
  <c r="AV43" i="3"/>
  <c r="H43" i="3"/>
  <c r="BT42" i="3"/>
  <c r="BS42" i="3"/>
  <c r="BR42" i="3"/>
  <c r="BQ42" i="3"/>
  <c r="BP42" i="3"/>
  <c r="BO42" i="3"/>
  <c r="BN42" i="3"/>
  <c r="BM42" i="3"/>
  <c r="BK42" i="3"/>
  <c r="BJ42" i="3"/>
  <c r="BI42" i="3"/>
  <c r="BH42" i="3"/>
  <c r="BG42" i="3"/>
  <c r="BF42" i="3"/>
  <c r="BE42" i="3"/>
  <c r="BD42" i="3"/>
  <c r="BC42" i="3"/>
  <c r="BB42" i="3"/>
  <c r="BA42" i="3"/>
  <c r="AX42" i="3"/>
  <c r="AW42" i="3"/>
  <c r="AV42" i="3"/>
  <c r="H42" i="3"/>
  <c r="BT41" i="3"/>
  <c r="BS41" i="3"/>
  <c r="BR41" i="3"/>
  <c r="BQ41" i="3"/>
  <c r="BP41" i="3"/>
  <c r="BO41" i="3"/>
  <c r="BN41" i="3"/>
  <c r="BM41" i="3"/>
  <c r="BK41" i="3"/>
  <c r="BJ41" i="3"/>
  <c r="BI41" i="3"/>
  <c r="BH41" i="3"/>
  <c r="BG41" i="3"/>
  <c r="BF41" i="3"/>
  <c r="BE41" i="3"/>
  <c r="BD41" i="3"/>
  <c r="BC41" i="3"/>
  <c r="BB41" i="3"/>
  <c r="AX41" i="3"/>
  <c r="AW41" i="3"/>
  <c r="AV41" i="3"/>
  <c r="H41" i="3"/>
  <c r="BT40" i="3"/>
  <c r="BS40" i="3"/>
  <c r="BR40" i="3"/>
  <c r="BQ40" i="3"/>
  <c r="BP40" i="3"/>
  <c r="BO40" i="3"/>
  <c r="BN40" i="3"/>
  <c r="BM40" i="3"/>
  <c r="BK40" i="3"/>
  <c r="BJ40" i="3"/>
  <c r="BI40" i="3"/>
  <c r="BH40" i="3"/>
  <c r="BG40" i="3"/>
  <c r="BF40" i="3"/>
  <c r="BE40" i="3"/>
  <c r="BD40" i="3"/>
  <c r="BC40" i="3"/>
  <c r="BB40" i="3"/>
  <c r="BA40" i="3"/>
  <c r="AX40" i="3"/>
  <c r="AW40" i="3"/>
  <c r="AV40" i="3"/>
  <c r="H40" i="3"/>
  <c r="BT39" i="3"/>
  <c r="BS39" i="3"/>
  <c r="BR39" i="3"/>
  <c r="BQ39" i="3"/>
  <c r="BP39" i="3"/>
  <c r="BO39" i="3"/>
  <c r="BN39" i="3"/>
  <c r="BM39" i="3"/>
  <c r="BK39" i="3"/>
  <c r="BJ39" i="3"/>
  <c r="BI39" i="3"/>
  <c r="BH39" i="3"/>
  <c r="BG39" i="3"/>
  <c r="BF39" i="3"/>
  <c r="BE39" i="3"/>
  <c r="BD39" i="3"/>
  <c r="BC39" i="3"/>
  <c r="BB39" i="3"/>
  <c r="AX39" i="3"/>
  <c r="AW39" i="3"/>
  <c r="AV39" i="3"/>
  <c r="H39" i="3"/>
  <c r="BT38" i="3"/>
  <c r="BS38" i="3"/>
  <c r="BR38" i="3"/>
  <c r="BQ38" i="3"/>
  <c r="BP38" i="3"/>
  <c r="BO38" i="3"/>
  <c r="BN38" i="3"/>
  <c r="BM38" i="3"/>
  <c r="BL38" i="3"/>
  <c r="BK38" i="3"/>
  <c r="BJ38" i="3"/>
  <c r="BI38" i="3"/>
  <c r="BH38" i="3"/>
  <c r="BG38" i="3"/>
  <c r="BF38" i="3"/>
  <c r="BE38" i="3"/>
  <c r="BD38" i="3"/>
  <c r="BC38" i="3"/>
  <c r="BB38" i="3"/>
  <c r="AX38" i="3"/>
  <c r="AW38" i="3"/>
  <c r="AV38" i="3"/>
  <c r="H38" i="3"/>
  <c r="BT37" i="3"/>
  <c r="BS37" i="3"/>
  <c r="BR37" i="3"/>
  <c r="BQ37" i="3"/>
  <c r="BP37" i="3"/>
  <c r="BO37" i="3"/>
  <c r="BN37" i="3"/>
  <c r="BM37" i="3"/>
  <c r="BK37" i="3"/>
  <c r="BJ37" i="3"/>
  <c r="BI37" i="3"/>
  <c r="BH37" i="3"/>
  <c r="BG37" i="3"/>
  <c r="BF37" i="3"/>
  <c r="BE37" i="3"/>
  <c r="BD37" i="3"/>
  <c r="BC37" i="3"/>
  <c r="BB37" i="3"/>
  <c r="AX37" i="3"/>
  <c r="AW37" i="3"/>
  <c r="AV37" i="3"/>
  <c r="H37" i="3"/>
  <c r="G37" i="3"/>
  <c r="BT36" i="3"/>
  <c r="BS36" i="3"/>
  <c r="BR36" i="3"/>
  <c r="BQ36" i="3"/>
  <c r="BP36" i="3"/>
  <c r="BO36" i="3"/>
  <c r="BN36" i="3"/>
  <c r="BM36" i="3"/>
  <c r="BK36" i="3"/>
  <c r="BJ36" i="3"/>
  <c r="BI36" i="3"/>
  <c r="BH36" i="3"/>
  <c r="BG36" i="3"/>
  <c r="BF36" i="3"/>
  <c r="BE36" i="3"/>
  <c r="BD36" i="3"/>
  <c r="BC36" i="3"/>
  <c r="BB36" i="3"/>
  <c r="AX36" i="3"/>
  <c r="AW36" i="3"/>
  <c r="AV36" i="3"/>
  <c r="H36" i="3"/>
  <c r="BT35" i="3"/>
  <c r="BS35" i="3"/>
  <c r="BR35" i="3"/>
  <c r="BQ35" i="3"/>
  <c r="BP35" i="3"/>
  <c r="BO35" i="3"/>
  <c r="BN35" i="3"/>
  <c r="BM35" i="3"/>
  <c r="BL35" i="3"/>
  <c r="BK35" i="3"/>
  <c r="BJ35" i="3"/>
  <c r="BI35" i="3"/>
  <c r="BH35" i="3"/>
  <c r="BG35" i="3"/>
  <c r="BF35" i="3"/>
  <c r="BE35" i="3"/>
  <c r="BD35" i="3"/>
  <c r="BC35" i="3"/>
  <c r="BB35" i="3"/>
  <c r="AX35" i="3"/>
  <c r="AW35" i="3"/>
  <c r="AV35" i="3"/>
  <c r="H35" i="3"/>
  <c r="BT34" i="3"/>
  <c r="BS34" i="3"/>
  <c r="BR34" i="3"/>
  <c r="BQ34" i="3"/>
  <c r="BP34" i="3"/>
  <c r="BO34" i="3"/>
  <c r="BN34" i="3"/>
  <c r="BM34" i="3"/>
  <c r="BL34" i="3"/>
  <c r="BK34" i="3"/>
  <c r="BJ34" i="3"/>
  <c r="BI34" i="3"/>
  <c r="BH34" i="3"/>
  <c r="BG34" i="3"/>
  <c r="BF34" i="3"/>
  <c r="BE34" i="3"/>
  <c r="BD34" i="3"/>
  <c r="BC34" i="3"/>
  <c r="BB34" i="3"/>
  <c r="AX34" i="3"/>
  <c r="AW34" i="3"/>
  <c r="AV34" i="3"/>
  <c r="H34" i="3"/>
  <c r="BT33" i="3"/>
  <c r="BS33" i="3"/>
  <c r="BR33" i="3"/>
  <c r="BQ33" i="3"/>
  <c r="BP33" i="3"/>
  <c r="BO33" i="3"/>
  <c r="BN33" i="3"/>
  <c r="BM33" i="3"/>
  <c r="BK33" i="3"/>
  <c r="BJ33" i="3"/>
  <c r="BI33" i="3"/>
  <c r="BH33" i="3"/>
  <c r="BG33" i="3"/>
  <c r="BF33" i="3"/>
  <c r="BE33" i="3"/>
  <c r="BD33" i="3"/>
  <c r="BC33" i="3"/>
  <c r="BB33" i="3"/>
  <c r="AX33" i="3"/>
  <c r="AW33" i="3"/>
  <c r="AV33" i="3"/>
  <c r="H33" i="3"/>
  <c r="G33" i="3"/>
  <c r="BT32" i="3"/>
  <c r="BS32" i="3"/>
  <c r="BR32" i="3"/>
  <c r="BQ32" i="3"/>
  <c r="BP32" i="3"/>
  <c r="BO32" i="3"/>
  <c r="BN32" i="3"/>
  <c r="BM32" i="3"/>
  <c r="BK32" i="3"/>
  <c r="BJ32" i="3"/>
  <c r="BI32" i="3"/>
  <c r="BH32" i="3"/>
  <c r="BG32" i="3"/>
  <c r="BF32" i="3"/>
  <c r="BE32" i="3"/>
  <c r="BD32" i="3"/>
  <c r="BC32" i="3"/>
  <c r="BB32" i="3"/>
  <c r="AX32" i="3"/>
  <c r="AW32" i="3"/>
  <c r="AV32" i="3"/>
  <c r="H32" i="3"/>
  <c r="BT31" i="3"/>
  <c r="BS31" i="3"/>
  <c r="BR31" i="3"/>
  <c r="BQ31" i="3"/>
  <c r="BP31" i="3"/>
  <c r="BO31" i="3"/>
  <c r="BN31" i="3"/>
  <c r="BM31" i="3"/>
  <c r="BK31" i="3"/>
  <c r="BJ31" i="3"/>
  <c r="BI31" i="3"/>
  <c r="BH31" i="3"/>
  <c r="BG31" i="3"/>
  <c r="BF31" i="3"/>
  <c r="BE31" i="3"/>
  <c r="BD31" i="3"/>
  <c r="BC31" i="3"/>
  <c r="BB31" i="3"/>
  <c r="AX31" i="3"/>
  <c r="AW31" i="3"/>
  <c r="AV31" i="3"/>
  <c r="H31" i="3"/>
  <c r="G31" i="3"/>
  <c r="BT30" i="3"/>
  <c r="BS30" i="3"/>
  <c r="BR30" i="3"/>
  <c r="BQ30" i="3"/>
  <c r="BP30" i="3"/>
  <c r="BO30" i="3"/>
  <c r="BN30" i="3"/>
  <c r="BM30" i="3"/>
  <c r="BK30" i="3"/>
  <c r="BJ30" i="3"/>
  <c r="BI30" i="3"/>
  <c r="BH30" i="3"/>
  <c r="BG30" i="3"/>
  <c r="BF30" i="3"/>
  <c r="BE30" i="3"/>
  <c r="BD30" i="3"/>
  <c r="BC30" i="3"/>
  <c r="BB30" i="3"/>
  <c r="AX30" i="3"/>
  <c r="AW30" i="3"/>
  <c r="AV30" i="3"/>
  <c r="H30" i="3"/>
  <c r="BT29" i="3"/>
  <c r="BS29" i="3"/>
  <c r="BR29" i="3"/>
  <c r="BQ29" i="3"/>
  <c r="BP29" i="3"/>
  <c r="BO29" i="3"/>
  <c r="BN29" i="3"/>
  <c r="BM29" i="3"/>
  <c r="BL29" i="3"/>
  <c r="BK29" i="3"/>
  <c r="BJ29" i="3"/>
  <c r="BI29" i="3"/>
  <c r="BH29" i="3"/>
  <c r="BG29" i="3"/>
  <c r="BF29" i="3"/>
  <c r="BE29" i="3"/>
  <c r="BD29" i="3"/>
  <c r="BC29" i="3"/>
  <c r="BB29" i="3"/>
  <c r="AX29" i="3"/>
  <c r="AW29" i="3"/>
  <c r="AV29" i="3"/>
  <c r="H29" i="3"/>
  <c r="BT28" i="3"/>
  <c r="BS28" i="3"/>
  <c r="BR28" i="3"/>
  <c r="BQ28" i="3"/>
  <c r="BP28" i="3"/>
  <c r="BO28" i="3"/>
  <c r="BN28" i="3"/>
  <c r="BM28" i="3"/>
  <c r="BK28" i="3"/>
  <c r="BJ28" i="3"/>
  <c r="BI28" i="3"/>
  <c r="BH28" i="3"/>
  <c r="BG28" i="3"/>
  <c r="BF28" i="3"/>
  <c r="BE28" i="3"/>
  <c r="BD28" i="3"/>
  <c r="BC28" i="3"/>
  <c r="BB28" i="3"/>
  <c r="AX28" i="3"/>
  <c r="AW28" i="3"/>
  <c r="AV28" i="3"/>
  <c r="H28" i="3"/>
  <c r="BT27" i="3"/>
  <c r="BS27" i="3"/>
  <c r="BR27" i="3"/>
  <c r="BQ27" i="3"/>
  <c r="BP27" i="3"/>
  <c r="BO27" i="3"/>
  <c r="BN27" i="3"/>
  <c r="BM27" i="3"/>
  <c r="BL27" i="3"/>
  <c r="BK27" i="3"/>
  <c r="BJ27" i="3"/>
  <c r="BI27" i="3"/>
  <c r="BH27" i="3"/>
  <c r="BG27" i="3"/>
  <c r="BF27" i="3"/>
  <c r="BE27" i="3"/>
  <c r="BD27" i="3"/>
  <c r="BC27" i="3"/>
  <c r="BB27" i="3"/>
  <c r="AX27" i="3"/>
  <c r="AW27" i="3"/>
  <c r="AV27" i="3"/>
  <c r="H27" i="3"/>
  <c r="BT26" i="3"/>
  <c r="BS26" i="3"/>
  <c r="BR26" i="3"/>
  <c r="BQ26" i="3"/>
  <c r="BP26" i="3"/>
  <c r="BO26" i="3"/>
  <c r="BN26" i="3"/>
  <c r="BM26" i="3"/>
  <c r="BK26" i="3"/>
  <c r="BJ26" i="3"/>
  <c r="BI26" i="3"/>
  <c r="BH26" i="3"/>
  <c r="BG26" i="3"/>
  <c r="BF26" i="3"/>
  <c r="BE26" i="3"/>
  <c r="BD26" i="3"/>
  <c r="BC26" i="3"/>
  <c r="BB26" i="3"/>
  <c r="AX26" i="3"/>
  <c r="AW26" i="3"/>
  <c r="AV26" i="3"/>
  <c r="H26" i="3"/>
  <c r="BT25" i="3"/>
  <c r="BS25" i="3"/>
  <c r="BR25" i="3"/>
  <c r="BQ25" i="3"/>
  <c r="BP25" i="3"/>
  <c r="BO25" i="3"/>
  <c r="BN25" i="3"/>
  <c r="BM25" i="3"/>
  <c r="BK25" i="3"/>
  <c r="BJ25" i="3"/>
  <c r="BI25" i="3"/>
  <c r="BH25" i="3"/>
  <c r="BG25" i="3"/>
  <c r="BF25" i="3"/>
  <c r="BE25" i="3"/>
  <c r="BD25" i="3"/>
  <c r="BC25" i="3"/>
  <c r="BB25" i="3"/>
  <c r="AX25" i="3"/>
  <c r="AW25" i="3"/>
  <c r="AV25" i="3"/>
  <c r="H25" i="3"/>
  <c r="BT24" i="3"/>
  <c r="BS24" i="3"/>
  <c r="BR24" i="3"/>
  <c r="BQ24" i="3"/>
  <c r="BP24" i="3"/>
  <c r="BO24" i="3"/>
  <c r="BN24" i="3"/>
  <c r="BM24" i="3"/>
  <c r="BL24" i="3"/>
  <c r="BK24" i="3"/>
  <c r="BJ24" i="3"/>
  <c r="BI24" i="3"/>
  <c r="BH24" i="3"/>
  <c r="BG24" i="3"/>
  <c r="BF24" i="3"/>
  <c r="BE24" i="3"/>
  <c r="BD24" i="3"/>
  <c r="BC24" i="3"/>
  <c r="BB24" i="3"/>
  <c r="AX24" i="3"/>
  <c r="AW24" i="3"/>
  <c r="AV24" i="3"/>
  <c r="H24" i="3"/>
  <c r="BT23" i="3"/>
  <c r="BS23" i="3"/>
  <c r="BR23" i="3"/>
  <c r="BQ23" i="3"/>
  <c r="BP23" i="3"/>
  <c r="BO23" i="3"/>
  <c r="BN23" i="3"/>
  <c r="BM23" i="3"/>
  <c r="BL23" i="3"/>
  <c r="BK23" i="3"/>
  <c r="BJ23" i="3"/>
  <c r="BI23" i="3"/>
  <c r="BH23" i="3"/>
  <c r="BG23" i="3"/>
  <c r="BF23" i="3"/>
  <c r="BE23" i="3"/>
  <c r="BD23" i="3"/>
  <c r="BC23" i="3"/>
  <c r="BB23" i="3"/>
  <c r="AX23" i="3"/>
  <c r="AW23" i="3"/>
  <c r="AV23" i="3"/>
  <c r="H23" i="3"/>
  <c r="BT22" i="3"/>
  <c r="BS22" i="3"/>
  <c r="BR22" i="3"/>
  <c r="BQ22" i="3"/>
  <c r="BP22" i="3"/>
  <c r="BO22" i="3"/>
  <c r="BN22" i="3"/>
  <c r="BM22" i="3"/>
  <c r="BK22" i="3"/>
  <c r="BJ22" i="3"/>
  <c r="BI22" i="3"/>
  <c r="BH22" i="3"/>
  <c r="BG22" i="3"/>
  <c r="BF22" i="3"/>
  <c r="BE22" i="3"/>
  <c r="BD22" i="3"/>
  <c r="BC22" i="3"/>
  <c r="BB22" i="3"/>
  <c r="AX22" i="3"/>
  <c r="AW22" i="3"/>
  <c r="AV22" i="3"/>
  <c r="H22" i="3"/>
  <c r="BT21" i="3"/>
  <c r="BS21" i="3"/>
  <c r="BR21" i="3"/>
  <c r="BQ21" i="3"/>
  <c r="BP21" i="3"/>
  <c r="BO21" i="3"/>
  <c r="BN21" i="3"/>
  <c r="BM21" i="3"/>
  <c r="BL21" i="3"/>
  <c r="BK21" i="3"/>
  <c r="BJ21" i="3"/>
  <c r="BI21" i="3"/>
  <c r="BH21" i="3"/>
  <c r="BG21" i="3"/>
  <c r="BF21" i="3"/>
  <c r="BE21" i="3"/>
  <c r="BD21" i="3"/>
  <c r="BC21" i="3"/>
  <c r="BB21" i="3"/>
  <c r="AX21" i="3"/>
  <c r="AW21" i="3"/>
  <c r="AV21" i="3"/>
  <c r="H21" i="3"/>
  <c r="BT20" i="3"/>
  <c r="BS20" i="3"/>
  <c r="BR20" i="3"/>
  <c r="BQ20" i="3"/>
  <c r="BP20" i="3"/>
  <c r="BO20" i="3"/>
  <c r="BN20" i="3"/>
  <c r="BM20" i="3"/>
  <c r="BK20" i="3"/>
  <c r="BJ20" i="3"/>
  <c r="BI20" i="3"/>
  <c r="BH20" i="3"/>
  <c r="BG20" i="3"/>
  <c r="BF20" i="3"/>
  <c r="BE20" i="3"/>
  <c r="BD20" i="3"/>
  <c r="BC20" i="3"/>
  <c r="BB20" i="3"/>
  <c r="AX20" i="3"/>
  <c r="AW20" i="3"/>
  <c r="AV20" i="3"/>
  <c r="H20" i="3"/>
  <c r="BT19" i="3"/>
  <c r="BS19" i="3"/>
  <c r="BR19" i="3"/>
  <c r="BQ19" i="3"/>
  <c r="BP19" i="3"/>
  <c r="BO19" i="3"/>
  <c r="BN19" i="3"/>
  <c r="BM19" i="3"/>
  <c r="BK19" i="3"/>
  <c r="BJ19" i="3"/>
  <c r="BI19" i="3"/>
  <c r="BH19" i="3"/>
  <c r="BG19" i="3"/>
  <c r="BF19" i="3"/>
  <c r="BE19" i="3"/>
  <c r="BD19" i="3"/>
  <c r="BC19" i="3"/>
  <c r="BB19" i="3"/>
  <c r="AX19" i="3"/>
  <c r="AW19" i="3"/>
  <c r="AV19" i="3"/>
  <c r="H19" i="3"/>
  <c r="BT18" i="3"/>
  <c r="BS18" i="3"/>
  <c r="BR18" i="3"/>
  <c r="BQ18" i="3"/>
  <c r="BP18" i="3"/>
  <c r="BO18" i="3"/>
  <c r="BN18" i="3"/>
  <c r="BM18" i="3"/>
  <c r="BL18" i="3"/>
  <c r="BK18" i="3"/>
  <c r="BJ18" i="3"/>
  <c r="BI18" i="3"/>
  <c r="BH18" i="3"/>
  <c r="BG18" i="3"/>
  <c r="BF18" i="3"/>
  <c r="BE18" i="3"/>
  <c r="BD18" i="3"/>
  <c r="BC18" i="3"/>
  <c r="BB18" i="3"/>
  <c r="AX18" i="3"/>
  <c r="AW18" i="3"/>
  <c r="AV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H391" i="3"/>
  <c r="BT390" i="3"/>
  <c r="BS390" i="3"/>
  <c r="BR390" i="3"/>
  <c r="BQ390" i="3"/>
  <c r="BP390" i="3"/>
  <c r="BO390" i="3"/>
  <c r="BN390" i="3"/>
  <c r="BM390" i="3"/>
  <c r="BK390" i="3"/>
  <c r="BJ390" i="3"/>
  <c r="BI390" i="3"/>
  <c r="BH390" i="3"/>
  <c r="BG390" i="3"/>
  <c r="BF390" i="3"/>
  <c r="BE390" i="3"/>
  <c r="BD390" i="3"/>
  <c r="BC390" i="3"/>
  <c r="BB390" i="3"/>
  <c r="AX390" i="3"/>
  <c r="AW390" i="3"/>
  <c r="AV390" i="3"/>
  <c r="H390" i="3"/>
  <c r="BT389" i="3"/>
  <c r="BS389" i="3"/>
  <c r="BR389" i="3"/>
  <c r="BQ389" i="3"/>
  <c r="BP389" i="3"/>
  <c r="BO389" i="3"/>
  <c r="BN389" i="3"/>
  <c r="BM389" i="3"/>
  <c r="BK389" i="3"/>
  <c r="BJ389" i="3"/>
  <c r="BI389" i="3"/>
  <c r="BH389" i="3"/>
  <c r="BG389" i="3"/>
  <c r="BF389" i="3"/>
  <c r="BE389" i="3"/>
  <c r="BD389" i="3"/>
  <c r="BC389" i="3"/>
  <c r="BB389" i="3"/>
  <c r="AX389" i="3"/>
  <c r="AW389" i="3"/>
  <c r="AV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H388" i="3"/>
  <c r="BT387" i="3"/>
  <c r="BS387" i="3"/>
  <c r="BR387" i="3"/>
  <c r="BQ387" i="3"/>
  <c r="BP387" i="3"/>
  <c r="BO387" i="3"/>
  <c r="BN387" i="3"/>
  <c r="BM387" i="3"/>
  <c r="BK387" i="3"/>
  <c r="BJ387" i="3"/>
  <c r="BI387" i="3"/>
  <c r="BH387" i="3"/>
  <c r="BG387" i="3"/>
  <c r="BF387" i="3"/>
  <c r="BE387" i="3"/>
  <c r="BD387" i="3"/>
  <c r="BC387" i="3"/>
  <c r="BB387" i="3"/>
  <c r="AX387" i="3"/>
  <c r="AW387" i="3"/>
  <c r="AV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H383" i="3"/>
  <c r="BT382" i="3"/>
  <c r="BS382" i="3"/>
  <c r="BR382" i="3"/>
  <c r="BQ382" i="3"/>
  <c r="BP382" i="3"/>
  <c r="BO382" i="3"/>
  <c r="BN382" i="3"/>
  <c r="BM382" i="3"/>
  <c r="BK382" i="3"/>
  <c r="BJ382" i="3"/>
  <c r="BI382" i="3"/>
  <c r="BH382" i="3"/>
  <c r="BG382" i="3"/>
  <c r="BF382" i="3"/>
  <c r="BE382" i="3"/>
  <c r="BD382" i="3"/>
  <c r="BC382" i="3"/>
  <c r="BB382" i="3"/>
  <c r="AX382" i="3"/>
  <c r="AW382" i="3"/>
  <c r="AV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H381" i="3"/>
  <c r="BT380" i="3"/>
  <c r="BS380" i="3"/>
  <c r="BR380" i="3"/>
  <c r="BQ380" i="3"/>
  <c r="BP380" i="3"/>
  <c r="BO380" i="3"/>
  <c r="BN380" i="3"/>
  <c r="BM380" i="3"/>
  <c r="BK380" i="3"/>
  <c r="BJ380" i="3"/>
  <c r="BI380" i="3"/>
  <c r="BH380" i="3"/>
  <c r="BG380" i="3"/>
  <c r="BF380" i="3"/>
  <c r="BE380" i="3"/>
  <c r="BD380" i="3"/>
  <c r="BC380" i="3"/>
  <c r="BB380" i="3"/>
  <c r="AX380" i="3"/>
  <c r="AW380" i="3"/>
  <c r="AV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H379" i="3"/>
  <c r="BT378" i="3"/>
  <c r="BS378" i="3"/>
  <c r="BR378" i="3"/>
  <c r="BQ378" i="3"/>
  <c r="BP378" i="3"/>
  <c r="BO378" i="3"/>
  <c r="BN378" i="3"/>
  <c r="BM378" i="3"/>
  <c r="BK378" i="3"/>
  <c r="BJ378" i="3"/>
  <c r="BI378" i="3"/>
  <c r="BH378" i="3"/>
  <c r="BG378" i="3"/>
  <c r="BF378" i="3"/>
  <c r="BE378" i="3"/>
  <c r="BD378" i="3"/>
  <c r="BC378" i="3"/>
  <c r="BB378" i="3"/>
  <c r="AX378" i="3"/>
  <c r="AW378" i="3"/>
  <c r="AV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H377" i="3"/>
  <c r="BT376" i="3"/>
  <c r="BS376" i="3"/>
  <c r="BR376" i="3"/>
  <c r="BQ376" i="3"/>
  <c r="BP376" i="3"/>
  <c r="BO376" i="3"/>
  <c r="BN376" i="3"/>
  <c r="BM376" i="3"/>
  <c r="BK376" i="3"/>
  <c r="BJ376" i="3"/>
  <c r="BI376" i="3"/>
  <c r="BH376" i="3"/>
  <c r="BG376" i="3"/>
  <c r="BF376" i="3"/>
  <c r="BE376" i="3"/>
  <c r="BD376" i="3"/>
  <c r="BC376" i="3"/>
  <c r="BB376" i="3"/>
  <c r="AX376" i="3"/>
  <c r="AW376" i="3"/>
  <c r="AV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H373" i="3"/>
  <c r="BT372" i="3"/>
  <c r="BS372" i="3"/>
  <c r="BR372" i="3"/>
  <c r="BQ372" i="3"/>
  <c r="BP372" i="3"/>
  <c r="BO372" i="3"/>
  <c r="BN372" i="3"/>
  <c r="BM372" i="3"/>
  <c r="BK372" i="3"/>
  <c r="BJ372" i="3"/>
  <c r="BI372" i="3"/>
  <c r="BH372" i="3"/>
  <c r="BG372" i="3"/>
  <c r="BF372" i="3"/>
  <c r="BE372" i="3"/>
  <c r="BD372" i="3"/>
  <c r="BC372" i="3"/>
  <c r="BB372" i="3"/>
  <c r="AX372" i="3"/>
  <c r="AW372" i="3"/>
  <c r="AV372" i="3"/>
  <c r="H372" i="3"/>
  <c r="BT371" i="3"/>
  <c r="BS371" i="3"/>
  <c r="BR371" i="3"/>
  <c r="BQ371" i="3"/>
  <c r="BP371" i="3"/>
  <c r="BO371" i="3"/>
  <c r="BN371" i="3"/>
  <c r="BM371" i="3"/>
  <c r="BK371" i="3"/>
  <c r="BJ371" i="3"/>
  <c r="BI371" i="3"/>
  <c r="BH371" i="3"/>
  <c r="BG371" i="3"/>
  <c r="BF371" i="3"/>
  <c r="BE371" i="3"/>
  <c r="BD371" i="3"/>
  <c r="BC371" i="3"/>
  <c r="BB371" i="3"/>
  <c r="AX371" i="3"/>
  <c r="AW371" i="3"/>
  <c r="AV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H370" i="3"/>
  <c r="BT369" i="3"/>
  <c r="BS369" i="3"/>
  <c r="BR369" i="3"/>
  <c r="BQ369" i="3"/>
  <c r="BP369" i="3"/>
  <c r="BO369" i="3"/>
  <c r="BN369" i="3"/>
  <c r="BM369" i="3"/>
  <c r="BK369" i="3"/>
  <c r="BJ369" i="3"/>
  <c r="BI369" i="3"/>
  <c r="BH369" i="3"/>
  <c r="BG369" i="3"/>
  <c r="BF369" i="3"/>
  <c r="BE369" i="3"/>
  <c r="BD369" i="3"/>
  <c r="BC369" i="3"/>
  <c r="BB369" i="3"/>
  <c r="AX369" i="3"/>
  <c r="AW369" i="3"/>
  <c r="AV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H365" i="3"/>
  <c r="BT364" i="3"/>
  <c r="BS364" i="3"/>
  <c r="BR364" i="3"/>
  <c r="BQ364" i="3"/>
  <c r="BP364" i="3"/>
  <c r="BO364" i="3"/>
  <c r="BN364" i="3"/>
  <c r="BM364" i="3"/>
  <c r="BK364" i="3"/>
  <c r="BJ364" i="3"/>
  <c r="BI364" i="3"/>
  <c r="BH364" i="3"/>
  <c r="BG364" i="3"/>
  <c r="BF364" i="3"/>
  <c r="BE364" i="3"/>
  <c r="BD364" i="3"/>
  <c r="BC364" i="3"/>
  <c r="BB364" i="3"/>
  <c r="AX364" i="3"/>
  <c r="AW364" i="3"/>
  <c r="AV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H363" i="3"/>
  <c r="BT362" i="3"/>
  <c r="BS362" i="3"/>
  <c r="BR362" i="3"/>
  <c r="BQ362" i="3"/>
  <c r="BP362" i="3"/>
  <c r="BO362" i="3"/>
  <c r="BN362" i="3"/>
  <c r="BM362" i="3"/>
  <c r="BK362" i="3"/>
  <c r="BJ362" i="3"/>
  <c r="BI362" i="3"/>
  <c r="BH362" i="3"/>
  <c r="BG362" i="3"/>
  <c r="BF362" i="3"/>
  <c r="BE362" i="3"/>
  <c r="BD362" i="3"/>
  <c r="BC362" i="3"/>
  <c r="BB362" i="3"/>
  <c r="AX362" i="3"/>
  <c r="AW362" i="3"/>
  <c r="AV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H361" i="3"/>
  <c r="BT360" i="3"/>
  <c r="BS360" i="3"/>
  <c r="BR360" i="3"/>
  <c r="BQ360" i="3"/>
  <c r="BP360" i="3"/>
  <c r="BO360" i="3"/>
  <c r="BN360" i="3"/>
  <c r="BM360" i="3"/>
  <c r="BK360" i="3"/>
  <c r="BJ360" i="3"/>
  <c r="BI360" i="3"/>
  <c r="BH360" i="3"/>
  <c r="BG360" i="3"/>
  <c r="BF360" i="3"/>
  <c r="BE360" i="3"/>
  <c r="BD360" i="3"/>
  <c r="BC360" i="3"/>
  <c r="BB360" i="3"/>
  <c r="AX360" i="3"/>
  <c r="AW360" i="3"/>
  <c r="AV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H357" i="3"/>
  <c r="BT356" i="3"/>
  <c r="BS356" i="3"/>
  <c r="BR356" i="3"/>
  <c r="BQ356" i="3"/>
  <c r="BP356" i="3"/>
  <c r="BO356" i="3"/>
  <c r="BN356" i="3"/>
  <c r="BM356" i="3"/>
  <c r="BK356" i="3"/>
  <c r="BJ356" i="3"/>
  <c r="BI356" i="3"/>
  <c r="BH356" i="3"/>
  <c r="BG356" i="3"/>
  <c r="BF356" i="3"/>
  <c r="BE356" i="3"/>
  <c r="BD356" i="3"/>
  <c r="BC356" i="3"/>
  <c r="BB356" i="3"/>
  <c r="AX356" i="3"/>
  <c r="AW356" i="3"/>
  <c r="AV356" i="3"/>
  <c r="H356" i="3"/>
  <c r="BT355" i="3"/>
  <c r="BS355" i="3"/>
  <c r="BR355" i="3"/>
  <c r="BQ355" i="3"/>
  <c r="BP355" i="3"/>
  <c r="BO355" i="3"/>
  <c r="BN355" i="3"/>
  <c r="BM355" i="3"/>
  <c r="BK355" i="3"/>
  <c r="BJ355" i="3"/>
  <c r="BI355" i="3"/>
  <c r="BH355" i="3"/>
  <c r="BG355" i="3"/>
  <c r="BF355" i="3"/>
  <c r="BE355" i="3"/>
  <c r="BD355" i="3"/>
  <c r="BC355" i="3"/>
  <c r="BB355" i="3"/>
  <c r="AX355" i="3"/>
  <c r="AW355" i="3"/>
  <c r="AV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H352" i="3"/>
  <c r="BT351" i="3"/>
  <c r="BS351" i="3"/>
  <c r="BR351" i="3"/>
  <c r="BQ351" i="3"/>
  <c r="BP351" i="3"/>
  <c r="BO351" i="3"/>
  <c r="BN351" i="3"/>
  <c r="BM351" i="3"/>
  <c r="BK351" i="3"/>
  <c r="BJ351" i="3"/>
  <c r="BI351" i="3"/>
  <c r="BH351" i="3"/>
  <c r="BG351" i="3"/>
  <c r="BF351" i="3"/>
  <c r="BE351" i="3"/>
  <c r="BD351" i="3"/>
  <c r="BC351" i="3"/>
  <c r="BB351" i="3"/>
  <c r="AX351" i="3"/>
  <c r="AW351" i="3"/>
  <c r="AV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H348" i="3"/>
  <c r="BT347" i="3"/>
  <c r="BS347" i="3"/>
  <c r="BR347" i="3"/>
  <c r="BQ347" i="3"/>
  <c r="BP347" i="3"/>
  <c r="BO347" i="3"/>
  <c r="BN347" i="3"/>
  <c r="BM347" i="3"/>
  <c r="BK347" i="3"/>
  <c r="BJ347" i="3"/>
  <c r="BI347" i="3"/>
  <c r="BH347" i="3"/>
  <c r="BG347" i="3"/>
  <c r="BF347" i="3"/>
  <c r="BE347" i="3"/>
  <c r="BD347" i="3"/>
  <c r="BC347" i="3"/>
  <c r="BB347" i="3"/>
  <c r="AX347" i="3"/>
  <c r="AW347" i="3"/>
  <c r="AV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H346" i="3"/>
  <c r="BT345" i="3"/>
  <c r="BS345" i="3"/>
  <c r="BR345" i="3"/>
  <c r="BQ345" i="3"/>
  <c r="BP345" i="3"/>
  <c r="BO345" i="3"/>
  <c r="BN345" i="3"/>
  <c r="BM345" i="3"/>
  <c r="BK345" i="3"/>
  <c r="BJ345" i="3"/>
  <c r="BI345" i="3"/>
  <c r="BH345" i="3"/>
  <c r="BG345" i="3"/>
  <c r="BF345" i="3"/>
  <c r="BE345" i="3"/>
  <c r="BD345" i="3"/>
  <c r="BC345" i="3"/>
  <c r="BB345" i="3"/>
  <c r="AX345" i="3"/>
  <c r="AW345" i="3"/>
  <c r="AV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H344" i="3"/>
  <c r="BT343" i="3"/>
  <c r="BS343" i="3"/>
  <c r="BR343" i="3"/>
  <c r="BQ343" i="3"/>
  <c r="BP343" i="3"/>
  <c r="BO343" i="3"/>
  <c r="BN343" i="3"/>
  <c r="BM343" i="3"/>
  <c r="BK343" i="3"/>
  <c r="BJ343" i="3"/>
  <c r="BI343" i="3"/>
  <c r="BH343" i="3"/>
  <c r="BG343" i="3"/>
  <c r="BF343" i="3"/>
  <c r="BE343" i="3"/>
  <c r="BD343" i="3"/>
  <c r="BC343" i="3"/>
  <c r="BB343" i="3"/>
  <c r="AX343" i="3"/>
  <c r="AW343" i="3"/>
  <c r="AV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H342" i="3"/>
  <c r="BT341" i="3"/>
  <c r="BS341" i="3"/>
  <c r="BR341" i="3"/>
  <c r="BQ341" i="3"/>
  <c r="BP341" i="3"/>
  <c r="BO341" i="3"/>
  <c r="BN341" i="3"/>
  <c r="BM341" i="3"/>
  <c r="BK341" i="3"/>
  <c r="BJ341" i="3"/>
  <c r="BI341" i="3"/>
  <c r="BH341" i="3"/>
  <c r="BG341" i="3"/>
  <c r="BF341" i="3"/>
  <c r="BE341" i="3"/>
  <c r="BD341" i="3"/>
  <c r="BC341" i="3"/>
  <c r="BB341" i="3"/>
  <c r="AX341" i="3"/>
  <c r="AW341" i="3"/>
  <c r="AV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H338" i="3"/>
  <c r="BT337" i="3"/>
  <c r="BS337" i="3"/>
  <c r="BR337" i="3"/>
  <c r="BQ337" i="3"/>
  <c r="BP337" i="3"/>
  <c r="BO337" i="3"/>
  <c r="BN337" i="3"/>
  <c r="BM337" i="3"/>
  <c r="BK337" i="3"/>
  <c r="BJ337" i="3"/>
  <c r="BI337" i="3"/>
  <c r="BH337" i="3"/>
  <c r="BG337" i="3"/>
  <c r="BF337" i="3"/>
  <c r="BE337" i="3"/>
  <c r="BD337" i="3"/>
  <c r="BC337" i="3"/>
  <c r="BB337" i="3"/>
  <c r="AX337" i="3"/>
  <c r="AW337" i="3"/>
  <c r="AV337" i="3"/>
  <c r="H337" i="3"/>
  <c r="BT336" i="3"/>
  <c r="BS336" i="3"/>
  <c r="BR336" i="3"/>
  <c r="BQ336" i="3"/>
  <c r="BP336" i="3"/>
  <c r="BO336" i="3"/>
  <c r="BN336" i="3"/>
  <c r="BM336" i="3"/>
  <c r="BK336" i="3"/>
  <c r="BJ336" i="3"/>
  <c r="BI336" i="3"/>
  <c r="BH336" i="3"/>
  <c r="BG336" i="3"/>
  <c r="BF336" i="3"/>
  <c r="BE336" i="3"/>
  <c r="BD336" i="3"/>
  <c r="BC336" i="3"/>
  <c r="BB336" i="3"/>
  <c r="AX336" i="3"/>
  <c r="AW336" i="3"/>
  <c r="AV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H335" i="3"/>
  <c r="BT334" i="3"/>
  <c r="BS334" i="3"/>
  <c r="BR334" i="3"/>
  <c r="BQ334" i="3"/>
  <c r="BP334" i="3"/>
  <c r="BO334" i="3"/>
  <c r="BN334" i="3"/>
  <c r="BM334" i="3"/>
  <c r="BK334" i="3"/>
  <c r="BJ334" i="3"/>
  <c r="BI334" i="3"/>
  <c r="BH334" i="3"/>
  <c r="BG334" i="3"/>
  <c r="BF334" i="3"/>
  <c r="BE334" i="3"/>
  <c r="BD334" i="3"/>
  <c r="BC334" i="3"/>
  <c r="BB334" i="3"/>
  <c r="AX334" i="3"/>
  <c r="AW334" i="3"/>
  <c r="AV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H330" i="3"/>
  <c r="BT329" i="3"/>
  <c r="BS329" i="3"/>
  <c r="BR329" i="3"/>
  <c r="BQ329" i="3"/>
  <c r="BP329" i="3"/>
  <c r="BO329" i="3"/>
  <c r="BN329" i="3"/>
  <c r="BM329" i="3"/>
  <c r="BK329" i="3"/>
  <c r="BJ329" i="3"/>
  <c r="BI329" i="3"/>
  <c r="BH329" i="3"/>
  <c r="BG329" i="3"/>
  <c r="BF329" i="3"/>
  <c r="BE329" i="3"/>
  <c r="BD329" i="3"/>
  <c r="BC329" i="3"/>
  <c r="BB329" i="3"/>
  <c r="AX329" i="3"/>
  <c r="AW329" i="3"/>
  <c r="AV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H328" i="3"/>
  <c r="BT327" i="3"/>
  <c r="BS327" i="3"/>
  <c r="BR327" i="3"/>
  <c r="BQ327" i="3"/>
  <c r="BP327" i="3"/>
  <c r="BO327" i="3"/>
  <c r="BN327" i="3"/>
  <c r="BM327" i="3"/>
  <c r="BK327" i="3"/>
  <c r="BJ327" i="3"/>
  <c r="BI327" i="3"/>
  <c r="BH327" i="3"/>
  <c r="BG327" i="3"/>
  <c r="BF327" i="3"/>
  <c r="BE327" i="3"/>
  <c r="BD327" i="3"/>
  <c r="BC327" i="3"/>
  <c r="BB327" i="3"/>
  <c r="AX327" i="3"/>
  <c r="AW327" i="3"/>
  <c r="AV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H326" i="3"/>
  <c r="BT325" i="3"/>
  <c r="BS325" i="3"/>
  <c r="BR325" i="3"/>
  <c r="BQ325" i="3"/>
  <c r="BP325" i="3"/>
  <c r="BO325" i="3"/>
  <c r="BN325" i="3"/>
  <c r="BM325" i="3"/>
  <c r="BK325" i="3"/>
  <c r="BJ325" i="3"/>
  <c r="BI325" i="3"/>
  <c r="BH325" i="3"/>
  <c r="BG325" i="3"/>
  <c r="BF325" i="3"/>
  <c r="BE325" i="3"/>
  <c r="BD325" i="3"/>
  <c r="BC325" i="3"/>
  <c r="BB325" i="3"/>
  <c r="AX325" i="3"/>
  <c r="AW325" i="3"/>
  <c r="AV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H322" i="3"/>
  <c r="BT321" i="3"/>
  <c r="BS321" i="3"/>
  <c r="BR321" i="3"/>
  <c r="BQ321" i="3"/>
  <c r="BP321" i="3"/>
  <c r="BO321" i="3"/>
  <c r="BN321" i="3"/>
  <c r="BM321" i="3"/>
  <c r="BK321" i="3"/>
  <c r="BJ321" i="3"/>
  <c r="BI321" i="3"/>
  <c r="BH321" i="3"/>
  <c r="BG321" i="3"/>
  <c r="BF321" i="3"/>
  <c r="BE321" i="3"/>
  <c r="BD321" i="3"/>
  <c r="BC321" i="3"/>
  <c r="BB321" i="3"/>
  <c r="AX321" i="3"/>
  <c r="AW321" i="3"/>
  <c r="AV321" i="3"/>
  <c r="H321" i="3"/>
  <c r="BT320" i="3"/>
  <c r="BS320" i="3"/>
  <c r="BR320" i="3"/>
  <c r="BQ320" i="3"/>
  <c r="BP320" i="3"/>
  <c r="BO320" i="3"/>
  <c r="BN320" i="3"/>
  <c r="BM320" i="3"/>
  <c r="BK320" i="3"/>
  <c r="BJ320" i="3"/>
  <c r="BI320" i="3"/>
  <c r="BH320" i="3"/>
  <c r="BG320" i="3"/>
  <c r="BF320" i="3"/>
  <c r="BE320" i="3"/>
  <c r="BD320" i="3"/>
  <c r="BC320" i="3"/>
  <c r="BB320" i="3"/>
  <c r="AX320" i="3"/>
  <c r="AW320" i="3"/>
  <c r="AV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H319" i="3"/>
  <c r="BT318" i="3"/>
  <c r="BS318" i="3"/>
  <c r="BR318" i="3"/>
  <c r="BQ318" i="3"/>
  <c r="BP318" i="3"/>
  <c r="BO318" i="3"/>
  <c r="BN318" i="3"/>
  <c r="BM318" i="3"/>
  <c r="BK318" i="3"/>
  <c r="BJ318" i="3"/>
  <c r="BI318" i="3"/>
  <c r="BH318" i="3"/>
  <c r="BG318" i="3"/>
  <c r="BF318" i="3"/>
  <c r="BE318" i="3"/>
  <c r="BD318" i="3"/>
  <c r="BC318" i="3"/>
  <c r="BB318" i="3"/>
  <c r="AX318" i="3"/>
  <c r="AW318" i="3"/>
  <c r="AV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H314" i="3"/>
  <c r="BT313" i="3"/>
  <c r="BS313" i="3"/>
  <c r="BR313" i="3"/>
  <c r="BQ313" i="3"/>
  <c r="BP313" i="3"/>
  <c r="BO313" i="3"/>
  <c r="BN313" i="3"/>
  <c r="BM313" i="3"/>
  <c r="BK313" i="3"/>
  <c r="BJ313" i="3"/>
  <c r="BI313" i="3"/>
  <c r="BH313" i="3"/>
  <c r="BG313" i="3"/>
  <c r="BF313" i="3"/>
  <c r="BE313" i="3"/>
  <c r="BD313" i="3"/>
  <c r="BC313" i="3"/>
  <c r="BB313" i="3"/>
  <c r="AX313" i="3"/>
  <c r="AW313" i="3"/>
  <c r="AV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H312" i="3"/>
  <c r="BT311" i="3"/>
  <c r="BS311" i="3"/>
  <c r="BR311" i="3"/>
  <c r="BQ311" i="3"/>
  <c r="BP311" i="3"/>
  <c r="BO311" i="3"/>
  <c r="BN311" i="3"/>
  <c r="BM311" i="3"/>
  <c r="BK311" i="3"/>
  <c r="BJ311" i="3"/>
  <c r="BI311" i="3"/>
  <c r="BH311" i="3"/>
  <c r="BG311" i="3"/>
  <c r="BF311" i="3"/>
  <c r="BE311" i="3"/>
  <c r="BD311" i="3"/>
  <c r="BC311" i="3"/>
  <c r="BB311" i="3"/>
  <c r="AX311" i="3"/>
  <c r="AW311" i="3"/>
  <c r="AV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H310" i="3"/>
  <c r="BT309" i="3"/>
  <c r="BS309" i="3"/>
  <c r="BR309" i="3"/>
  <c r="BQ309" i="3"/>
  <c r="BP309" i="3"/>
  <c r="BO309" i="3"/>
  <c r="BN309" i="3"/>
  <c r="BM309" i="3"/>
  <c r="BK309" i="3"/>
  <c r="BJ309" i="3"/>
  <c r="BI309" i="3"/>
  <c r="BH309" i="3"/>
  <c r="BG309" i="3"/>
  <c r="BF309" i="3"/>
  <c r="BE309" i="3"/>
  <c r="BD309" i="3"/>
  <c r="BC309" i="3"/>
  <c r="BB309" i="3"/>
  <c r="AX309" i="3"/>
  <c r="AW309" i="3"/>
  <c r="AV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H306" i="3"/>
  <c r="BT305" i="3"/>
  <c r="BS305" i="3"/>
  <c r="BR305" i="3"/>
  <c r="BQ305" i="3"/>
  <c r="BP305" i="3"/>
  <c r="BO305" i="3"/>
  <c r="BN305" i="3"/>
  <c r="BM305" i="3"/>
  <c r="BK305" i="3"/>
  <c r="BJ305" i="3"/>
  <c r="BI305" i="3"/>
  <c r="BH305" i="3"/>
  <c r="BG305" i="3"/>
  <c r="BF305" i="3"/>
  <c r="BE305" i="3"/>
  <c r="BD305" i="3"/>
  <c r="BC305" i="3"/>
  <c r="BB305" i="3"/>
  <c r="AX305" i="3"/>
  <c r="AW305" i="3"/>
  <c r="AV305" i="3"/>
  <c r="H305" i="3"/>
  <c r="BT304" i="3"/>
  <c r="BS304" i="3"/>
  <c r="BR304" i="3"/>
  <c r="BQ304" i="3"/>
  <c r="BP304" i="3"/>
  <c r="BO304" i="3"/>
  <c r="BN304" i="3"/>
  <c r="BM304" i="3"/>
  <c r="BK304" i="3"/>
  <c r="BJ304" i="3"/>
  <c r="BI304" i="3"/>
  <c r="BH304" i="3"/>
  <c r="BG304" i="3"/>
  <c r="BF304" i="3"/>
  <c r="BE304" i="3"/>
  <c r="BD304" i="3"/>
  <c r="BC304" i="3"/>
  <c r="BB304" i="3"/>
  <c r="AX304" i="3"/>
  <c r="AW304" i="3"/>
  <c r="AV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T35" i="4"/>
  <c r="A19" i="51"/>
  <c r="B14" i="72"/>
  <c r="G13" i="1"/>
  <c r="G11" i="1"/>
  <c r="I15" i="4"/>
  <c r="H15" i="4"/>
  <c r="F8" i="1"/>
  <c r="G8" i="1"/>
  <c r="E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F23" i="15"/>
  <c r="D24" i="15"/>
  <c r="E23" i="6"/>
  <c r="K10" i="1"/>
  <c r="M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14" i="3"/>
  <c r="H15" i="3"/>
  <c r="H16" i="3"/>
  <c r="H17" i="3"/>
  <c r="AT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BB493" i="3"/>
  <c r="BC493" i="3"/>
  <c r="BD493" i="3"/>
  <c r="BE493" i="3"/>
  <c r="BF493" i="3"/>
  <c r="BG493" i="3"/>
  <c r="BH493" i="3"/>
  <c r="BI493" i="3"/>
  <c r="BJ493" i="3"/>
  <c r="BK493" i="3"/>
  <c r="BM493" i="3"/>
  <c r="BN493" i="3"/>
  <c r="BO493" i="3"/>
  <c r="BP493" i="3"/>
  <c r="BR493" i="3"/>
  <c r="BS493" i="3"/>
  <c r="BT493" i="3"/>
  <c r="H494" i="3"/>
  <c r="BB494" i="3"/>
  <c r="BC494" i="3"/>
  <c r="BD494" i="3"/>
  <c r="BE494" i="3"/>
  <c r="BF494" i="3"/>
  <c r="BG494" i="3"/>
  <c r="BH494" i="3"/>
  <c r="BI494" i="3"/>
  <c r="BJ494" i="3"/>
  <c r="BK494" i="3"/>
  <c r="BM494" i="3"/>
  <c r="BN494" i="3"/>
  <c r="BO494" i="3"/>
  <c r="BP494" i="3"/>
  <c r="BQ494" i="3"/>
  <c r="BR494" i="3"/>
  <c r="BS494" i="3"/>
  <c r="BT494" i="3"/>
  <c r="H495" i="3"/>
  <c r="BB495" i="3"/>
  <c r="BC495" i="3"/>
  <c r="BD495" i="3"/>
  <c r="BE495" i="3"/>
  <c r="BF495" i="3"/>
  <c r="BG495" i="3"/>
  <c r="BH495" i="3"/>
  <c r="BI495" i="3"/>
  <c r="BJ495" i="3"/>
  <c r="BK495" i="3"/>
  <c r="BM495" i="3"/>
  <c r="BN495" i="3"/>
  <c r="BO495" i="3"/>
  <c r="BP495" i="3"/>
  <c r="BR495" i="3"/>
  <c r="BS495" i="3"/>
  <c r="BT495" i="3"/>
  <c r="H496" i="3"/>
  <c r="BB496" i="3"/>
  <c r="BC496" i="3"/>
  <c r="BD496" i="3"/>
  <c r="BE496" i="3"/>
  <c r="BF496" i="3"/>
  <c r="BG496" i="3"/>
  <c r="BH496" i="3"/>
  <c r="BI496" i="3"/>
  <c r="BJ496" i="3"/>
  <c r="BK496" i="3"/>
  <c r="BM496" i="3"/>
  <c r="BN496" i="3"/>
  <c r="BO496" i="3"/>
  <c r="BP496" i="3"/>
  <c r="BQ496" i="3"/>
  <c r="BR496" i="3"/>
  <c r="BS496" i="3"/>
  <c r="BT496" i="3"/>
  <c r="H497" i="3"/>
  <c r="BB497" i="3"/>
  <c r="BC497" i="3"/>
  <c r="BD497" i="3"/>
  <c r="BE497" i="3"/>
  <c r="BF497" i="3"/>
  <c r="BG497" i="3"/>
  <c r="BH497" i="3"/>
  <c r="BI497" i="3"/>
  <c r="BJ497" i="3"/>
  <c r="BK497" i="3"/>
  <c r="BM497" i="3"/>
  <c r="BN497" i="3"/>
  <c r="BO497" i="3"/>
  <c r="BP497" i="3"/>
  <c r="BR497" i="3"/>
  <c r="BS497" i="3"/>
  <c r="BT497" i="3"/>
  <c r="H498" i="3"/>
  <c r="BB498" i="3"/>
  <c r="BC498" i="3"/>
  <c r="BD498" i="3"/>
  <c r="BE498" i="3"/>
  <c r="BF498" i="3"/>
  <c r="BG498" i="3"/>
  <c r="BH498" i="3"/>
  <c r="BI498" i="3"/>
  <c r="BJ498" i="3"/>
  <c r="BK498" i="3"/>
  <c r="BM498" i="3"/>
  <c r="BN498" i="3"/>
  <c r="BO498" i="3"/>
  <c r="BP498" i="3"/>
  <c r="BQ498" i="3"/>
  <c r="BR498" i="3"/>
  <c r="BS498" i="3"/>
  <c r="BT498" i="3"/>
  <c r="H499" i="3"/>
  <c r="BB499" i="3"/>
  <c r="BC499" i="3"/>
  <c r="BD499" i="3"/>
  <c r="BE499" i="3"/>
  <c r="BF499" i="3"/>
  <c r="BG499" i="3"/>
  <c r="BH499" i="3"/>
  <c r="BI499" i="3"/>
  <c r="BJ499" i="3"/>
  <c r="BK499" i="3"/>
  <c r="BM499" i="3"/>
  <c r="BN499" i="3"/>
  <c r="BO499" i="3"/>
  <c r="BP499" i="3"/>
  <c r="BR499" i="3"/>
  <c r="BS499" i="3"/>
  <c r="BT499" i="3"/>
  <c r="H500" i="3"/>
  <c r="BB500" i="3"/>
  <c r="BC500" i="3"/>
  <c r="BD500" i="3"/>
  <c r="BE500" i="3"/>
  <c r="BF500" i="3"/>
  <c r="BG500" i="3"/>
  <c r="BH500" i="3"/>
  <c r="BI500" i="3"/>
  <c r="BJ500" i="3"/>
  <c r="BK500" i="3"/>
  <c r="BM500" i="3"/>
  <c r="BN500" i="3"/>
  <c r="BO500" i="3"/>
  <c r="BP500" i="3"/>
  <c r="BQ500" i="3"/>
  <c r="BR500" i="3"/>
  <c r="BS500" i="3"/>
  <c r="BT500" i="3"/>
  <c r="H501" i="3"/>
  <c r="BB501" i="3"/>
  <c r="BC501" i="3"/>
  <c r="BD501" i="3"/>
  <c r="BE501" i="3"/>
  <c r="BF501" i="3"/>
  <c r="BG501" i="3"/>
  <c r="BH501" i="3"/>
  <c r="BI501" i="3"/>
  <c r="BJ501" i="3"/>
  <c r="BK501" i="3"/>
  <c r="BM501" i="3"/>
  <c r="BN501" i="3"/>
  <c r="BO501" i="3"/>
  <c r="BP501" i="3"/>
  <c r="BR501" i="3"/>
  <c r="BS501" i="3"/>
  <c r="BT501" i="3"/>
  <c r="H502" i="3"/>
  <c r="BB502" i="3"/>
  <c r="BC502" i="3"/>
  <c r="BD502" i="3"/>
  <c r="BE502" i="3"/>
  <c r="BF502" i="3"/>
  <c r="BG502" i="3"/>
  <c r="BH502" i="3"/>
  <c r="BI502" i="3"/>
  <c r="BJ502" i="3"/>
  <c r="BK502" i="3"/>
  <c r="BM502" i="3"/>
  <c r="BN502" i="3"/>
  <c r="BO502" i="3"/>
  <c r="BP502" i="3"/>
  <c r="BQ502" i="3"/>
  <c r="BR502" i="3"/>
  <c r="BS502" i="3"/>
  <c r="BT502" i="3"/>
  <c r="H503" i="3"/>
  <c r="BB503" i="3"/>
  <c r="BC503" i="3"/>
  <c r="BD503" i="3"/>
  <c r="BE503" i="3"/>
  <c r="BF503" i="3"/>
  <c r="BG503" i="3"/>
  <c r="BH503" i="3"/>
  <c r="BI503" i="3"/>
  <c r="BJ503" i="3"/>
  <c r="BK503" i="3"/>
  <c r="BM503" i="3"/>
  <c r="BN503" i="3"/>
  <c r="BO503" i="3"/>
  <c r="BP503" i="3"/>
  <c r="BR503" i="3"/>
  <c r="BS503" i="3"/>
  <c r="BT503" i="3"/>
  <c r="H504" i="3"/>
  <c r="BB504" i="3"/>
  <c r="BC504" i="3"/>
  <c r="BD504" i="3"/>
  <c r="BE504" i="3"/>
  <c r="BF504" i="3"/>
  <c r="BG504" i="3"/>
  <c r="BH504" i="3"/>
  <c r="BI504" i="3"/>
  <c r="BJ504" i="3"/>
  <c r="BK504" i="3"/>
  <c r="BM504" i="3"/>
  <c r="BN504" i="3"/>
  <c r="BO504" i="3"/>
  <c r="BP504" i="3"/>
  <c r="BQ504" i="3"/>
  <c r="BR504" i="3"/>
  <c r="BS504" i="3"/>
  <c r="BT504" i="3"/>
  <c r="H505" i="3"/>
  <c r="BB505" i="3"/>
  <c r="BC505" i="3"/>
  <c r="BD505" i="3"/>
  <c r="BE505" i="3"/>
  <c r="BF505" i="3"/>
  <c r="BG505" i="3"/>
  <c r="BH505" i="3"/>
  <c r="BI505" i="3"/>
  <c r="BJ505" i="3"/>
  <c r="BK505" i="3"/>
  <c r="BM505" i="3"/>
  <c r="BN505" i="3"/>
  <c r="BO505" i="3"/>
  <c r="BP505" i="3"/>
  <c r="BR505" i="3"/>
  <c r="BS505" i="3"/>
  <c r="BT505" i="3"/>
  <c r="H506" i="3"/>
  <c r="BB506" i="3"/>
  <c r="BC506" i="3"/>
  <c r="BD506" i="3"/>
  <c r="BE506" i="3"/>
  <c r="BF506" i="3"/>
  <c r="BG506" i="3"/>
  <c r="BH506" i="3"/>
  <c r="BI506" i="3"/>
  <c r="BJ506" i="3"/>
  <c r="BK506" i="3"/>
  <c r="BM506" i="3"/>
  <c r="BN506" i="3"/>
  <c r="BO506" i="3"/>
  <c r="BP506" i="3"/>
  <c r="BQ506" i="3"/>
  <c r="BR506" i="3"/>
  <c r="BS506" i="3"/>
  <c r="BT506" i="3"/>
  <c r="H507" i="3"/>
  <c r="BB507" i="3"/>
  <c r="BC507" i="3"/>
  <c r="BD507" i="3"/>
  <c r="BE507" i="3"/>
  <c r="BF507" i="3"/>
  <c r="BG507" i="3"/>
  <c r="BH507" i="3"/>
  <c r="BI507" i="3"/>
  <c r="BJ507" i="3"/>
  <c r="BK507" i="3"/>
  <c r="BM507" i="3"/>
  <c r="BN507" i="3"/>
  <c r="BO507" i="3"/>
  <c r="BP507" i="3"/>
  <c r="BR507" i="3"/>
  <c r="BS507" i="3"/>
  <c r="BT507" i="3"/>
  <c r="H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BB510" i="3"/>
  <c r="BC510" i="3"/>
  <c r="BD510" i="3"/>
  <c r="BE510" i="3"/>
  <c r="BF510" i="3"/>
  <c r="BG510" i="3"/>
  <c r="BH510" i="3"/>
  <c r="BI510" i="3"/>
  <c r="BJ510" i="3"/>
  <c r="BK510" i="3"/>
  <c r="BM510" i="3"/>
  <c r="BN510" i="3"/>
  <c r="BO510" i="3"/>
  <c r="BP510" i="3"/>
  <c r="BQ510" i="3"/>
  <c r="BR510" i="3"/>
  <c r="BS510" i="3"/>
  <c r="BT510" i="3"/>
  <c r="H511" i="3"/>
  <c r="BB511" i="3"/>
  <c r="BC511" i="3"/>
  <c r="BD511" i="3"/>
  <c r="BE511" i="3"/>
  <c r="BF511" i="3"/>
  <c r="BG511" i="3"/>
  <c r="BH511" i="3"/>
  <c r="BI511" i="3"/>
  <c r="BJ511" i="3"/>
  <c r="BK511" i="3"/>
  <c r="BM511" i="3"/>
  <c r="BN511" i="3"/>
  <c r="BO511" i="3"/>
  <c r="BP511" i="3"/>
  <c r="BR511" i="3"/>
  <c r="BS511" i="3"/>
  <c r="BT511" i="3"/>
  <c r="H512" i="3"/>
  <c r="BB512" i="3"/>
  <c r="BC512" i="3"/>
  <c r="BD512" i="3"/>
  <c r="BE512" i="3"/>
  <c r="BF512" i="3"/>
  <c r="BG512" i="3"/>
  <c r="BH512" i="3"/>
  <c r="BI512" i="3"/>
  <c r="BJ512" i="3"/>
  <c r="BK512" i="3"/>
  <c r="BM512" i="3"/>
  <c r="BN512" i="3"/>
  <c r="BO512" i="3"/>
  <c r="BP512" i="3"/>
  <c r="BQ512" i="3"/>
  <c r="BR512" i="3"/>
  <c r="BS512" i="3"/>
  <c r="BT512" i="3"/>
  <c r="H513" i="3"/>
  <c r="BB513" i="3"/>
  <c r="BC513" i="3"/>
  <c r="BD513" i="3"/>
  <c r="BE513" i="3"/>
  <c r="BF513" i="3"/>
  <c r="BG513" i="3"/>
  <c r="BH513" i="3"/>
  <c r="BI513" i="3"/>
  <c r="BJ513" i="3"/>
  <c r="BK513" i="3"/>
  <c r="BM513" i="3"/>
  <c r="BN513" i="3"/>
  <c r="BO513" i="3"/>
  <c r="BP513" i="3"/>
  <c r="BR513" i="3"/>
  <c r="BS513" i="3"/>
  <c r="BT513" i="3"/>
  <c r="H514" i="3"/>
  <c r="BB514" i="3"/>
  <c r="BC514" i="3"/>
  <c r="BD514" i="3"/>
  <c r="BE514" i="3"/>
  <c r="BF514" i="3"/>
  <c r="BG514" i="3"/>
  <c r="BH514" i="3"/>
  <c r="BI514" i="3"/>
  <c r="BJ514" i="3"/>
  <c r="BK514" i="3"/>
  <c r="BM514" i="3"/>
  <c r="BN514" i="3"/>
  <c r="BO514" i="3"/>
  <c r="BP514" i="3"/>
  <c r="BQ514" i="3"/>
  <c r="BR514" i="3"/>
  <c r="BS514" i="3"/>
  <c r="BT514" i="3"/>
  <c r="H515" i="3"/>
  <c r="BB515" i="3"/>
  <c r="BC515" i="3"/>
  <c r="BD515" i="3"/>
  <c r="BE515" i="3"/>
  <c r="BF515" i="3"/>
  <c r="BG515" i="3"/>
  <c r="BH515" i="3"/>
  <c r="BI515" i="3"/>
  <c r="BJ515" i="3"/>
  <c r="BK515" i="3"/>
  <c r="BM515" i="3"/>
  <c r="BN515" i="3"/>
  <c r="BO515" i="3"/>
  <c r="BP515" i="3"/>
  <c r="BR515" i="3"/>
  <c r="BS515" i="3"/>
  <c r="BT515" i="3"/>
  <c r="H516" i="3"/>
  <c r="BB516" i="3"/>
  <c r="BC516" i="3"/>
  <c r="BD516" i="3"/>
  <c r="BE516" i="3"/>
  <c r="BF516" i="3"/>
  <c r="BG516" i="3"/>
  <c r="BH516" i="3"/>
  <c r="BI516" i="3"/>
  <c r="BJ516" i="3"/>
  <c r="BK516" i="3"/>
  <c r="BM516" i="3"/>
  <c r="BN516" i="3"/>
  <c r="BO516" i="3"/>
  <c r="BP516" i="3"/>
  <c r="BQ516" i="3"/>
  <c r="BR516" i="3"/>
  <c r="BS516" i="3"/>
  <c r="BT516" i="3"/>
  <c r="H517" i="3"/>
  <c r="BB517" i="3"/>
  <c r="BC517" i="3"/>
  <c r="BD517" i="3"/>
  <c r="BE517" i="3"/>
  <c r="BF517" i="3"/>
  <c r="BG517" i="3"/>
  <c r="BH517" i="3"/>
  <c r="BI517" i="3"/>
  <c r="BJ517" i="3"/>
  <c r="BK517" i="3"/>
  <c r="BM517" i="3"/>
  <c r="BN517" i="3"/>
  <c r="BO517" i="3"/>
  <c r="BP517" i="3"/>
  <c r="BR517" i="3"/>
  <c r="BS517" i="3"/>
  <c r="BT517" i="3"/>
  <c r="H518" i="3"/>
  <c r="BB518" i="3"/>
  <c r="BC518" i="3"/>
  <c r="BD518" i="3"/>
  <c r="BE518" i="3"/>
  <c r="BF518" i="3"/>
  <c r="BG518" i="3"/>
  <c r="BH518" i="3"/>
  <c r="BI518" i="3"/>
  <c r="BJ518" i="3"/>
  <c r="BK518" i="3"/>
  <c r="BM518" i="3"/>
  <c r="BN518" i="3"/>
  <c r="BO518" i="3"/>
  <c r="BP518" i="3"/>
  <c r="BQ518" i="3"/>
  <c r="BR518" i="3"/>
  <c r="BS518" i="3"/>
  <c r="BT518" i="3"/>
  <c r="H519" i="3"/>
  <c r="BB519" i="3"/>
  <c r="BC519" i="3"/>
  <c r="BD519" i="3"/>
  <c r="BE519" i="3"/>
  <c r="BF519" i="3"/>
  <c r="BG519" i="3"/>
  <c r="BH519" i="3"/>
  <c r="BI519" i="3"/>
  <c r="BJ519" i="3"/>
  <c r="BK519" i="3"/>
  <c r="BM519" i="3"/>
  <c r="BN519" i="3"/>
  <c r="BO519" i="3"/>
  <c r="BP519" i="3"/>
  <c r="BR519" i="3"/>
  <c r="BS519" i="3"/>
  <c r="BT519" i="3"/>
  <c r="H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BB522" i="3"/>
  <c r="BC522" i="3"/>
  <c r="BD522" i="3"/>
  <c r="BE522" i="3"/>
  <c r="BF522" i="3"/>
  <c r="BG522" i="3"/>
  <c r="BH522" i="3"/>
  <c r="BI522" i="3"/>
  <c r="BJ522" i="3"/>
  <c r="BK522" i="3"/>
  <c r="BM522" i="3"/>
  <c r="BN522" i="3"/>
  <c r="BO522" i="3"/>
  <c r="BP522" i="3"/>
  <c r="BQ522" i="3"/>
  <c r="BR522" i="3"/>
  <c r="BS522" i="3"/>
  <c r="BT522" i="3"/>
  <c r="H523" i="3"/>
  <c r="BB523" i="3"/>
  <c r="BC523" i="3"/>
  <c r="BD523" i="3"/>
  <c r="BE523" i="3"/>
  <c r="BF523" i="3"/>
  <c r="BG523" i="3"/>
  <c r="BH523" i="3"/>
  <c r="BI523" i="3"/>
  <c r="BJ523" i="3"/>
  <c r="BK523" i="3"/>
  <c r="BM523" i="3"/>
  <c r="BN523" i="3"/>
  <c r="BO523" i="3"/>
  <c r="BP523" i="3"/>
  <c r="BR523" i="3"/>
  <c r="BS523" i="3"/>
  <c r="BT523" i="3"/>
  <c r="H524" i="3"/>
  <c r="BB524" i="3"/>
  <c r="BC524" i="3"/>
  <c r="BD524" i="3"/>
  <c r="BE524" i="3"/>
  <c r="BF524" i="3"/>
  <c r="BG524" i="3"/>
  <c r="BH524" i="3"/>
  <c r="BI524" i="3"/>
  <c r="BJ524" i="3"/>
  <c r="BK524" i="3"/>
  <c r="BM524" i="3"/>
  <c r="BN524" i="3"/>
  <c r="BO524" i="3"/>
  <c r="BP524" i="3"/>
  <c r="BQ524" i="3"/>
  <c r="BR524" i="3"/>
  <c r="BS524" i="3"/>
  <c r="BT524" i="3"/>
  <c r="H525" i="3"/>
  <c r="BB525" i="3"/>
  <c r="BC525" i="3"/>
  <c r="BD525" i="3"/>
  <c r="BE525" i="3"/>
  <c r="BF525" i="3"/>
  <c r="BG525" i="3"/>
  <c r="BH525" i="3"/>
  <c r="BI525" i="3"/>
  <c r="BJ525" i="3"/>
  <c r="BK525" i="3"/>
  <c r="BM525" i="3"/>
  <c r="BN525" i="3"/>
  <c r="BO525" i="3"/>
  <c r="BP525" i="3"/>
  <c r="BR525" i="3"/>
  <c r="BS525" i="3"/>
  <c r="BT525" i="3"/>
  <c r="H526" i="3"/>
  <c r="G526" i="3"/>
  <c r="BB526" i="3"/>
  <c r="BC526" i="3"/>
  <c r="BD526" i="3"/>
  <c r="BE526" i="3"/>
  <c r="BF526" i="3"/>
  <c r="BG526" i="3"/>
  <c r="BH526" i="3"/>
  <c r="BI526" i="3"/>
  <c r="BJ526" i="3"/>
  <c r="BK526" i="3"/>
  <c r="BM526" i="3"/>
  <c r="BN526" i="3"/>
  <c r="BO526" i="3"/>
  <c r="BP526" i="3"/>
  <c r="BQ526" i="3"/>
  <c r="BR526" i="3"/>
  <c r="BS526" i="3"/>
  <c r="BT526" i="3"/>
  <c r="H527" i="3"/>
  <c r="BB527" i="3"/>
  <c r="BC527" i="3"/>
  <c r="BD527" i="3"/>
  <c r="BE527" i="3"/>
  <c r="BF527" i="3"/>
  <c r="BG527" i="3"/>
  <c r="BH527" i="3"/>
  <c r="BI527" i="3"/>
  <c r="BJ527" i="3"/>
  <c r="BK527" i="3"/>
  <c r="BM527" i="3"/>
  <c r="BN527" i="3"/>
  <c r="BO527" i="3"/>
  <c r="BP527" i="3"/>
  <c r="BR527" i="3"/>
  <c r="BS527" i="3"/>
  <c r="BT527" i="3"/>
  <c r="H528" i="3"/>
  <c r="BB528" i="3"/>
  <c r="BC528" i="3"/>
  <c r="BD528" i="3"/>
  <c r="BE528" i="3"/>
  <c r="BF528" i="3"/>
  <c r="BG528" i="3"/>
  <c r="BH528" i="3"/>
  <c r="BI528" i="3"/>
  <c r="BJ528" i="3"/>
  <c r="BK528" i="3"/>
  <c r="BM528" i="3"/>
  <c r="BN528" i="3"/>
  <c r="BO528" i="3"/>
  <c r="BP528" i="3"/>
  <c r="BQ528" i="3"/>
  <c r="BR528" i="3"/>
  <c r="BS528" i="3"/>
  <c r="BT528" i="3"/>
  <c r="H529" i="3"/>
  <c r="BB529" i="3"/>
  <c r="BC529" i="3"/>
  <c r="BD529" i="3"/>
  <c r="BE529" i="3"/>
  <c r="BF529" i="3"/>
  <c r="BG529" i="3"/>
  <c r="BH529" i="3"/>
  <c r="BI529" i="3"/>
  <c r="BJ529" i="3"/>
  <c r="BK529" i="3"/>
  <c r="BM529" i="3"/>
  <c r="BN529" i="3"/>
  <c r="BO529" i="3"/>
  <c r="BP529" i="3"/>
  <c r="BR529" i="3"/>
  <c r="BS529" i="3"/>
  <c r="BT529" i="3"/>
  <c r="H530" i="3"/>
  <c r="BB530" i="3"/>
  <c r="BC530" i="3"/>
  <c r="BD530" i="3"/>
  <c r="BE530" i="3"/>
  <c r="BF530" i="3"/>
  <c r="BG530" i="3"/>
  <c r="BH530" i="3"/>
  <c r="BI530" i="3"/>
  <c r="BJ530" i="3"/>
  <c r="BK530" i="3"/>
  <c r="BM530" i="3"/>
  <c r="BN530" i="3"/>
  <c r="BO530" i="3"/>
  <c r="BP530" i="3"/>
  <c r="BQ530" i="3"/>
  <c r="BR530" i="3"/>
  <c r="BS530" i="3"/>
  <c r="BT530" i="3"/>
  <c r="H531" i="3"/>
  <c r="BB531" i="3"/>
  <c r="BC531" i="3"/>
  <c r="BD531" i="3"/>
  <c r="BE531" i="3"/>
  <c r="BF531" i="3"/>
  <c r="BG531" i="3"/>
  <c r="BH531" i="3"/>
  <c r="BI531" i="3"/>
  <c r="BJ531" i="3"/>
  <c r="BK531" i="3"/>
  <c r="BM531" i="3"/>
  <c r="BN531" i="3"/>
  <c r="BO531" i="3"/>
  <c r="BP531" i="3"/>
  <c r="BR531" i="3"/>
  <c r="BS531" i="3"/>
  <c r="BT531" i="3"/>
  <c r="H532" i="3"/>
  <c r="BB532" i="3"/>
  <c r="BC532" i="3"/>
  <c r="BD532" i="3"/>
  <c r="BE532" i="3"/>
  <c r="BF532" i="3"/>
  <c r="BG532" i="3"/>
  <c r="BH532" i="3"/>
  <c r="BI532" i="3"/>
  <c r="BJ532" i="3"/>
  <c r="BK532" i="3"/>
  <c r="BM532" i="3"/>
  <c r="BN532" i="3"/>
  <c r="BO532" i="3"/>
  <c r="BP532" i="3"/>
  <c r="BQ532" i="3"/>
  <c r="BR532" i="3"/>
  <c r="BS532" i="3"/>
  <c r="BT532" i="3"/>
  <c r="H533" i="3"/>
  <c r="BB533" i="3"/>
  <c r="BC533" i="3"/>
  <c r="BD533" i="3"/>
  <c r="BE533" i="3"/>
  <c r="BF533" i="3"/>
  <c r="BG533" i="3"/>
  <c r="BH533" i="3"/>
  <c r="BI533" i="3"/>
  <c r="BJ533" i="3"/>
  <c r="BK533" i="3"/>
  <c r="BM533" i="3"/>
  <c r="BN533" i="3"/>
  <c r="BO533" i="3"/>
  <c r="BP533" i="3"/>
  <c r="BR533" i="3"/>
  <c r="BS533" i="3"/>
  <c r="BT533" i="3"/>
  <c r="H534" i="3"/>
  <c r="BB534" i="3"/>
  <c r="BC534" i="3"/>
  <c r="BD534" i="3"/>
  <c r="BE534" i="3"/>
  <c r="BF534" i="3"/>
  <c r="BG534" i="3"/>
  <c r="BH534" i="3"/>
  <c r="BI534" i="3"/>
  <c r="BJ534" i="3"/>
  <c r="BK534" i="3"/>
  <c r="BM534" i="3"/>
  <c r="BN534" i="3"/>
  <c r="BO534" i="3"/>
  <c r="BP534" i="3"/>
  <c r="BQ534" i="3"/>
  <c r="BR534" i="3"/>
  <c r="BS534" i="3"/>
  <c r="BT534" i="3"/>
  <c r="H535" i="3"/>
  <c r="BB535" i="3"/>
  <c r="BC535" i="3"/>
  <c r="BD535" i="3"/>
  <c r="BE535" i="3"/>
  <c r="BF535" i="3"/>
  <c r="BG535" i="3"/>
  <c r="BH535" i="3"/>
  <c r="BI535" i="3"/>
  <c r="BJ535" i="3"/>
  <c r="BK535" i="3"/>
  <c r="BM535" i="3"/>
  <c r="BN535" i="3"/>
  <c r="BO535" i="3"/>
  <c r="BP535" i="3"/>
  <c r="BR535" i="3"/>
  <c r="BS535" i="3"/>
  <c r="BT535" i="3"/>
  <c r="H536" i="3"/>
  <c r="BB536" i="3"/>
  <c r="BC536" i="3"/>
  <c r="BD536" i="3"/>
  <c r="BE536" i="3"/>
  <c r="BF536" i="3"/>
  <c r="BG536" i="3"/>
  <c r="BH536" i="3"/>
  <c r="BI536" i="3"/>
  <c r="BJ536" i="3"/>
  <c r="BK536" i="3"/>
  <c r="BM536" i="3"/>
  <c r="BN536" i="3"/>
  <c r="BO536" i="3"/>
  <c r="BP536" i="3"/>
  <c r="BQ536" i="3"/>
  <c r="BR536" i="3"/>
  <c r="BS536" i="3"/>
  <c r="BT536" i="3"/>
  <c r="H537" i="3"/>
  <c r="BB537" i="3"/>
  <c r="BC537" i="3"/>
  <c r="BD537" i="3"/>
  <c r="BE537" i="3"/>
  <c r="BF537" i="3"/>
  <c r="BG537" i="3"/>
  <c r="BH537" i="3"/>
  <c r="BI537" i="3"/>
  <c r="BJ537" i="3"/>
  <c r="BK537" i="3"/>
  <c r="BM537" i="3"/>
  <c r="BN537" i="3"/>
  <c r="BO537" i="3"/>
  <c r="BP537" i="3"/>
  <c r="BR537" i="3"/>
  <c r="BS537" i="3"/>
  <c r="BT537" i="3"/>
  <c r="H538" i="3"/>
  <c r="BB538" i="3"/>
  <c r="BC538" i="3"/>
  <c r="BD538" i="3"/>
  <c r="BE538" i="3"/>
  <c r="BF538" i="3"/>
  <c r="BG538" i="3"/>
  <c r="BH538" i="3"/>
  <c r="BI538" i="3"/>
  <c r="BJ538" i="3"/>
  <c r="BK538" i="3"/>
  <c r="BM538" i="3"/>
  <c r="BN538" i="3"/>
  <c r="BO538" i="3"/>
  <c r="BP538" i="3"/>
  <c r="BQ538" i="3"/>
  <c r="BR538" i="3"/>
  <c r="BS538" i="3"/>
  <c r="BT538" i="3"/>
  <c r="H539" i="3"/>
  <c r="BB539" i="3"/>
  <c r="BC539" i="3"/>
  <c r="BD539" i="3"/>
  <c r="BE539" i="3"/>
  <c r="BF539" i="3"/>
  <c r="BG539" i="3"/>
  <c r="BH539" i="3"/>
  <c r="BI539" i="3"/>
  <c r="BJ539" i="3"/>
  <c r="BK539" i="3"/>
  <c r="BM539" i="3"/>
  <c r="BN539" i="3"/>
  <c r="BO539" i="3"/>
  <c r="BP539" i="3"/>
  <c r="BR539" i="3"/>
  <c r="BS539" i="3"/>
  <c r="BT539" i="3"/>
  <c r="H540" i="3"/>
  <c r="BB540" i="3"/>
  <c r="BC540" i="3"/>
  <c r="BD540" i="3"/>
  <c r="BE540" i="3"/>
  <c r="BF540" i="3"/>
  <c r="BG540" i="3"/>
  <c r="BH540" i="3"/>
  <c r="BI540" i="3"/>
  <c r="BJ540" i="3"/>
  <c r="BK540" i="3"/>
  <c r="BM540" i="3"/>
  <c r="BN540" i="3"/>
  <c r="BO540" i="3"/>
  <c r="BP540" i="3"/>
  <c r="BQ540" i="3"/>
  <c r="BR540" i="3"/>
  <c r="BS540" i="3"/>
  <c r="BT540" i="3"/>
  <c r="H541" i="3"/>
  <c r="BB541" i="3"/>
  <c r="BC541" i="3"/>
  <c r="BD541" i="3"/>
  <c r="BE541" i="3"/>
  <c r="BF541" i="3"/>
  <c r="BG541" i="3"/>
  <c r="BH541" i="3"/>
  <c r="BI541" i="3"/>
  <c r="BJ541" i="3"/>
  <c r="BK541" i="3"/>
  <c r="BM541" i="3"/>
  <c r="BN541" i="3"/>
  <c r="BO541" i="3"/>
  <c r="BP541" i="3"/>
  <c r="BR541" i="3"/>
  <c r="BS541" i="3"/>
  <c r="BT541" i="3"/>
  <c r="H542" i="3"/>
  <c r="G542" i="3"/>
  <c r="BB542" i="3"/>
  <c r="BC542" i="3"/>
  <c r="BD542" i="3"/>
  <c r="BE542" i="3"/>
  <c r="BF542" i="3"/>
  <c r="BG542" i="3"/>
  <c r="BH542" i="3"/>
  <c r="BI542" i="3"/>
  <c r="BJ542" i="3"/>
  <c r="BK542" i="3"/>
  <c r="BM542" i="3"/>
  <c r="BN542" i="3"/>
  <c r="BO542" i="3"/>
  <c r="BP542" i="3"/>
  <c r="BQ542" i="3"/>
  <c r="BR542" i="3"/>
  <c r="BS542" i="3"/>
  <c r="BT542" i="3"/>
  <c r="H543" i="3"/>
  <c r="BB543" i="3"/>
  <c r="BC543" i="3"/>
  <c r="BD543" i="3"/>
  <c r="BE543" i="3"/>
  <c r="BF543" i="3"/>
  <c r="BG543" i="3"/>
  <c r="BH543" i="3"/>
  <c r="BI543" i="3"/>
  <c r="BJ543" i="3"/>
  <c r="BK543" i="3"/>
  <c r="BM543" i="3"/>
  <c r="BN543" i="3"/>
  <c r="BO543" i="3"/>
  <c r="BP543" i="3"/>
  <c r="BR543" i="3"/>
  <c r="BS543" i="3"/>
  <c r="BT543" i="3"/>
  <c r="H544" i="3"/>
  <c r="BB544" i="3"/>
  <c r="BC544" i="3"/>
  <c r="BD544" i="3"/>
  <c r="BE544" i="3"/>
  <c r="BF544" i="3"/>
  <c r="BG544" i="3"/>
  <c r="BH544" i="3"/>
  <c r="BI544" i="3"/>
  <c r="BJ544" i="3"/>
  <c r="BK544" i="3"/>
  <c r="BM544" i="3"/>
  <c r="BN544" i="3"/>
  <c r="BO544" i="3"/>
  <c r="BP544" i="3"/>
  <c r="BQ544" i="3"/>
  <c r="BR544" i="3"/>
  <c r="BS544" i="3"/>
  <c r="BT544" i="3"/>
  <c r="H545" i="3"/>
  <c r="BB545" i="3"/>
  <c r="BC545" i="3"/>
  <c r="BD545" i="3"/>
  <c r="BE545" i="3"/>
  <c r="BF545" i="3"/>
  <c r="BG545" i="3"/>
  <c r="BH545" i="3"/>
  <c r="BI545" i="3"/>
  <c r="BJ545" i="3"/>
  <c r="BK545" i="3"/>
  <c r="BM545" i="3"/>
  <c r="BN545" i="3"/>
  <c r="BO545" i="3"/>
  <c r="BP545" i="3"/>
  <c r="BR545" i="3"/>
  <c r="BS545" i="3"/>
  <c r="BT545" i="3"/>
  <c r="H546" i="3"/>
  <c r="BB546" i="3"/>
  <c r="BC546" i="3"/>
  <c r="BD546" i="3"/>
  <c r="BE546" i="3"/>
  <c r="BF546" i="3"/>
  <c r="BG546" i="3"/>
  <c r="BH546" i="3"/>
  <c r="BI546" i="3"/>
  <c r="BJ546" i="3"/>
  <c r="BK546" i="3"/>
  <c r="BM546" i="3"/>
  <c r="BN546" i="3"/>
  <c r="BO546" i="3"/>
  <c r="BP546" i="3"/>
  <c r="BQ546" i="3"/>
  <c r="BR546" i="3"/>
  <c r="BS546" i="3"/>
  <c r="BT546" i="3"/>
  <c r="H547" i="3"/>
  <c r="BB547" i="3"/>
  <c r="BC547" i="3"/>
  <c r="BD547" i="3"/>
  <c r="BE547" i="3"/>
  <c r="BF547" i="3"/>
  <c r="BG547" i="3"/>
  <c r="BH547" i="3"/>
  <c r="BI547" i="3"/>
  <c r="BJ547" i="3"/>
  <c r="BK547" i="3"/>
  <c r="BM547" i="3"/>
  <c r="BN547" i="3"/>
  <c r="BO547" i="3"/>
  <c r="BP547" i="3"/>
  <c r="BR547" i="3"/>
  <c r="BS547" i="3"/>
  <c r="BT547" i="3"/>
  <c r="H548" i="3"/>
  <c r="BB548" i="3"/>
  <c r="BC548" i="3"/>
  <c r="BD548" i="3"/>
  <c r="BE548" i="3"/>
  <c r="BF548" i="3"/>
  <c r="BG548" i="3"/>
  <c r="BH548" i="3"/>
  <c r="BI548" i="3"/>
  <c r="BJ548" i="3"/>
  <c r="BK548" i="3"/>
  <c r="BM548" i="3"/>
  <c r="BN548" i="3"/>
  <c r="BO548" i="3"/>
  <c r="BP548" i="3"/>
  <c r="BQ548" i="3"/>
  <c r="BR548" i="3"/>
  <c r="BS548" i="3"/>
  <c r="BT548" i="3"/>
  <c r="H549" i="3"/>
  <c r="BB549" i="3"/>
  <c r="BC549" i="3"/>
  <c r="BD549" i="3"/>
  <c r="BE549" i="3"/>
  <c r="BF549" i="3"/>
  <c r="BG549" i="3"/>
  <c r="BH549" i="3"/>
  <c r="BI549" i="3"/>
  <c r="BJ549" i="3"/>
  <c r="BK549" i="3"/>
  <c r="BM549" i="3"/>
  <c r="BN549" i="3"/>
  <c r="BO549" i="3"/>
  <c r="BP549" i="3"/>
  <c r="BR549" i="3"/>
  <c r="BS549" i="3"/>
  <c r="BT549" i="3"/>
  <c r="H550" i="3"/>
  <c r="BB550" i="3"/>
  <c r="BC550" i="3"/>
  <c r="BD550" i="3"/>
  <c r="BE550" i="3"/>
  <c r="BF550" i="3"/>
  <c r="BG550" i="3"/>
  <c r="BH550" i="3"/>
  <c r="BI550" i="3"/>
  <c r="BJ550" i="3"/>
  <c r="BK550" i="3"/>
  <c r="BA550" i="3"/>
  <c r="BM550" i="3"/>
  <c r="BN550" i="3"/>
  <c r="BO550" i="3"/>
  <c r="BP550" i="3"/>
  <c r="BQ550" i="3"/>
  <c r="BR550" i="3"/>
  <c r="BS550" i="3"/>
  <c r="BT550" i="3"/>
  <c r="BL550" i="3"/>
  <c r="AZ550" i="3"/>
  <c r="H551" i="3"/>
  <c r="BB551" i="3"/>
  <c r="BC551" i="3"/>
  <c r="BD551" i="3"/>
  <c r="BE551" i="3"/>
  <c r="BF551" i="3"/>
  <c r="BG551" i="3"/>
  <c r="BH551" i="3"/>
  <c r="BI551" i="3"/>
  <c r="BJ551" i="3"/>
  <c r="BK551" i="3"/>
  <c r="BA551" i="3"/>
  <c r="BM551" i="3"/>
  <c r="BN551" i="3"/>
  <c r="BO551" i="3"/>
  <c r="BP551" i="3"/>
  <c r="BR551" i="3"/>
  <c r="BS551" i="3"/>
  <c r="BT551" i="3"/>
  <c r="H552" i="3"/>
  <c r="G552" i="3"/>
  <c r="BB552" i="3"/>
  <c r="BC552" i="3"/>
  <c r="BD552" i="3"/>
  <c r="BE552" i="3"/>
  <c r="BF552" i="3"/>
  <c r="BG552" i="3"/>
  <c r="BH552" i="3"/>
  <c r="BI552" i="3"/>
  <c r="BJ552" i="3"/>
  <c r="BK552" i="3"/>
  <c r="BM552" i="3"/>
  <c r="BN552" i="3"/>
  <c r="BO552" i="3"/>
  <c r="BP552" i="3"/>
  <c r="BQ552" i="3"/>
  <c r="BR552" i="3"/>
  <c r="BS552" i="3"/>
  <c r="BT552" i="3"/>
  <c r="H553" i="3"/>
  <c r="BB553" i="3"/>
  <c r="BC553" i="3"/>
  <c r="BD553" i="3"/>
  <c r="BE553" i="3"/>
  <c r="BF553" i="3"/>
  <c r="BG553" i="3"/>
  <c r="BH553" i="3"/>
  <c r="BI553" i="3"/>
  <c r="BJ553" i="3"/>
  <c r="BK553" i="3"/>
  <c r="BM553" i="3"/>
  <c r="BN553" i="3"/>
  <c r="BO553" i="3"/>
  <c r="BP553" i="3"/>
  <c r="BR553" i="3"/>
  <c r="BS553" i="3"/>
  <c r="BT553" i="3"/>
  <c r="H554" i="3"/>
  <c r="BB554" i="3"/>
  <c r="BC554" i="3"/>
  <c r="BD554" i="3"/>
  <c r="BE554" i="3"/>
  <c r="BF554" i="3"/>
  <c r="BG554" i="3"/>
  <c r="BH554" i="3"/>
  <c r="BI554" i="3"/>
  <c r="BJ554" i="3"/>
  <c r="BK554" i="3"/>
  <c r="BM554" i="3"/>
  <c r="BN554" i="3"/>
  <c r="BO554" i="3"/>
  <c r="BP554" i="3"/>
  <c r="BQ554" i="3"/>
  <c r="BR554" i="3"/>
  <c r="BS554" i="3"/>
  <c r="BT554" i="3"/>
  <c r="H555" i="3"/>
  <c r="BB555" i="3"/>
  <c r="BC555" i="3"/>
  <c r="BD555" i="3"/>
  <c r="BE555" i="3"/>
  <c r="BF555" i="3"/>
  <c r="BG555" i="3"/>
  <c r="BH555" i="3"/>
  <c r="BI555" i="3"/>
  <c r="BJ555" i="3"/>
  <c r="BK555" i="3"/>
  <c r="BM555" i="3"/>
  <c r="BN555" i="3"/>
  <c r="BO555" i="3"/>
  <c r="BP555" i="3"/>
  <c r="BR555" i="3"/>
  <c r="BS555" i="3"/>
  <c r="BT555" i="3"/>
  <c r="H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BB558" i="3"/>
  <c r="BC558" i="3"/>
  <c r="BD558" i="3"/>
  <c r="BE558" i="3"/>
  <c r="BF558" i="3"/>
  <c r="BG558" i="3"/>
  <c r="BH558" i="3"/>
  <c r="BI558" i="3"/>
  <c r="BJ558" i="3"/>
  <c r="BK558" i="3"/>
  <c r="BM558" i="3"/>
  <c r="BN558" i="3"/>
  <c r="BO558" i="3"/>
  <c r="BP558" i="3"/>
  <c r="BQ558" i="3"/>
  <c r="BR558" i="3"/>
  <c r="BS558" i="3"/>
  <c r="BT558" i="3"/>
  <c r="H559" i="3"/>
  <c r="BB559" i="3"/>
  <c r="BC559" i="3"/>
  <c r="BD559" i="3"/>
  <c r="BE559" i="3"/>
  <c r="BF559" i="3"/>
  <c r="BG559" i="3"/>
  <c r="BH559" i="3"/>
  <c r="BI559" i="3"/>
  <c r="BJ559" i="3"/>
  <c r="BK559" i="3"/>
  <c r="BM559" i="3"/>
  <c r="BN559" i="3"/>
  <c r="BO559" i="3"/>
  <c r="BP559" i="3"/>
  <c r="BR559" i="3"/>
  <c r="BS559" i="3"/>
  <c r="BT559" i="3"/>
  <c r="H560" i="3"/>
  <c r="BB560" i="3"/>
  <c r="BC560" i="3"/>
  <c r="BD560" i="3"/>
  <c r="BE560" i="3"/>
  <c r="BF560" i="3"/>
  <c r="BG560" i="3"/>
  <c r="BH560" i="3"/>
  <c r="BI560" i="3"/>
  <c r="BJ560" i="3"/>
  <c r="BK560" i="3"/>
  <c r="BM560" i="3"/>
  <c r="BN560" i="3"/>
  <c r="BO560" i="3"/>
  <c r="BP560" i="3"/>
  <c r="BQ560" i="3"/>
  <c r="BR560" i="3"/>
  <c r="BS560" i="3"/>
  <c r="BT560" i="3"/>
  <c r="H561" i="3"/>
  <c r="BB561" i="3"/>
  <c r="BC561" i="3"/>
  <c r="BD561" i="3"/>
  <c r="BE561" i="3"/>
  <c r="BF561" i="3"/>
  <c r="BG561" i="3"/>
  <c r="BH561" i="3"/>
  <c r="BI561" i="3"/>
  <c r="BJ561" i="3"/>
  <c r="BK561" i="3"/>
  <c r="BM561" i="3"/>
  <c r="BN561" i="3"/>
  <c r="BO561" i="3"/>
  <c r="BP561" i="3"/>
  <c r="BR561" i="3"/>
  <c r="BS561" i="3"/>
  <c r="BT561" i="3"/>
  <c r="H562" i="3"/>
  <c r="G562" i="3"/>
  <c r="BB562" i="3"/>
  <c r="BC562" i="3"/>
  <c r="BD562" i="3"/>
  <c r="BE562" i="3"/>
  <c r="BF562" i="3"/>
  <c r="BG562" i="3"/>
  <c r="BH562" i="3"/>
  <c r="BI562" i="3"/>
  <c r="BJ562" i="3"/>
  <c r="BK562" i="3"/>
  <c r="BM562" i="3"/>
  <c r="BN562" i="3"/>
  <c r="BO562" i="3"/>
  <c r="BP562" i="3"/>
  <c r="BQ562" i="3"/>
  <c r="BR562" i="3"/>
  <c r="BS562" i="3"/>
  <c r="BT562" i="3"/>
  <c r="H563" i="3"/>
  <c r="BB563" i="3"/>
  <c r="BC563" i="3"/>
  <c r="BD563" i="3"/>
  <c r="BE563" i="3"/>
  <c r="BF563" i="3"/>
  <c r="BG563" i="3"/>
  <c r="BH563" i="3"/>
  <c r="BI563" i="3"/>
  <c r="BJ563" i="3"/>
  <c r="BK563" i="3"/>
  <c r="BM563" i="3"/>
  <c r="BN563" i="3"/>
  <c r="BO563" i="3"/>
  <c r="BP563" i="3"/>
  <c r="BR563" i="3"/>
  <c r="BS563" i="3"/>
  <c r="BT563" i="3"/>
  <c r="H564" i="3"/>
  <c r="BB564" i="3"/>
  <c r="BC564" i="3"/>
  <c r="BD564" i="3"/>
  <c r="BE564" i="3"/>
  <c r="BF564" i="3"/>
  <c r="BG564" i="3"/>
  <c r="BH564" i="3"/>
  <c r="BI564" i="3"/>
  <c r="BJ564" i="3"/>
  <c r="BK564" i="3"/>
  <c r="BM564" i="3"/>
  <c r="BN564" i="3"/>
  <c r="BO564" i="3"/>
  <c r="BP564" i="3"/>
  <c r="BQ564" i="3"/>
  <c r="BR564" i="3"/>
  <c r="BS564" i="3"/>
  <c r="BT564" i="3"/>
  <c r="H565" i="3"/>
  <c r="BB565" i="3"/>
  <c r="BC565" i="3"/>
  <c r="BD565" i="3"/>
  <c r="BE565" i="3"/>
  <c r="BF565" i="3"/>
  <c r="BG565" i="3"/>
  <c r="BH565" i="3"/>
  <c r="BI565" i="3"/>
  <c r="BJ565" i="3"/>
  <c r="BK565" i="3"/>
  <c r="BM565" i="3"/>
  <c r="BN565" i="3"/>
  <c r="BO565" i="3"/>
  <c r="BP565" i="3"/>
  <c r="BR565" i="3"/>
  <c r="BS565" i="3"/>
  <c r="BT565" i="3"/>
  <c r="H566" i="3"/>
  <c r="G566" i="3"/>
  <c r="BB566" i="3"/>
  <c r="BC566" i="3"/>
  <c r="BD566" i="3"/>
  <c r="BE566" i="3"/>
  <c r="BF566" i="3"/>
  <c r="BG566" i="3"/>
  <c r="BH566" i="3"/>
  <c r="BI566" i="3"/>
  <c r="BJ566" i="3"/>
  <c r="BK566" i="3"/>
  <c r="BM566" i="3"/>
  <c r="BN566" i="3"/>
  <c r="BO566" i="3"/>
  <c r="BP566" i="3"/>
  <c r="BQ566" i="3"/>
  <c r="BR566" i="3"/>
  <c r="BS566" i="3"/>
  <c r="BT566" i="3"/>
  <c r="H567" i="3"/>
  <c r="BB567" i="3"/>
  <c r="BC567" i="3"/>
  <c r="BD567" i="3"/>
  <c r="BE567" i="3"/>
  <c r="BF567" i="3"/>
  <c r="BG567" i="3"/>
  <c r="BH567" i="3"/>
  <c r="BI567" i="3"/>
  <c r="BJ567" i="3"/>
  <c r="BK567" i="3"/>
  <c r="BM567" i="3"/>
  <c r="BN567" i="3"/>
  <c r="BO567" i="3"/>
  <c r="BP567" i="3"/>
  <c r="BR567" i="3"/>
  <c r="BS567" i="3"/>
  <c r="BT567" i="3"/>
  <c r="H568" i="3"/>
  <c r="BB568" i="3"/>
  <c r="BC568" i="3"/>
  <c r="BD568" i="3"/>
  <c r="BE568" i="3"/>
  <c r="BF568" i="3"/>
  <c r="BG568" i="3"/>
  <c r="BH568" i="3"/>
  <c r="BI568" i="3"/>
  <c r="BJ568" i="3"/>
  <c r="BK568" i="3"/>
  <c r="BM568" i="3"/>
  <c r="BN568" i="3"/>
  <c r="BO568" i="3"/>
  <c r="BP568" i="3"/>
  <c r="BQ568" i="3"/>
  <c r="BR568" i="3"/>
  <c r="BS568" i="3"/>
  <c r="BT568" i="3"/>
  <c r="H569" i="3"/>
  <c r="BB569" i="3"/>
  <c r="BC569" i="3"/>
  <c r="BD569" i="3"/>
  <c r="BE569" i="3"/>
  <c r="BF569" i="3"/>
  <c r="BG569" i="3"/>
  <c r="BH569" i="3"/>
  <c r="BI569" i="3"/>
  <c r="BJ569" i="3"/>
  <c r="BK569" i="3"/>
  <c r="BM569" i="3"/>
  <c r="BN569" i="3"/>
  <c r="BO569" i="3"/>
  <c r="BP569" i="3"/>
  <c r="BR569" i="3"/>
  <c r="BS569" i="3"/>
  <c r="BT569" i="3"/>
  <c r="H570" i="3"/>
  <c r="G570" i="3"/>
  <c r="BB570" i="3"/>
  <c r="BC570" i="3"/>
  <c r="BD570" i="3"/>
  <c r="BE570" i="3"/>
  <c r="BF570" i="3"/>
  <c r="BG570" i="3"/>
  <c r="BH570" i="3"/>
  <c r="BI570" i="3"/>
  <c r="BJ570" i="3"/>
  <c r="BK570" i="3"/>
  <c r="BM570" i="3"/>
  <c r="BN570" i="3"/>
  <c r="BO570" i="3"/>
  <c r="BP570" i="3"/>
  <c r="BQ570" i="3"/>
  <c r="BR570" i="3"/>
  <c r="BS570" i="3"/>
  <c r="BT570" i="3"/>
  <c r="H571" i="3"/>
  <c r="BB571" i="3"/>
  <c r="BC571" i="3"/>
  <c r="BD571" i="3"/>
  <c r="BE571" i="3"/>
  <c r="BF571" i="3"/>
  <c r="BG571" i="3"/>
  <c r="BH571" i="3"/>
  <c r="BI571" i="3"/>
  <c r="BJ571" i="3"/>
  <c r="BK571" i="3"/>
  <c r="BM571" i="3"/>
  <c r="BN571" i="3"/>
  <c r="BO571" i="3"/>
  <c r="BP571" i="3"/>
  <c r="BR571" i="3"/>
  <c r="BS571" i="3"/>
  <c r="BT571" i="3"/>
  <c r="H572" i="3"/>
  <c r="BB572" i="3"/>
  <c r="BC572" i="3"/>
  <c r="BD572" i="3"/>
  <c r="BE572" i="3"/>
  <c r="BF572" i="3"/>
  <c r="BG572" i="3"/>
  <c r="BH572" i="3"/>
  <c r="BI572" i="3"/>
  <c r="BJ572" i="3"/>
  <c r="BK572" i="3"/>
  <c r="BM572" i="3"/>
  <c r="BN572" i="3"/>
  <c r="BO572" i="3"/>
  <c r="BP572" i="3"/>
  <c r="BQ572" i="3"/>
  <c r="BR572" i="3"/>
  <c r="BS572" i="3"/>
  <c r="BT572" i="3"/>
  <c r="H573" i="3"/>
  <c r="BB573" i="3"/>
  <c r="BC573" i="3"/>
  <c r="BD573" i="3"/>
  <c r="BE573" i="3"/>
  <c r="BF573" i="3"/>
  <c r="BG573" i="3"/>
  <c r="BH573" i="3"/>
  <c r="BI573" i="3"/>
  <c r="BJ573" i="3"/>
  <c r="BK573" i="3"/>
  <c r="BM573" i="3"/>
  <c r="BN573" i="3"/>
  <c r="BO573" i="3"/>
  <c r="BP573" i="3"/>
  <c r="BR573" i="3"/>
  <c r="BS573" i="3"/>
  <c r="BT573" i="3"/>
  <c r="H574" i="3"/>
  <c r="G574" i="3"/>
  <c r="BB574" i="3"/>
  <c r="BC574" i="3"/>
  <c r="BD574" i="3"/>
  <c r="BE574" i="3"/>
  <c r="BF574" i="3"/>
  <c r="BG574" i="3"/>
  <c r="BH574" i="3"/>
  <c r="BI574" i="3"/>
  <c r="BJ574" i="3"/>
  <c r="BK574" i="3"/>
  <c r="BM574" i="3"/>
  <c r="BN574" i="3"/>
  <c r="BO574" i="3"/>
  <c r="BP574" i="3"/>
  <c r="BQ574" i="3"/>
  <c r="BR574" i="3"/>
  <c r="BS574" i="3"/>
  <c r="BT574" i="3"/>
  <c r="H575" i="3"/>
  <c r="BB575" i="3"/>
  <c r="BC575" i="3"/>
  <c r="BD575" i="3"/>
  <c r="BE575" i="3"/>
  <c r="BF575" i="3"/>
  <c r="BG575" i="3"/>
  <c r="BH575" i="3"/>
  <c r="BI575" i="3"/>
  <c r="BJ575" i="3"/>
  <c r="BK575" i="3"/>
  <c r="BM575" i="3"/>
  <c r="BN575" i="3"/>
  <c r="BO575" i="3"/>
  <c r="BP575" i="3"/>
  <c r="BR575" i="3"/>
  <c r="BS575" i="3"/>
  <c r="BT575" i="3"/>
  <c r="H576" i="3"/>
  <c r="BB576" i="3"/>
  <c r="BC576" i="3"/>
  <c r="BD576" i="3"/>
  <c r="BE576" i="3"/>
  <c r="BF576" i="3"/>
  <c r="BG576" i="3"/>
  <c r="BH576" i="3"/>
  <c r="BI576" i="3"/>
  <c r="BJ576" i="3"/>
  <c r="BK576" i="3"/>
  <c r="BM576" i="3"/>
  <c r="BN576" i="3"/>
  <c r="BO576" i="3"/>
  <c r="BP576" i="3"/>
  <c r="BQ576" i="3"/>
  <c r="BR576" i="3"/>
  <c r="BS576" i="3"/>
  <c r="BT576" i="3"/>
  <c r="H577" i="3"/>
  <c r="BB577" i="3"/>
  <c r="BC577" i="3"/>
  <c r="BD577" i="3"/>
  <c r="BE577" i="3"/>
  <c r="BF577" i="3"/>
  <c r="BG577" i="3"/>
  <c r="BH577" i="3"/>
  <c r="BI577" i="3"/>
  <c r="BJ577" i="3"/>
  <c r="BK577" i="3"/>
  <c r="BM577" i="3"/>
  <c r="BN577" i="3"/>
  <c r="BO577" i="3"/>
  <c r="BP577" i="3"/>
  <c r="BR577" i="3"/>
  <c r="BS577" i="3"/>
  <c r="BT577" i="3"/>
  <c r="H578" i="3"/>
  <c r="G578" i="3"/>
  <c r="BB578" i="3"/>
  <c r="BC578" i="3"/>
  <c r="BD578" i="3"/>
  <c r="BE578" i="3"/>
  <c r="BF578" i="3"/>
  <c r="BG578" i="3"/>
  <c r="BH578" i="3"/>
  <c r="BI578" i="3"/>
  <c r="BJ578" i="3"/>
  <c r="BK578" i="3"/>
  <c r="BM578" i="3"/>
  <c r="BN578" i="3"/>
  <c r="BO578" i="3"/>
  <c r="BP578" i="3"/>
  <c r="BQ578" i="3"/>
  <c r="BR578" i="3"/>
  <c r="BS578" i="3"/>
  <c r="BT578" i="3"/>
  <c r="H579" i="3"/>
  <c r="BB579" i="3"/>
  <c r="BC579" i="3"/>
  <c r="BD579" i="3"/>
  <c r="BE579" i="3"/>
  <c r="BF579" i="3"/>
  <c r="BG579" i="3"/>
  <c r="BH579" i="3"/>
  <c r="BI579" i="3"/>
  <c r="BJ579" i="3"/>
  <c r="BK579" i="3"/>
  <c r="BM579" i="3"/>
  <c r="BN579" i="3"/>
  <c r="BO579" i="3"/>
  <c r="BP579" i="3"/>
  <c r="BR579" i="3"/>
  <c r="BS579" i="3"/>
  <c r="BT579" i="3"/>
  <c r="H580" i="3"/>
  <c r="BB580" i="3"/>
  <c r="BC580" i="3"/>
  <c r="BD580" i="3"/>
  <c r="BE580" i="3"/>
  <c r="BF580" i="3"/>
  <c r="BG580" i="3"/>
  <c r="BH580" i="3"/>
  <c r="BI580" i="3"/>
  <c r="BJ580" i="3"/>
  <c r="BK580" i="3"/>
  <c r="BM580" i="3"/>
  <c r="BN580" i="3"/>
  <c r="BO580" i="3"/>
  <c r="BP580" i="3"/>
  <c r="BQ580" i="3"/>
  <c r="BR580" i="3"/>
  <c r="BS580" i="3"/>
  <c r="BT580" i="3"/>
  <c r="H581" i="3"/>
  <c r="BB581" i="3"/>
  <c r="BC581" i="3"/>
  <c r="BD581" i="3"/>
  <c r="BE581" i="3"/>
  <c r="BF581" i="3"/>
  <c r="BG581" i="3"/>
  <c r="BH581" i="3"/>
  <c r="BI581" i="3"/>
  <c r="BJ581" i="3"/>
  <c r="BK581" i="3"/>
  <c r="BM581" i="3"/>
  <c r="BN581" i="3"/>
  <c r="BO581" i="3"/>
  <c r="BP581" i="3"/>
  <c r="BR581" i="3"/>
  <c r="BS581" i="3"/>
  <c r="BT581" i="3"/>
  <c r="H582" i="3"/>
  <c r="G582" i="3"/>
  <c r="BB582" i="3"/>
  <c r="BC582" i="3"/>
  <c r="BD582" i="3"/>
  <c r="BE582" i="3"/>
  <c r="BF582" i="3"/>
  <c r="BG582" i="3"/>
  <c r="BH582" i="3"/>
  <c r="BI582" i="3"/>
  <c r="BJ582" i="3"/>
  <c r="BK582" i="3"/>
  <c r="BM582" i="3"/>
  <c r="BN582" i="3"/>
  <c r="BO582" i="3"/>
  <c r="BP582" i="3"/>
  <c r="BQ582" i="3"/>
  <c r="BR582" i="3"/>
  <c r="BS582" i="3"/>
  <c r="BT582" i="3"/>
  <c r="H583" i="3"/>
  <c r="BB583" i="3"/>
  <c r="BC583" i="3"/>
  <c r="BD583" i="3"/>
  <c r="BE583" i="3"/>
  <c r="BF583" i="3"/>
  <c r="BG583" i="3"/>
  <c r="BH583" i="3"/>
  <c r="BI583" i="3"/>
  <c r="BJ583" i="3"/>
  <c r="BK583" i="3"/>
  <c r="BM583" i="3"/>
  <c r="BN583" i="3"/>
  <c r="BO583" i="3"/>
  <c r="BP583" i="3"/>
  <c r="BR583" i="3"/>
  <c r="BS583" i="3"/>
  <c r="BT583" i="3"/>
  <c r="H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G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H38" i="37"/>
  <c r="AB38" i="37"/>
  <c r="C23" i="37"/>
  <c r="C19" i="37"/>
  <c r="C17" i="37"/>
  <c r="C15" i="37"/>
  <c r="B112" i="37"/>
  <c r="D107" i="37"/>
  <c r="E107" i="37"/>
  <c r="F107" i="37"/>
  <c r="G107" i="37"/>
  <c r="H107" i="37"/>
  <c r="I107" i="37"/>
  <c r="J107" i="37"/>
  <c r="K107" i="37"/>
  <c r="L107" i="37"/>
  <c r="M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F28" i="37"/>
  <c r="AA28"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J25" i="36"/>
  <c r="W2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B131" i="34"/>
  <c r="B129" i="34"/>
  <c r="J46" i="34"/>
  <c r="B127" i="34"/>
  <c r="B99" i="34"/>
  <c r="F32" i="34"/>
  <c r="B97" i="34"/>
  <c r="B95" i="34"/>
  <c r="H30" i="34"/>
  <c r="B93" i="34"/>
  <c r="B75" i="34"/>
  <c r="B73" i="34"/>
  <c r="B71" i="34"/>
  <c r="F12" i="34"/>
  <c r="B130" i="33"/>
  <c r="B128" i="33"/>
  <c r="B126" i="33"/>
  <c r="B98" i="33"/>
  <c r="F31" i="33"/>
  <c r="B96" i="33"/>
  <c r="B94" i="33"/>
  <c r="B74" i="33"/>
  <c r="B72" i="33"/>
  <c r="J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D85" i="33"/>
  <c r="E85" i="33"/>
  <c r="F85" i="33"/>
  <c r="D81" i="33"/>
  <c r="E81" i="33"/>
  <c r="F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1" i="21"/>
  <c r="F19" i="21"/>
  <c r="AA19" i="21"/>
  <c r="F81" i="21"/>
  <c r="G81" i="21"/>
  <c r="D77" i="21"/>
  <c r="E77" i="21"/>
  <c r="F77" i="21"/>
  <c r="G77" i="21"/>
  <c r="B130" i="21"/>
  <c r="B128" i="21"/>
  <c r="J45" i="21"/>
  <c r="W45" i="21"/>
  <c r="B126" i="21"/>
  <c r="B98" i="21"/>
  <c r="H31" i="21"/>
  <c r="B96" i="21"/>
  <c r="H30" i="21"/>
  <c r="B94" i="21"/>
  <c r="J29" i="21"/>
  <c r="AC29" i="21"/>
  <c r="B92" i="21"/>
  <c r="H28" i="21"/>
  <c r="AB28" i="21"/>
  <c r="B90" i="21"/>
  <c r="J27" i="21"/>
  <c r="W27" i="21"/>
  <c r="B74" i="21"/>
  <c r="J14" i="21"/>
  <c r="W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G3" i="43"/>
  <c r="H22" i="4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U30" i="37"/>
  <c r="E103" i="37"/>
  <c r="F103" i="37"/>
  <c r="G103" i="37"/>
  <c r="H103" i="37"/>
  <c r="I103" i="37"/>
  <c r="J103" i="37"/>
  <c r="K103" i="37"/>
  <c r="L103" i="37"/>
  <c r="M103" i="37"/>
  <c r="F39" i="37"/>
  <c r="S39" i="37"/>
  <c r="F29" i="36"/>
  <c r="AA29" i="36"/>
  <c r="W8" i="36"/>
  <c r="F16" i="36"/>
  <c r="AA16" i="36"/>
  <c r="W28" i="36"/>
  <c r="S30" i="36"/>
  <c r="AA31" i="36"/>
  <c r="W31" i="36"/>
  <c r="U31" i="36"/>
  <c r="J33" i="36"/>
  <c r="W33" i="36"/>
  <c r="H22" i="35"/>
  <c r="AB22" i="35"/>
  <c r="AC27" i="35"/>
  <c r="U31" i="35"/>
  <c r="W36"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F101" i="39"/>
  <c r="H27" i="39"/>
  <c r="U27" i="39"/>
  <c r="J19" i="39"/>
  <c r="AC19" i="39"/>
  <c r="J17" i="39"/>
  <c r="J27" i="39"/>
  <c r="AC27" i="39"/>
  <c r="F27" i="39"/>
  <c r="C27" i="39"/>
  <c r="S40" i="39"/>
  <c r="H32" i="33"/>
  <c r="AB32" i="33"/>
  <c r="H37" i="40"/>
  <c r="U37" i="40"/>
  <c r="H36" i="40"/>
  <c r="AB36" i="40"/>
  <c r="F35" i="40"/>
  <c r="AA35" i="40"/>
  <c r="H23" i="40"/>
  <c r="AB23" i="40"/>
  <c r="H17" i="40"/>
  <c r="U17" i="40"/>
  <c r="J15" i="40"/>
  <c r="W15" i="40"/>
  <c r="J11" i="40"/>
  <c r="W11" i="40"/>
  <c r="AB8" i="39"/>
  <c r="AB12" i="33"/>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7" i="34"/>
  <c r="AA27" i="34"/>
  <c r="F25" i="34"/>
  <c r="S25" i="34"/>
  <c r="H23" i="34"/>
  <c r="U23" i="34"/>
  <c r="J23" i="34"/>
  <c r="F19" i="34"/>
  <c r="H17" i="34"/>
  <c r="U17" i="34"/>
  <c r="F15" i="34"/>
  <c r="J15" i="34"/>
  <c r="AC15" i="34"/>
  <c r="H15" i="34"/>
  <c r="AB15" i="34"/>
  <c r="W8" i="34"/>
  <c r="F41" i="33"/>
  <c r="AA41" i="33"/>
  <c r="S38" i="33"/>
  <c r="E113" i="33"/>
  <c r="F113" i="33"/>
  <c r="G113" i="33"/>
  <c r="H113" i="33"/>
  <c r="I113" i="33"/>
  <c r="J113" i="33"/>
  <c r="K113" i="33"/>
  <c r="L113" i="33"/>
  <c r="M113" i="33"/>
  <c r="F32" i="33"/>
  <c r="AA32" i="33"/>
  <c r="J19" i="33"/>
  <c r="AC19" i="33"/>
  <c r="J15" i="33"/>
  <c r="AC15" i="33"/>
  <c r="F11" i="33"/>
  <c r="AA11" i="33"/>
  <c r="U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c r="J11" i="33"/>
  <c r="W11" i="33"/>
  <c r="U23" i="40"/>
  <c r="J42" i="21"/>
  <c r="AC42" i="21"/>
  <c r="H42" i="21"/>
  <c r="U42" i="21"/>
  <c r="J44" i="34"/>
  <c r="F44" i="34"/>
  <c r="AA44" i="34"/>
  <c r="J10" i="35"/>
  <c r="W10" i="35"/>
  <c r="BL587" i="3"/>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F27" i="33"/>
  <c r="AA27" i="33"/>
  <c r="H13" i="33"/>
  <c r="AB13" i="33"/>
  <c r="F13" i="33"/>
  <c r="S13" i="33"/>
  <c r="J29" i="33"/>
  <c r="AC29" i="33"/>
  <c r="H29" i="33"/>
  <c r="U29" i="33"/>
  <c r="F29" i="33"/>
  <c r="S29" i="33"/>
  <c r="J31" i="33"/>
  <c r="W31" i="33"/>
  <c r="H31" i="33"/>
  <c r="AB31" i="33"/>
  <c r="H45" i="33"/>
  <c r="U45" i="33"/>
  <c r="J45" i="33"/>
  <c r="W45" i="33"/>
  <c r="F45" i="33"/>
  <c r="AA45" i="33"/>
  <c r="J14" i="34"/>
  <c r="W14" i="34"/>
  <c r="F14" i="34"/>
  <c r="S14" i="34"/>
  <c r="H14" i="34"/>
  <c r="F30" i="34"/>
  <c r="S30" i="34"/>
  <c r="J30" i="34"/>
  <c r="W30" i="34"/>
  <c r="H32" i="34"/>
  <c r="J32" i="34"/>
  <c r="W32" i="34"/>
  <c r="H46" i="34"/>
  <c r="U46" i="34"/>
  <c r="F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5"/>
  <c r="J10" i="36"/>
  <c r="AC10" i="36"/>
  <c r="AA14" i="37"/>
  <c r="W31" i="34"/>
  <c r="W13" i="36"/>
  <c r="W11" i="36"/>
  <c r="AB46" i="34"/>
  <c r="AA14" i="34"/>
  <c r="AB45" i="33"/>
  <c r="U31" i="33"/>
  <c r="U13" i="33"/>
  <c r="S44" i="34"/>
  <c r="BA585" i="3"/>
  <c r="AZ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L520" i="3"/>
  <c r="AZ520" i="3"/>
  <c r="BA518" i="3"/>
  <c r="AZ518" i="3"/>
  <c r="BA516" i="3"/>
  <c r="AZ516" i="3"/>
  <c r="BA514" i="3"/>
  <c r="BA512" i="3"/>
  <c r="AZ512" i="3"/>
  <c r="BA510" i="3"/>
  <c r="AZ510" i="3"/>
  <c r="BA508" i="3"/>
  <c r="BL508" i="3"/>
  <c r="AZ508" i="3"/>
  <c r="BA506" i="3"/>
  <c r="BA504" i="3"/>
  <c r="AZ504" i="3"/>
  <c r="BA502" i="3"/>
  <c r="BA500" i="3"/>
  <c r="BA498" i="3"/>
  <c r="AZ498" i="3"/>
  <c r="BA496" i="3"/>
  <c r="BA494" i="3"/>
  <c r="BA587" i="3"/>
  <c r="AZ587" i="3"/>
  <c r="BA583" i="3"/>
  <c r="BQ583" i="3"/>
  <c r="BL583" i="3"/>
  <c r="AZ583" i="3"/>
  <c r="BA581" i="3"/>
  <c r="BA579" i="3"/>
  <c r="BA577" i="3"/>
  <c r="BQ577" i="3"/>
  <c r="BL577" i="3"/>
  <c r="AZ577" i="3"/>
  <c r="BA575" i="3"/>
  <c r="BA573" i="3"/>
  <c r="BQ573" i="3"/>
  <c r="BL573" i="3"/>
  <c r="AZ573" i="3"/>
  <c r="BA571" i="3"/>
  <c r="BA569" i="3"/>
  <c r="BQ569" i="3"/>
  <c r="BL569" i="3"/>
  <c r="AZ569" i="3"/>
  <c r="BA567" i="3"/>
  <c r="BA565" i="3"/>
  <c r="BQ565" i="3"/>
  <c r="BL565" i="3"/>
  <c r="AZ565" i="3"/>
  <c r="BA563" i="3"/>
  <c r="BA561" i="3"/>
  <c r="BA559" i="3"/>
  <c r="BA555" i="3"/>
  <c r="BA553" i="3"/>
  <c r="BA549" i="3"/>
  <c r="BA547" i="3"/>
  <c r="BA545" i="3"/>
  <c r="BA543" i="3"/>
  <c r="BA541" i="3"/>
  <c r="BA539" i="3"/>
  <c r="BA537" i="3"/>
  <c r="BA535" i="3"/>
  <c r="BA533" i="3"/>
  <c r="BA531" i="3"/>
  <c r="BA529" i="3"/>
  <c r="BA527" i="3"/>
  <c r="BA525" i="3"/>
  <c r="BA523" i="3"/>
  <c r="BA519" i="3"/>
  <c r="BQ519" i="3"/>
  <c r="BL519" i="3"/>
  <c r="AZ519" i="3"/>
  <c r="BA517" i="3"/>
  <c r="BA515" i="3"/>
  <c r="BQ515" i="3"/>
  <c r="BL515" i="3"/>
  <c r="AZ515" i="3"/>
  <c r="BA513" i="3"/>
  <c r="BA511" i="3"/>
  <c r="BQ511" i="3"/>
  <c r="BL511" i="3"/>
  <c r="AZ511" i="3"/>
  <c r="BA507" i="3"/>
  <c r="BA505" i="3"/>
  <c r="BA503" i="3"/>
  <c r="BA501" i="3"/>
  <c r="BA499" i="3"/>
  <c r="BA497" i="3"/>
  <c r="BA495" i="3"/>
  <c r="BA493" i="3"/>
  <c r="AZ560" i="3"/>
  <c r="G583" i="3"/>
  <c r="G581" i="3"/>
  <c r="G579" i="3"/>
  <c r="G577" i="3"/>
  <c r="G575" i="3"/>
  <c r="G573" i="3"/>
  <c r="G571" i="3"/>
  <c r="G569" i="3"/>
  <c r="G567" i="3"/>
  <c r="G565" i="3"/>
  <c r="G563" i="3"/>
  <c r="G561" i="3"/>
  <c r="BA557" i="3"/>
  <c r="G557" i="3"/>
  <c r="BQ557" i="3"/>
  <c r="BL557" i="3"/>
  <c r="AZ557" i="3"/>
  <c r="BQ581" i="3"/>
  <c r="BL581" i="3"/>
  <c r="AZ581" i="3"/>
  <c r="BQ579" i="3"/>
  <c r="BL579" i="3"/>
  <c r="AZ579" i="3"/>
  <c r="BQ575" i="3"/>
  <c r="BL575" i="3"/>
  <c r="AZ575" i="3"/>
  <c r="BQ571" i="3"/>
  <c r="BL571" i="3"/>
  <c r="AZ571" i="3"/>
  <c r="BQ567" i="3"/>
  <c r="BL567" i="3"/>
  <c r="AZ567"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G521" i="3"/>
  <c r="BQ521" i="3"/>
  <c r="BL521" i="3"/>
  <c r="G519" i="3"/>
  <c r="G517" i="3"/>
  <c r="G515" i="3"/>
  <c r="G513" i="3"/>
  <c r="G511" i="3"/>
  <c r="BQ517" i="3"/>
  <c r="BL517" i="3"/>
  <c r="AZ517" i="3"/>
  <c r="BQ513" i="3"/>
  <c r="BL513" i="3"/>
  <c r="AZ513" i="3"/>
  <c r="BA509" i="3"/>
  <c r="BQ509" i="3"/>
  <c r="BL509" i="3"/>
  <c r="AZ509" i="3"/>
  <c r="G507" i="3"/>
  <c r="G505" i="3"/>
  <c r="G503" i="3"/>
  <c r="G501" i="3"/>
  <c r="G499" i="3"/>
  <c r="G497" i="3"/>
  <c r="G495" i="3"/>
  <c r="BQ507" i="3"/>
  <c r="BL507" i="3"/>
  <c r="AZ507" i="3"/>
  <c r="BQ505" i="3"/>
  <c r="BL505" i="3"/>
  <c r="AZ505" i="3"/>
  <c r="BQ503" i="3"/>
  <c r="BL503" i="3"/>
  <c r="AZ503" i="3"/>
  <c r="BQ501" i="3"/>
  <c r="BL501" i="3"/>
  <c r="AZ501" i="3"/>
  <c r="BQ499" i="3"/>
  <c r="BL499" i="3"/>
  <c r="AZ499" i="3"/>
  <c r="BQ497" i="3"/>
  <c r="BL497" i="3"/>
  <c r="AZ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H43" i="33"/>
  <c r="AB43" i="33"/>
  <c r="H17" i="37"/>
  <c r="U17" i="37"/>
  <c r="U32" i="33"/>
  <c r="AA36" i="39"/>
  <c r="F39" i="33"/>
  <c r="AA39" i="33"/>
  <c r="E123" i="33"/>
  <c r="F42" i="33"/>
  <c r="AA42" i="33"/>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U35" i="35"/>
  <c r="W23" i="35"/>
  <c r="W14" i="37"/>
  <c r="U33" i="37"/>
  <c r="U39" i="37"/>
  <c r="AC8" i="37"/>
  <c r="U26" i="37"/>
  <c r="W47" i="34"/>
  <c r="W37" i="34"/>
  <c r="AC36" i="34"/>
  <c r="AC31" i="33"/>
  <c r="W44" i="33"/>
  <c r="U11" i="33"/>
  <c r="W44" i="21"/>
  <c r="U26" i="21"/>
  <c r="AC46" i="21"/>
  <c r="U12" i="21"/>
  <c r="AB38" i="21"/>
  <c r="F43" i="33"/>
  <c r="AA43" i="33"/>
  <c r="W15" i="34"/>
  <c r="W16" i="35"/>
  <c r="H37" i="21"/>
  <c r="U37" i="21"/>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S42" i="39"/>
  <c r="AA41" i="39"/>
  <c r="W9" i="39"/>
  <c r="W8" i="39"/>
  <c r="J19" i="40"/>
  <c r="AC19" i="40"/>
  <c r="J50" i="40"/>
  <c r="B54" i="72"/>
  <c r="H103" i="9"/>
  <c r="D8" i="53"/>
  <c r="B16" i="53"/>
  <c r="B33" i="72"/>
  <c r="C7" i="37"/>
  <c r="C7" i="36"/>
  <c r="W35" i="40"/>
  <c r="A118" i="9"/>
  <c r="A4" i="52"/>
  <c r="B41" i="72"/>
  <c r="A12" i="52"/>
  <c r="B56" i="72"/>
  <c r="G4" i="4"/>
  <c r="I4" i="4"/>
  <c r="K5" i="4"/>
  <c r="B47" i="48"/>
  <c r="A2" i="9"/>
  <c r="N2" i="43"/>
  <c r="F59" i="4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1"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AZ343" i="3"/>
  <c r="BK5" i="3"/>
  <c r="BI5" i="3"/>
  <c r="BG5" i="3"/>
  <c r="BE5" i="3"/>
  <c r="G17" i="3"/>
  <c r="BA17" i="3"/>
  <c r="BT5" i="3"/>
  <c r="AZ350" i="3"/>
  <c r="AZ352" i="3"/>
  <c r="AZ356" i="3"/>
  <c r="AZ360" i="3"/>
  <c r="AZ364" i="3"/>
  <c r="AZ368" i="3"/>
  <c r="BA15" i="3"/>
  <c r="BB5" i="3"/>
  <c r="E8" i="6"/>
  <c r="AZ380" i="3"/>
  <c r="AZ384" i="3"/>
  <c r="AZ388" i="3"/>
  <c r="AZ392" i="3"/>
  <c r="AZ396" i="3"/>
  <c r="AZ394" i="3"/>
  <c r="G509" i="3"/>
  <c r="BL493" i="3"/>
  <c r="AZ493" i="3"/>
  <c r="AZ491" i="3"/>
  <c r="AZ376" i="3"/>
  <c r="AZ390" i="3"/>
  <c r="AZ382" i="3"/>
  <c r="U36" i="40"/>
  <c r="N4" i="43"/>
  <c r="F36" i="43"/>
  <c r="F81" i="43"/>
  <c r="H83" i="43"/>
  <c r="H113" i="43"/>
  <c r="F48" i="43"/>
  <c r="H52" i="43"/>
  <c r="N7" i="43"/>
  <c r="F70" i="43"/>
  <c r="H73" i="43"/>
  <c r="M6" i="43"/>
  <c r="M11" i="43"/>
  <c r="E17" i="43"/>
  <c r="F39" i="43"/>
  <c r="I17" i="43"/>
  <c r="F35" i="43"/>
  <c r="J17" i="43"/>
  <c r="F6" i="1"/>
  <c r="U17" i="39"/>
  <c r="S14" i="35"/>
  <c r="AC35" i="2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S19" i="39"/>
  <c r="F12" i="33"/>
  <c r="H12" i="39"/>
  <c r="AB12" i="39"/>
  <c r="F39" i="40"/>
  <c r="BA14" i="3"/>
  <c r="AZ367" i="3"/>
  <c r="AZ213" i="3"/>
  <c r="AZ224" i="3"/>
  <c r="AZ234" i="3"/>
  <c r="AZ238" i="3"/>
  <c r="AZ250" i="3"/>
  <c r="AZ254" i="3"/>
  <c r="AZ281" i="3"/>
  <c r="AZ286" i="3"/>
  <c r="AZ297" i="3"/>
  <c r="AZ149" i="3"/>
  <c r="AZ157" i="3"/>
  <c r="AZ165" i="3"/>
  <c r="AZ173" i="3"/>
  <c r="AZ181" i="3"/>
  <c r="AZ189" i="3"/>
  <c r="AZ197" i="3"/>
  <c r="S12" i="1"/>
  <c r="AQ12" i="1"/>
  <c r="R12" i="1"/>
  <c r="B12" i="1"/>
  <c r="E12" i="1"/>
  <c r="B10" i="1"/>
  <c r="E10" i="1"/>
  <c r="D1" i="66"/>
  <c r="E10" i="66"/>
  <c r="AZ80" i="3"/>
  <c r="AZ84" i="3"/>
  <c r="AZ88" i="3"/>
  <c r="AZ107" i="3"/>
  <c r="AZ111" i="3"/>
  <c r="K12" i="1"/>
  <c r="M12" i="1"/>
  <c r="S13" i="1"/>
  <c r="AR13" i="1"/>
  <c r="R13" i="1"/>
  <c r="S11" i="1"/>
  <c r="AQ11" i="1"/>
  <c r="R11"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S43" i="39"/>
  <c r="S37" i="39"/>
  <c r="U35" i="39"/>
  <c r="F32" i="39"/>
  <c r="AA32" i="39"/>
  <c r="AB27" i="39"/>
  <c r="S25" i="39"/>
  <c r="J21" i="39"/>
  <c r="W21" i="39"/>
  <c r="F21" i="39"/>
  <c r="S21" i="39"/>
  <c r="H21" i="39"/>
  <c r="U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U32"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AA43" i="21"/>
  <c r="S39" i="21"/>
  <c r="AA38" i="21"/>
  <c r="AA36" i="21"/>
  <c r="AC40" i="21"/>
  <c r="J15" i="21"/>
  <c r="W15" i="21"/>
  <c r="F23" i="21"/>
  <c r="S23" i="21"/>
  <c r="E85" i="21"/>
  <c r="F85" i="21"/>
  <c r="G85" i="21"/>
  <c r="AB8" i="21"/>
  <c r="S8" i="21"/>
  <c r="M3" i="43"/>
  <c r="N10" i="43"/>
  <c r="M1" i="43"/>
  <c r="M8" i="43"/>
  <c r="N8" i="43"/>
  <c r="N9" i="43"/>
  <c r="D120" i="9"/>
  <c r="C18" i="9"/>
  <c r="D18" i="9"/>
  <c r="F34" i="67"/>
  <c r="F62" i="67"/>
  <c r="M20" i="67"/>
  <c r="F34" i="15"/>
  <c r="F62" i="15"/>
  <c r="G13" i="3"/>
  <c r="BA13" i="3"/>
  <c r="BL17" i="3"/>
  <c r="BL13" i="3"/>
  <c r="J56" i="9"/>
  <c r="J57" i="9"/>
  <c r="A24" i="51"/>
  <c r="B18" i="72"/>
  <c r="U29" i="34"/>
  <c r="D101" i="43"/>
  <c r="D109" i="43"/>
  <c r="G1" i="68"/>
  <c r="K1" i="12"/>
  <c r="T12" i="1"/>
  <c r="E19" i="69"/>
  <c r="E19" i="68"/>
  <c r="E19" i="11"/>
  <c r="E1" i="73"/>
  <c r="G41" i="69"/>
  <c r="G22" i="69"/>
  <c r="G41" i="68"/>
  <c r="G22" i="68"/>
  <c r="G27" i="12"/>
  <c r="G26" i="12"/>
  <c r="G41" i="11"/>
  <c r="G22" i="11"/>
  <c r="G25" i="12"/>
  <c r="C100" i="43"/>
  <c r="E11" i="43"/>
  <c r="E10" i="43"/>
  <c r="E9" i="43"/>
  <c r="E8" i="43"/>
  <c r="C7" i="43"/>
  <c r="E81" i="43"/>
  <c r="B79" i="43"/>
  <c r="Z7"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3"/>
  <c r="C58" i="33"/>
  <c r="C7" i="40"/>
  <c r="C63" i="40"/>
  <c r="G19" i="43"/>
  <c r="AD3" i="71"/>
  <c r="P22" i="43"/>
  <c r="C46" i="36"/>
  <c r="D46" i="36"/>
  <c r="E46" i="36"/>
  <c r="F46" i="36"/>
  <c r="G46" i="36"/>
  <c r="H46" i="36"/>
  <c r="C52" i="37"/>
  <c r="D52" i="37"/>
  <c r="A4" i="51"/>
  <c r="B6" i="72"/>
  <c r="C94" i="9"/>
  <c r="C92" i="9"/>
  <c r="H62" i="43"/>
  <c r="H66" i="43"/>
  <c r="H61" i="43"/>
  <c r="H65" i="43"/>
  <c r="H60" i="43"/>
  <c r="H64" i="43"/>
  <c r="H59" i="43"/>
  <c r="H63" i="43"/>
  <c r="H67" i="43"/>
  <c r="H55" i="43"/>
  <c r="H51" i="43"/>
  <c r="H56" i="43"/>
  <c r="H76" i="43"/>
  <c r="H72" i="43"/>
  <c r="H77" i="43"/>
  <c r="B6" i="1"/>
  <c r="E6" i="1"/>
  <c r="K11" i="1"/>
  <c r="M11" i="1"/>
  <c r="B9" i="1"/>
  <c r="E9" i="1"/>
  <c r="K7" i="1"/>
  <c r="AP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S23" i="39"/>
  <c r="AA45" i="39"/>
  <c r="AB39" i="39"/>
  <c r="W34" i="39"/>
  <c r="U38" i="39"/>
  <c r="S8" i="39"/>
  <c r="S20" i="36"/>
  <c r="AC25" i="36"/>
  <c r="S28" i="36"/>
  <c r="U32" i="36"/>
  <c r="W29" i="36"/>
  <c r="AC20" i="36"/>
  <c r="AB28" i="36"/>
  <c r="AA13" i="36"/>
  <c r="W9" i="36"/>
  <c r="W22" i="36"/>
  <c r="W23" i="36"/>
  <c r="S9" i="36"/>
  <c r="AB20" i="35"/>
  <c r="AC25" i="35"/>
  <c r="U25" i="35"/>
  <c r="W33" i="35"/>
  <c r="AA30"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F37" i="21"/>
  <c r="AA37" i="21"/>
  <c r="AA26" i="21"/>
  <c r="AB46" i="21"/>
  <c r="U40" i="21"/>
  <c r="AB31" i="21"/>
  <c r="U31" i="21"/>
  <c r="AC15" i="21"/>
  <c r="U13" i="21"/>
  <c r="AB13" i="21"/>
  <c r="W8" i="21"/>
  <c r="AB37" i="21"/>
  <c r="J37" i="21"/>
  <c r="W37" i="21"/>
  <c r="H15" i="21"/>
  <c r="U15" i="21"/>
  <c r="J17" i="21"/>
  <c r="AC17" i="21"/>
  <c r="AC19" i="21"/>
  <c r="W39" i="21"/>
  <c r="AC14" i="21"/>
  <c r="S46" i="21"/>
  <c r="H45" i="21"/>
  <c r="U45" i="21"/>
  <c r="F29" i="21"/>
  <c r="S29" i="21"/>
  <c r="F13" i="21"/>
  <c r="AA13" i="21"/>
  <c r="AC38" i="21"/>
  <c r="H32" i="21"/>
  <c r="AB32" i="21"/>
  <c r="H9" i="21"/>
  <c r="AB9" i="21"/>
  <c r="J9" i="21"/>
  <c r="AC9" i="21"/>
  <c r="J32" i="21"/>
  <c r="AC32" i="21"/>
  <c r="F32" i="21"/>
  <c r="AA32" i="21"/>
  <c r="U17" i="21"/>
  <c r="W29" i="21"/>
  <c r="S19" i="21"/>
  <c r="S9" i="21"/>
  <c r="AA9" i="21"/>
  <c r="K141" i="21"/>
  <c r="K144" i="21"/>
  <c r="K143" i="21"/>
  <c r="U27" i="21"/>
  <c r="AB25" i="21"/>
  <c r="AB44" i="21"/>
  <c r="W13" i="21"/>
  <c r="W42" i="21"/>
  <c r="AC45" i="21"/>
  <c r="F10" i="21"/>
  <c r="K145"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F30" i="68"/>
  <c r="F30" i="11"/>
  <c r="C48" i="11"/>
  <c r="F28" i="67"/>
  <c r="F31" i="12"/>
  <c r="F52" i="9"/>
  <c r="M18" i="67"/>
  <c r="F32" i="67"/>
  <c r="F60" i="67"/>
  <c r="F30" i="69"/>
  <c r="F32" i="15"/>
  <c r="F60" i="15"/>
  <c r="M18" i="15"/>
  <c r="F28" i="15"/>
  <c r="E7" i="70"/>
  <c r="AA39" i="40"/>
  <c r="S39" i="40"/>
  <c r="S12" i="33"/>
  <c r="AA12" i="33"/>
  <c r="C16" i="43"/>
  <c r="C5" i="43"/>
  <c r="D68" i="9"/>
  <c r="F54" i="9"/>
  <c r="J32" i="39"/>
  <c r="AC32" i="39"/>
  <c r="H32" i="39"/>
  <c r="U32" i="39"/>
  <c r="S32" i="39"/>
  <c r="AB21" i="39"/>
  <c r="AA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S17" i="33"/>
  <c r="W17" i="33"/>
  <c r="AC17" i="33"/>
  <c r="U10" i="33"/>
  <c r="AB10" i="33"/>
  <c r="AC10" i="33"/>
  <c r="W10" i="33"/>
  <c r="AC37" i="21"/>
  <c r="S37" i="21"/>
  <c r="J23" i="21"/>
  <c r="W23" i="21"/>
  <c r="H23" i="21"/>
  <c r="U23" i="21"/>
  <c r="S13" i="21"/>
  <c r="D6" i="52"/>
  <c r="D121" i="9"/>
  <c r="D7" i="52"/>
  <c r="K120" i="9"/>
  <c r="J59" i="9"/>
  <c r="J61" i="9"/>
  <c r="R22" i="31"/>
  <c r="B21" i="31"/>
  <c r="O19" i="43"/>
  <c r="E52" i="37"/>
  <c r="F52" i="37"/>
  <c r="C65" i="40"/>
  <c r="D63" i="40"/>
  <c r="E63" i="40"/>
  <c r="AB45" i="21"/>
  <c r="U9" i="21"/>
  <c r="W9" i="21"/>
  <c r="AA10" i="21"/>
  <c r="S10" i="21"/>
  <c r="E6" i="70"/>
  <c r="A18" i="62"/>
  <c r="B64" i="72"/>
  <c r="W19" i="37"/>
  <c r="AC19" i="37"/>
  <c r="W23" i="37"/>
  <c r="AC23" i="37"/>
  <c r="AB11" i="37"/>
  <c r="U11" i="37"/>
  <c r="H63" i="37"/>
  <c r="I63" i="37"/>
  <c r="J63" i="37"/>
  <c r="K63" i="37"/>
  <c r="L63" i="37"/>
  <c r="M63" i="37"/>
  <c r="J11" i="37"/>
  <c r="W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U17" i="33"/>
  <c r="AB17" i="33"/>
  <c r="D65" i="40"/>
  <c r="F1" i="67"/>
  <c r="Q52" i="67"/>
  <c r="AC11" i="37"/>
  <c r="W11" i="34"/>
  <c r="AC11" i="34"/>
  <c r="AE7" i="1"/>
  <c r="AE8" i="1"/>
  <c r="AE6" i="1"/>
  <c r="AG6" i="1"/>
  <c r="H112" i="9"/>
  <c r="D21" i="53"/>
  <c r="B39" i="72"/>
  <c r="H111" i="9"/>
  <c r="D126" i="9"/>
  <c r="I14" i="74"/>
  <c r="B8" i="74"/>
  <c r="D59" i="9"/>
  <c r="M55" i="9"/>
  <c r="P21" i="43"/>
  <c r="P23" i="43"/>
  <c r="B71" i="39"/>
  <c r="P25" i="43"/>
  <c r="L48" i="67"/>
  <c r="M24" i="15"/>
  <c r="E2" i="68"/>
  <c r="F7" i="73"/>
  <c r="C76" i="67"/>
  <c r="AO6" i="1"/>
  <c r="M22" i="15"/>
  <c r="D5" i="73"/>
  <c r="F41" i="67"/>
  <c r="M26" i="15"/>
  <c r="E12" i="76"/>
  <c r="M8" i="15"/>
  <c r="B12" i="76"/>
  <c r="M28" i="67"/>
  <c r="M6" i="67"/>
  <c r="D6" i="73"/>
  <c r="M22" i="67"/>
  <c r="M29" i="15"/>
  <c r="D2" i="37"/>
  <c r="F42" i="15"/>
  <c r="D2" i="35"/>
  <c r="F38" i="15"/>
  <c r="L47" i="15"/>
  <c r="F26" i="15"/>
  <c r="F7" i="67"/>
  <c r="J15" i="15"/>
  <c r="F36" i="15"/>
  <c r="F6" i="67"/>
  <c r="M26" i="67"/>
  <c r="AO9" i="1"/>
  <c r="AO8" i="1"/>
  <c r="F43" i="67"/>
  <c r="AO11" i="1"/>
  <c r="B8" i="76"/>
  <c r="M23" i="15"/>
  <c r="M8" i="67"/>
  <c r="L47" i="67"/>
  <c r="F13" i="15"/>
  <c r="D7" i="73"/>
  <c r="D2" i="33"/>
  <c r="F8" i="67"/>
  <c r="F37" i="15"/>
  <c r="F6" i="15"/>
  <c r="F9" i="67"/>
  <c r="F20" i="31"/>
  <c r="D3" i="73"/>
  <c r="C76" i="15"/>
  <c r="F42" i="67"/>
  <c r="B13" i="76"/>
  <c r="F16" i="15"/>
  <c r="M9" i="67"/>
  <c r="M9" i="15"/>
  <c r="F40" i="67"/>
  <c r="F26" i="67"/>
  <c r="AO7" i="1"/>
  <c r="F5" i="73"/>
  <c r="AO12" i="1"/>
  <c r="F43" i="15"/>
  <c r="F40" i="15"/>
  <c r="M29" i="67"/>
  <c r="E8" i="76"/>
  <c r="F3" i="73"/>
  <c r="E2" i="69"/>
  <c r="E13" i="76"/>
  <c r="B9" i="76"/>
  <c r="AO13" i="1"/>
  <c r="F36" i="67"/>
  <c r="F38" i="67"/>
  <c r="D2" i="21"/>
  <c r="F7" i="15"/>
  <c r="D4" i="73"/>
  <c r="M23" i="67"/>
  <c r="M6" i="15"/>
  <c r="E10" i="76"/>
  <c r="B10" i="76"/>
  <c r="E11" i="76"/>
  <c r="F4" i="73"/>
  <c r="E7" i="76"/>
  <c r="L48" i="15"/>
  <c r="B11" i="76"/>
  <c r="M27" i="15"/>
  <c r="B7" i="76"/>
  <c r="M27" i="67"/>
  <c r="E9" i="76"/>
  <c r="D2" i="34"/>
  <c r="D2" i="36"/>
  <c r="M24" i="67"/>
  <c r="F13" i="67"/>
  <c r="F6" i="73"/>
  <c r="J15" i="67"/>
  <c r="F37" i="67"/>
  <c r="M28" i="15"/>
  <c r="F16" i="67"/>
  <c r="AP9" i="1"/>
  <c r="S35" i="21"/>
  <c r="U10" i="21"/>
  <c r="S40" i="21"/>
  <c r="S34" i="21"/>
  <c r="U32" i="21"/>
  <c r="S32" i="21"/>
  <c r="AB39" i="21"/>
  <c r="S42" i="21"/>
  <c r="U35" i="21"/>
  <c r="U43" i="21"/>
  <c r="U34" i="21"/>
  <c r="AA23" i="21"/>
  <c r="AC23" i="21"/>
  <c r="H19" i="21"/>
  <c r="W32" i="21"/>
  <c r="AA25" i="21"/>
  <c r="AB23" i="21"/>
  <c r="AB21" i="21"/>
  <c r="S21" i="21"/>
  <c r="AB15" i="21"/>
  <c r="P61" i="15"/>
  <c r="J53" i="15"/>
  <c r="U25" i="39"/>
  <c r="W39" i="39"/>
  <c r="F105" i="39"/>
  <c r="G105" i="39"/>
  <c r="H105" i="39"/>
  <c r="I105" i="39"/>
  <c r="J105" i="39"/>
  <c r="K105" i="39"/>
  <c r="L105" i="39"/>
  <c r="M105" i="39"/>
  <c r="F31" i="39"/>
  <c r="AA31" i="39"/>
  <c r="J31" i="39"/>
  <c r="H31" i="39"/>
  <c r="AC21" i="39"/>
  <c r="W32" i="39"/>
  <c r="AB32" i="39"/>
  <c r="S31" i="39"/>
  <c r="C15" i="39"/>
  <c r="BC5" i="3"/>
  <c r="E14" i="6"/>
  <c r="AZ17" i="3"/>
  <c r="H5" i="3"/>
  <c r="K8" i="1"/>
  <c r="BL19" i="3"/>
  <c r="BN5" i="3"/>
  <c r="BR5" i="3"/>
  <c r="G28" i="6"/>
  <c r="BL39" i="3"/>
  <c r="BL44" i="3"/>
  <c r="BL48" i="3"/>
  <c r="G49" i="3"/>
  <c r="AC11" i="43"/>
  <c r="AC13" i="43"/>
  <c r="AF11" i="43"/>
  <c r="AF13" i="43"/>
  <c r="G29" i="6"/>
  <c r="G41" i="3"/>
  <c r="G43" i="3"/>
  <c r="AZ44" i="3"/>
  <c r="BL45" i="3"/>
  <c r="G48" i="3"/>
  <c r="BL55" i="3"/>
  <c r="AZ55" i="3"/>
  <c r="BL56" i="3"/>
  <c r="G57" i="3"/>
  <c r="BL57" i="3"/>
  <c r="BL59" i="3"/>
  <c r="AZ59" i="3"/>
  <c r="AZ60" i="3"/>
  <c r="BL61" i="3"/>
  <c r="AZ61" i="3"/>
  <c r="G62" i="3"/>
  <c r="BL62" i="3"/>
  <c r="AZ56" i="3"/>
  <c r="AZ57" i="3"/>
  <c r="BL58" i="3"/>
  <c r="AZ58" i="3"/>
  <c r="G61" i="3"/>
  <c r="BL20" i="3"/>
  <c r="G30" i="3"/>
  <c r="G32" i="3"/>
  <c r="G34" i="3"/>
  <c r="G35" i="3"/>
  <c r="G36" i="3"/>
  <c r="G38" i="3"/>
  <c r="G39" i="3"/>
  <c r="G40" i="3"/>
  <c r="G42" i="3"/>
  <c r="G44" i="3"/>
  <c r="G47" i="3"/>
  <c r="BL50" i="3"/>
  <c r="AZ50" i="3"/>
  <c r="G53" i="3"/>
  <c r="G54" i="3"/>
  <c r="BL54" i="3"/>
  <c r="AZ54" i="3"/>
  <c r="BL63" i="3"/>
  <c r="AZ63" i="3"/>
  <c r="AZ64" i="3"/>
  <c r="BL66" i="3"/>
  <c r="AZ66" i="3"/>
  <c r="G69" i="3"/>
  <c r="G70" i="3"/>
  <c r="BL70" i="3"/>
  <c r="AZ70" i="3"/>
  <c r="F28" i="6"/>
  <c r="BA47" i="3"/>
  <c r="BA31" i="3"/>
  <c r="BL31" i="3"/>
  <c r="BA33" i="3"/>
  <c r="BL33" i="3"/>
  <c r="BA37" i="3"/>
  <c r="BL37" i="3"/>
  <c r="BA41" i="3"/>
  <c r="BL41" i="3"/>
  <c r="BA43" i="3"/>
  <c r="BL43" i="3"/>
  <c r="T11" i="1"/>
  <c r="BA30" i="3"/>
  <c r="BA32" i="3"/>
  <c r="BA34" i="3"/>
  <c r="AZ34" i="3"/>
  <c r="BA35" i="3"/>
  <c r="AZ35" i="3"/>
  <c r="BA36" i="3"/>
  <c r="BA38" i="3"/>
  <c r="AZ38" i="3"/>
  <c r="BA39" i="3"/>
  <c r="AZ39" i="3"/>
  <c r="BA46" i="3"/>
  <c r="BA48" i="3"/>
  <c r="AZ48" i="3"/>
  <c r="B22" i="49"/>
  <c r="G29" i="3"/>
  <c r="BA29" i="3"/>
  <c r="AZ29" i="3"/>
  <c r="BL15" i="3"/>
  <c r="AZ15" i="3"/>
  <c r="C7" i="12"/>
  <c r="K6" i="1"/>
  <c r="Q16" i="1"/>
  <c r="F27" i="68"/>
  <c r="E32" i="6"/>
  <c r="AR12" i="1"/>
  <c r="E65" i="40"/>
  <c r="F63" i="40"/>
  <c r="P24" i="43"/>
  <c r="B66" i="40"/>
  <c r="AZ45" i="3"/>
  <c r="G14" i="3"/>
  <c r="AR11" i="1"/>
  <c r="Y11" i="43"/>
  <c r="Y13" i="43"/>
  <c r="AG11" i="43"/>
  <c r="AG13" i="43"/>
  <c r="AB11" i="43"/>
  <c r="AB13" i="43"/>
  <c r="AJ11" i="43"/>
  <c r="AJ13" i="43"/>
  <c r="I101" i="43"/>
  <c r="I109" i="43"/>
  <c r="E9" i="49"/>
  <c r="A15" i="62"/>
  <c r="B61" i="72"/>
  <c r="D127" i="9"/>
  <c r="D13" i="52"/>
  <c r="D58" i="33"/>
  <c r="E58" i="33"/>
  <c r="F58" i="33"/>
  <c r="G58" i="33"/>
  <c r="H58" i="33"/>
  <c r="I58" i="33"/>
  <c r="J58" i="33"/>
  <c r="K58" i="33"/>
  <c r="L58" i="33"/>
  <c r="M58" i="33"/>
  <c r="N58" i="33"/>
  <c r="O58" i="33"/>
  <c r="H7" i="33"/>
  <c r="AB7" i="33"/>
  <c r="T48" i="33"/>
  <c r="G48" i="33"/>
  <c r="M47" i="9"/>
  <c r="C58" i="21"/>
  <c r="D58" i="21"/>
  <c r="E58" i="21"/>
  <c r="F58" i="21"/>
  <c r="G58" i="21"/>
  <c r="C7" i="35"/>
  <c r="C48" i="35"/>
  <c r="D48" i="35"/>
  <c r="E48" i="35"/>
  <c r="F48" i="35"/>
  <c r="G48" i="35"/>
  <c r="C7" i="39"/>
  <c r="C68" i="39"/>
  <c r="C42" i="1"/>
  <c r="C48" i="69"/>
  <c r="C30" i="11"/>
  <c r="C24" i="12"/>
  <c r="C28" i="67"/>
  <c r="C40" i="69"/>
  <c r="AZ13" i="3"/>
  <c r="O10" i="1"/>
  <c r="P10" i="1"/>
  <c r="J22" i="43"/>
  <c r="T13" i="1"/>
  <c r="AQ13" i="1"/>
  <c r="AA11" i="43"/>
  <c r="AA13" i="43"/>
  <c r="AE11" i="43"/>
  <c r="AE13" i="43"/>
  <c r="AI11" i="43"/>
  <c r="AI13" i="43"/>
  <c r="Z11" i="43"/>
  <c r="Z13" i="43"/>
  <c r="AD11" i="43"/>
  <c r="AD13" i="43"/>
  <c r="AH11" i="43"/>
  <c r="AH13" i="43"/>
  <c r="E101" i="43"/>
  <c r="E102" i="43"/>
  <c r="M101" i="43"/>
  <c r="M109" i="43"/>
  <c r="E5" i="6"/>
  <c r="D9" i="11"/>
  <c r="C9" i="11"/>
  <c r="E10" i="6"/>
  <c r="BL47" i="3"/>
  <c r="AZ47" i="3"/>
  <c r="G46" i="3"/>
  <c r="G45" i="3"/>
  <c r="G18" i="3"/>
  <c r="G28" i="3"/>
  <c r="BL28" i="3"/>
  <c r="G27" i="3"/>
  <c r="BA27" i="3"/>
  <c r="AZ27" i="3"/>
  <c r="BA28" i="3"/>
  <c r="BL30" i="3"/>
  <c r="AZ30" i="3"/>
  <c r="BL32" i="3"/>
  <c r="AZ32" i="3"/>
  <c r="BL36" i="3"/>
  <c r="AZ36" i="3"/>
  <c r="BL40" i="3"/>
  <c r="BL42" i="3"/>
  <c r="AZ42" i="3"/>
  <c r="BL46" i="3"/>
  <c r="AZ46" i="3"/>
  <c r="BL26" i="3"/>
  <c r="G26" i="3"/>
  <c r="BA26" i="3"/>
  <c r="AZ26" i="3"/>
  <c r="F29" i="6"/>
  <c r="F30" i="6"/>
  <c r="E35" i="6"/>
  <c r="G25" i="3"/>
  <c r="BL25" i="3"/>
  <c r="BA25" i="3"/>
  <c r="G24" i="3"/>
  <c r="BA24" i="3"/>
  <c r="AZ24" i="3"/>
  <c r="G23" i="3"/>
  <c r="BA23" i="3"/>
  <c r="AZ23" i="3"/>
  <c r="BL22" i="3"/>
  <c r="G22" i="3"/>
  <c r="BA22" i="3"/>
  <c r="G21" i="3"/>
  <c r="BA21" i="3"/>
  <c r="AZ21" i="3"/>
  <c r="BA20" i="3"/>
  <c r="G20" i="3"/>
  <c r="G19" i="3"/>
  <c r="BA19" i="3"/>
  <c r="AZ19" i="3"/>
  <c r="BA18" i="3"/>
  <c r="AZ18" i="3"/>
  <c r="D9" i="68"/>
  <c r="C9" i="68"/>
  <c r="D107" i="43"/>
  <c r="D103" i="43"/>
  <c r="AZ14" i="3"/>
  <c r="M7" i="1"/>
  <c r="O7" i="1"/>
  <c r="P7" i="1"/>
  <c r="D104" i="43"/>
  <c r="D102" i="43"/>
  <c r="D106" i="43"/>
  <c r="D105" i="43"/>
  <c r="E13" i="6"/>
  <c r="E15" i="6"/>
  <c r="F27" i="6"/>
  <c r="E56" i="39"/>
  <c r="E51" i="40"/>
  <c r="E12" i="6"/>
  <c r="E57" i="40"/>
  <c r="C25" i="40"/>
  <c r="G52" i="33"/>
  <c r="H52" i="33"/>
  <c r="U7" i="33"/>
  <c r="H48" i="35"/>
  <c r="I48" i="35"/>
  <c r="J48" i="35"/>
  <c r="K48" i="35"/>
  <c r="L48" i="35"/>
  <c r="M48" i="35"/>
  <c r="N48" i="35"/>
  <c r="O48" i="35"/>
  <c r="H58" i="21"/>
  <c r="I58" i="21"/>
  <c r="J58" i="21"/>
  <c r="K58" i="21"/>
  <c r="L58" i="21"/>
  <c r="M58" i="21"/>
  <c r="N58" i="21"/>
  <c r="O58" i="21"/>
  <c r="I46" i="36"/>
  <c r="J46" i="36"/>
  <c r="K46" i="36"/>
  <c r="L46" i="36"/>
  <c r="M46" i="36"/>
  <c r="N46" i="36"/>
  <c r="O46" i="36"/>
  <c r="J7" i="36"/>
  <c r="G52" i="37"/>
  <c r="H52" i="37"/>
  <c r="I52" i="37"/>
  <c r="J52" i="37"/>
  <c r="K52" i="37"/>
  <c r="L52" i="37"/>
  <c r="M52" i="37"/>
  <c r="N52" i="37"/>
  <c r="O52" i="37"/>
  <c r="F7" i="37"/>
  <c r="D12" i="52"/>
  <c r="D19" i="53"/>
  <c r="G59" i="34"/>
  <c r="H59" i="34"/>
  <c r="I59" i="34"/>
  <c r="J59" i="34"/>
  <c r="K59" i="34"/>
  <c r="L59" i="34"/>
  <c r="M59" i="34"/>
  <c r="N59" i="34"/>
  <c r="O59" i="34"/>
  <c r="H7" i="34"/>
  <c r="O11" i="1"/>
  <c r="O12" i="1"/>
  <c r="P12" i="1"/>
  <c r="AZ586" i="3"/>
  <c r="U30" i="21"/>
  <c r="AB30" i="21"/>
  <c r="W9" i="34"/>
  <c r="AC9" i="34"/>
  <c r="AA28" i="34"/>
  <c r="S28" i="34"/>
  <c r="S12" i="34"/>
  <c r="AA12" i="34"/>
  <c r="H7" i="21"/>
  <c r="F7" i="34"/>
  <c r="J7" i="21"/>
  <c r="J7" i="37"/>
  <c r="H7" i="36"/>
  <c r="F7" i="35"/>
  <c r="H7" i="35"/>
  <c r="H7" i="37"/>
  <c r="F7" i="36"/>
  <c r="W17" i="21"/>
  <c r="AZ521" i="3"/>
  <c r="F22" i="43"/>
  <c r="K101" i="43"/>
  <c r="F101" i="43"/>
  <c r="N101" i="43"/>
  <c r="E22" i="43"/>
  <c r="B113" i="43"/>
  <c r="G101" i="43"/>
  <c r="C101" i="43"/>
  <c r="J101" i="43"/>
  <c r="N104" i="46"/>
  <c r="L101" i="43"/>
  <c r="H101" i="43"/>
  <c r="G22" i="43"/>
  <c r="AC34" i="35"/>
  <c r="W34" i="35"/>
  <c r="AZ551" i="3"/>
  <c r="U12" i="39"/>
  <c r="W14" i="39"/>
  <c r="U40" i="39"/>
  <c r="U12" i="37"/>
  <c r="W40" i="37"/>
  <c r="AC45" i="33"/>
  <c r="AA13" i="33"/>
  <c r="AB37" i="34"/>
  <c r="AB13" i="34"/>
  <c r="W26" i="37"/>
  <c r="AA12" i="35"/>
  <c r="AC33" i="36"/>
  <c r="H24" i="35"/>
  <c r="F24" i="35"/>
  <c r="H28" i="34"/>
  <c r="AB27" i="37"/>
  <c r="S21" i="40"/>
  <c r="W29" i="33"/>
  <c r="S45" i="33"/>
  <c r="AC30" i="34"/>
  <c r="W11" i="35"/>
  <c r="S11" i="36"/>
  <c r="AB26" i="33"/>
  <c r="AB11" i="36"/>
  <c r="AA14" i="33"/>
  <c r="AA44" i="33"/>
  <c r="F38" i="37"/>
  <c r="J38" i="37"/>
  <c r="H28" i="37"/>
  <c r="J28" i="37"/>
  <c r="H25" i="36"/>
  <c r="F25" i="36"/>
  <c r="F45" i="21"/>
  <c r="F31" i="21"/>
  <c r="J31" i="21"/>
  <c r="J30" i="21"/>
  <c r="F30" i="21"/>
  <c r="J28" i="21"/>
  <c r="F28" i="21"/>
  <c r="H14" i="21"/>
  <c r="F14" i="21"/>
  <c r="U30" i="35"/>
  <c r="W40" i="33"/>
  <c r="S26" i="33"/>
  <c r="J28" i="34"/>
  <c r="S9" i="34"/>
  <c r="AC8" i="35"/>
  <c r="U8" i="35"/>
  <c r="AB12" i="35"/>
  <c r="AC12" i="34"/>
  <c r="C21" i="39"/>
  <c r="C25" i="39"/>
  <c r="W28" i="35"/>
  <c r="U9" i="36"/>
  <c r="U14" i="37"/>
  <c r="W31" i="37"/>
  <c r="W25" i="37"/>
  <c r="H9" i="34"/>
  <c r="F34" i="35"/>
  <c r="H34" i="35"/>
  <c r="F25" i="37"/>
  <c r="G551" i="3"/>
  <c r="BL548" i="3"/>
  <c r="AZ475" i="3"/>
  <c r="AZ489" i="3"/>
  <c r="AZ332" i="3"/>
  <c r="AZ211" i="3"/>
  <c r="AZ219" i="3"/>
  <c r="AZ398" i="3"/>
  <c r="AZ405" i="3"/>
  <c r="AZ407" i="3"/>
  <c r="AZ410" i="3"/>
  <c r="AZ415" i="3"/>
  <c r="AZ420" i="3"/>
  <c r="AZ426" i="3"/>
  <c r="AZ431" i="3"/>
  <c r="AZ436" i="3"/>
  <c r="AZ448" i="3"/>
  <c r="AZ452" i="3"/>
  <c r="AZ461" i="3"/>
  <c r="AZ463" i="3"/>
  <c r="AZ468" i="3"/>
  <c r="AZ470" i="3"/>
  <c r="AZ479" i="3"/>
  <c r="AZ485" i="3"/>
  <c r="AZ242" i="3"/>
  <c r="AZ246" i="3"/>
  <c r="AZ22" i="3"/>
  <c r="AZ264" i="3"/>
  <c r="AZ282" i="3"/>
  <c r="AZ285" i="3"/>
  <c r="AZ290" i="3"/>
  <c r="AZ293" i="3"/>
  <c r="AZ153" i="3"/>
  <c r="AZ169" i="3"/>
  <c r="AZ40" i="3"/>
  <c r="AZ49" i="3"/>
  <c r="AZ62" i="3"/>
  <c r="AZ65" i="3"/>
  <c r="AZ76" i="3"/>
  <c r="AZ81" i="3"/>
  <c r="AZ108" i="3"/>
  <c r="F3" i="35"/>
  <c r="D23" i="67"/>
  <c r="C29" i="39"/>
  <c r="B66" i="43"/>
  <c r="Y8" i="71"/>
  <c r="Z8" i="71"/>
  <c r="Y7" i="71"/>
  <c r="Z7" i="71"/>
  <c r="AA7" i="71"/>
  <c r="AB7" i="71"/>
  <c r="AA6" i="71"/>
  <c r="X5" i="71"/>
  <c r="Y5" i="71"/>
  <c r="Z5" i="71"/>
  <c r="AA5" i="71"/>
  <c r="X12" i="71"/>
  <c r="X11" i="71"/>
  <c r="AA20" i="71"/>
  <c r="AB17" i="71"/>
  <c r="Y17" i="71"/>
  <c r="Z17" i="71"/>
  <c r="X16" i="71"/>
  <c r="X21" i="71"/>
  <c r="AA13" i="71"/>
  <c r="X7" i="71"/>
  <c r="X8" i="71"/>
  <c r="X6" i="71"/>
  <c r="C6" i="71"/>
  <c r="D7" i="71"/>
  <c r="AB5" i="71"/>
  <c r="F51" i="71"/>
  <c r="AA8" i="71"/>
  <c r="AB8" i="71"/>
  <c r="D8" i="71"/>
  <c r="U8" i="71"/>
  <c r="S8" i="71"/>
  <c r="T8" i="71"/>
  <c r="Y6" i="71"/>
  <c r="Z6" i="71"/>
  <c r="AB6" i="71"/>
  <c r="E14" i="49"/>
  <c r="E15" i="49"/>
  <c r="E11" i="49"/>
  <c r="E13" i="49"/>
  <c r="B15" i="49"/>
  <c r="B16" i="49"/>
  <c r="E16" i="49"/>
  <c r="B14" i="49"/>
  <c r="B11" i="49"/>
  <c r="E4" i="4"/>
  <c r="B5" i="62"/>
  <c r="B73" i="72"/>
  <c r="E22" i="49"/>
  <c r="E4" i="49"/>
  <c r="B6" i="49"/>
  <c r="E21" i="49"/>
  <c r="B9" i="49"/>
  <c r="B5" i="49"/>
  <c r="B7" i="49"/>
  <c r="B8" i="49"/>
  <c r="B4" i="49"/>
  <c r="E5" i="49"/>
  <c r="E10" i="49"/>
  <c r="E8" i="49"/>
  <c r="B13" i="49"/>
  <c r="C4" i="4"/>
  <c r="B4" i="62"/>
  <c r="B71" i="72"/>
  <c r="E6" i="49"/>
  <c r="E7" i="49"/>
  <c r="B10" i="49"/>
  <c r="B8" i="70"/>
  <c r="B20" i="31"/>
  <c r="B7" i="70"/>
  <c r="B6" i="70"/>
  <c r="F69" i="67"/>
  <c r="F70" i="67"/>
  <c r="F71" i="15"/>
  <c r="F64" i="67"/>
  <c r="F65" i="67"/>
  <c r="L56" i="15"/>
  <c r="J57" i="15"/>
  <c r="J55" i="15"/>
  <c r="J58" i="15"/>
  <c r="Q50" i="15"/>
  <c r="I54" i="15"/>
  <c r="Q71" i="15"/>
  <c r="F71" i="67"/>
  <c r="F50" i="67"/>
  <c r="M7" i="67"/>
  <c r="F66" i="15"/>
  <c r="F51" i="67"/>
  <c r="C6" i="67"/>
  <c r="F50" i="15"/>
  <c r="M7" i="15"/>
  <c r="B11" i="70"/>
  <c r="I1" i="73"/>
  <c r="B39" i="1"/>
  <c r="F68" i="67"/>
  <c r="F66" i="67"/>
  <c r="C27" i="15"/>
  <c r="L58" i="67"/>
  <c r="L59" i="67"/>
  <c r="N59" i="67"/>
  <c r="M59" i="67"/>
  <c r="F51" i="15"/>
  <c r="F68" i="15"/>
  <c r="M59" i="15"/>
  <c r="L59" i="15"/>
  <c r="N59" i="15"/>
  <c r="L58" i="15"/>
  <c r="F64" i="15"/>
  <c r="F65" i="15"/>
  <c r="L56" i="67"/>
  <c r="I54" i="67"/>
  <c r="J57" i="67"/>
  <c r="J55" i="67"/>
  <c r="J58" i="67"/>
  <c r="Q50" i="67"/>
  <c r="C6" i="15"/>
  <c r="C27" i="67"/>
  <c r="J6" i="15"/>
  <c r="Q71" i="67"/>
  <c r="B12" i="70"/>
  <c r="B13" i="70"/>
  <c r="B9" i="70"/>
  <c r="E20" i="43"/>
  <c r="K1" i="73"/>
  <c r="F31" i="67"/>
  <c r="F31" i="15"/>
  <c r="M17" i="15"/>
  <c r="M17" i="67"/>
  <c r="F59" i="67"/>
  <c r="F59" i="15"/>
  <c r="G1" i="73"/>
  <c r="C16" i="15"/>
  <c r="C16" i="67"/>
  <c r="C14" i="67"/>
  <c r="C17" i="67"/>
  <c r="M8" i="1"/>
  <c r="O8" i="1"/>
  <c r="P8" i="1"/>
  <c r="AP8" i="1"/>
  <c r="AB19" i="21"/>
  <c r="U19" i="21"/>
  <c r="Q52" i="15"/>
  <c r="F1" i="15"/>
  <c r="AB31" i="39"/>
  <c r="U31" i="39"/>
  <c r="W31" i="39"/>
  <c r="AC31" i="39"/>
  <c r="E11" i="6"/>
  <c r="E64" i="39"/>
  <c r="E59" i="40"/>
  <c r="I107" i="43"/>
  <c r="I103" i="43"/>
  <c r="AZ20" i="3"/>
  <c r="E29" i="6"/>
  <c r="L20" i="6"/>
  <c r="G16" i="1"/>
  <c r="H10" i="40"/>
  <c r="AB10" i="40"/>
  <c r="E28" i="6"/>
  <c r="K14" i="1"/>
  <c r="M14" i="1"/>
  <c r="O14" i="1"/>
  <c r="P14" i="1"/>
  <c r="G30" i="6"/>
  <c r="G31" i="6"/>
  <c r="H16" i="1"/>
  <c r="AZ43" i="3"/>
  <c r="AZ41" i="3"/>
  <c r="AZ37" i="3"/>
  <c r="AZ33" i="3"/>
  <c r="AZ31" i="3"/>
  <c r="G5" i="3"/>
  <c r="B3" i="3"/>
  <c r="AT6" i="3"/>
  <c r="I104" i="43"/>
  <c r="I105" i="43"/>
  <c r="I102" i="43"/>
  <c r="I106" i="43"/>
  <c r="L19" i="6"/>
  <c r="L27" i="6"/>
  <c r="E104" i="43"/>
  <c r="E107" i="43"/>
  <c r="M6" i="1"/>
  <c r="AP6" i="1"/>
  <c r="C36" i="69"/>
  <c r="J7" i="35"/>
  <c r="C30" i="68"/>
  <c r="F7" i="33"/>
  <c r="J7" i="33"/>
  <c r="F65" i="40"/>
  <c r="G63" i="40"/>
  <c r="E103" i="43"/>
  <c r="E109" i="43"/>
  <c r="BA5" i="3"/>
  <c r="E27" i="6"/>
  <c r="K21" i="6"/>
  <c r="M106" i="43"/>
  <c r="M105" i="43"/>
  <c r="M102" i="43"/>
  <c r="M103" i="43"/>
  <c r="M107" i="43"/>
  <c r="M104" i="43"/>
  <c r="C48" i="68"/>
  <c r="C30" i="69"/>
  <c r="C77" i="9"/>
  <c r="C74" i="9"/>
  <c r="S7" i="33"/>
  <c r="AA7" i="33"/>
  <c r="R48" i="33"/>
  <c r="F7" i="21"/>
  <c r="S7" i="21"/>
  <c r="C70" i="39"/>
  <c r="D68" i="39"/>
  <c r="C28" i="15"/>
  <c r="K4" i="4"/>
  <c r="B46" i="48"/>
  <c r="B4" i="72"/>
  <c r="E106" i="43"/>
  <c r="E105" i="43"/>
  <c r="D9" i="69"/>
  <c r="C9" i="69"/>
  <c r="D19" i="12"/>
  <c r="C19" i="12"/>
  <c r="BL5" i="3"/>
  <c r="H10" i="39"/>
  <c r="AB10" i="39"/>
  <c r="AZ28" i="3"/>
  <c r="AZ25" i="3"/>
  <c r="J10" i="40"/>
  <c r="AC10" i="40"/>
  <c r="F31" i="6"/>
  <c r="F28" i="12"/>
  <c r="C29" i="12"/>
  <c r="D28" i="12"/>
  <c r="F27" i="11"/>
  <c r="C29" i="11"/>
  <c r="D27" i="11"/>
  <c r="F27" i="69"/>
  <c r="C29" i="68"/>
  <c r="D27" i="68"/>
  <c r="C47" i="68"/>
  <c r="D45" i="68"/>
  <c r="J10" i="39"/>
  <c r="E60" i="40"/>
  <c r="E65" i="39"/>
  <c r="E62" i="39"/>
  <c r="E58" i="40"/>
  <c r="E63" i="39"/>
  <c r="E16" i="6"/>
  <c r="P11" i="1"/>
  <c r="E230" i="3"/>
  <c r="F50" i="71"/>
  <c r="Q51" i="71"/>
  <c r="AA25" i="37"/>
  <c r="S25" i="37"/>
  <c r="S34" i="35"/>
  <c r="AA34" i="35"/>
  <c r="W28" i="34"/>
  <c r="AC28" i="34"/>
  <c r="S14" i="21"/>
  <c r="AA14" i="21"/>
  <c r="AA28" i="21"/>
  <c r="S28" i="21"/>
  <c r="S30" i="21"/>
  <c r="AA30" i="21"/>
  <c r="AC31" i="21"/>
  <c r="W31" i="21"/>
  <c r="AA45" i="21"/>
  <c r="S45" i="21"/>
  <c r="AB25" i="36"/>
  <c r="U25" i="36"/>
  <c r="U28" i="37"/>
  <c r="AB28" i="37"/>
  <c r="AA38" i="37"/>
  <c r="S38" i="37"/>
  <c r="AB28" i="34"/>
  <c r="U28" i="34"/>
  <c r="AB24" i="35"/>
  <c r="U24" i="35"/>
  <c r="L109" i="43"/>
  <c r="L102" i="43"/>
  <c r="L105" i="43"/>
  <c r="L104" i="43"/>
  <c r="L106" i="43"/>
  <c r="L107" i="43"/>
  <c r="L103" i="43"/>
  <c r="J104" i="43"/>
  <c r="J105" i="43"/>
  <c r="J107" i="43"/>
  <c r="J102" i="43"/>
  <c r="J109" i="43"/>
  <c r="J103" i="43"/>
  <c r="J106" i="43"/>
  <c r="G105" i="43"/>
  <c r="G102" i="43"/>
  <c r="G107" i="43"/>
  <c r="G104" i="43"/>
  <c r="G106" i="43"/>
  <c r="G103" i="43"/>
  <c r="G109" i="43"/>
  <c r="D22" i="43"/>
  <c r="F104" i="43"/>
  <c r="F102" i="43"/>
  <c r="F105" i="43"/>
  <c r="F109" i="43"/>
  <c r="F106" i="43"/>
  <c r="F103" i="43"/>
  <c r="F107" i="43"/>
  <c r="U7" i="37"/>
  <c r="AB7" i="37"/>
  <c r="T42" i="37"/>
  <c r="G42" i="37"/>
  <c r="AB7" i="35"/>
  <c r="T38" i="35"/>
  <c r="G38" i="35"/>
  <c r="U7" i="35"/>
  <c r="AB7" i="36"/>
  <c r="T36" i="36"/>
  <c r="G36" i="36"/>
  <c r="U7" i="36"/>
  <c r="S7" i="34"/>
  <c r="AA7" i="34"/>
  <c r="R49" i="34"/>
  <c r="J7" i="34"/>
  <c r="B38" i="72"/>
  <c r="D20" i="53"/>
  <c r="B40" i="72"/>
  <c r="D6" i="71"/>
  <c r="C5" i="71"/>
  <c r="AB34" i="35"/>
  <c r="U34" i="35"/>
  <c r="AB9" i="34"/>
  <c r="U9" i="34"/>
  <c r="U14" i="21"/>
  <c r="AB14" i="21"/>
  <c r="AC28" i="21"/>
  <c r="W28" i="21"/>
  <c r="AC30" i="21"/>
  <c r="W30" i="21"/>
  <c r="S31" i="21"/>
  <c r="AA31" i="21"/>
  <c r="AA25" i="36"/>
  <c r="S25" i="36"/>
  <c r="AC28" i="37"/>
  <c r="W28" i="37"/>
  <c r="W38" i="37"/>
  <c r="AC38" i="37"/>
  <c r="AA24" i="35"/>
  <c r="S24" i="35"/>
  <c r="H107" i="43"/>
  <c r="H106" i="43"/>
  <c r="H105" i="43"/>
  <c r="H102" i="43"/>
  <c r="H103" i="43"/>
  <c r="H104" i="43"/>
  <c r="H109" i="43"/>
  <c r="C104" i="43"/>
  <c r="C106" i="43"/>
  <c r="C107" i="43"/>
  <c r="C103" i="43"/>
  <c r="C109" i="43"/>
  <c r="C105" i="43"/>
  <c r="C102" i="43"/>
  <c r="B115" i="43"/>
  <c r="D117" i="43"/>
  <c r="E117" i="43"/>
  <c r="F117" i="43"/>
  <c r="G117" i="43"/>
  <c r="H117"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D118" i="43"/>
  <c r="E118" i="43"/>
  <c r="F118" i="43"/>
  <c r="I118" i="43"/>
  <c r="J118" i="43"/>
  <c r="K118" i="43"/>
  <c r="L118" i="43"/>
  <c r="M118" i="43"/>
  <c r="D115" i="43"/>
  <c r="E115" i="43"/>
  <c r="F115" i="43"/>
  <c r="G115" i="43"/>
  <c r="H115" i="43"/>
  <c r="N102" i="43"/>
  <c r="N105" i="43"/>
  <c r="N104" i="43"/>
  <c r="N109" i="43"/>
  <c r="N103" i="43"/>
  <c r="N107" i="43"/>
  <c r="N106" i="43"/>
  <c r="K103" i="43"/>
  <c r="K102" i="43"/>
  <c r="K105" i="43"/>
  <c r="K109" i="43"/>
  <c r="K107" i="43"/>
  <c r="K106" i="43"/>
  <c r="K104" i="43"/>
  <c r="AA7" i="36"/>
  <c r="R36" i="36"/>
  <c r="S7" i="36"/>
  <c r="AA7" i="35"/>
  <c r="R38" i="35"/>
  <c r="S7" i="35"/>
  <c r="AC7" i="37"/>
  <c r="V42" i="37"/>
  <c r="I42" i="37"/>
  <c r="W7" i="37"/>
  <c r="C47" i="11"/>
  <c r="D45" i="11"/>
  <c r="AC7" i="21"/>
  <c r="W7" i="21"/>
  <c r="U7" i="21"/>
  <c r="AB7" i="21"/>
  <c r="AZ548" i="3"/>
  <c r="AZ5" i="3"/>
  <c r="K15" i="1"/>
  <c r="K16" i="1"/>
  <c r="E30" i="6"/>
  <c r="U7" i="34"/>
  <c r="AB7" i="34"/>
  <c r="T49" i="34"/>
  <c r="G49" i="34"/>
  <c r="S7" i="37"/>
  <c r="AA7" i="37"/>
  <c r="R42" i="37"/>
  <c r="W7" i="36"/>
  <c r="AC7" i="36"/>
  <c r="V36" i="36"/>
  <c r="I36" i="36"/>
  <c r="AC7" i="35"/>
  <c r="V38" i="35"/>
  <c r="I38" i="35"/>
  <c r="W7" i="35"/>
  <c r="C49" i="67"/>
  <c r="C18" i="67"/>
  <c r="C15" i="67"/>
  <c r="B40" i="1"/>
  <c r="O17" i="43"/>
  <c r="P17" i="43"/>
  <c r="N17" i="43"/>
  <c r="M17" i="43"/>
  <c r="Q73" i="15"/>
  <c r="Q60" i="15"/>
  <c r="C49" i="15"/>
  <c r="Q73" i="67"/>
  <c r="Q60" i="67"/>
  <c r="Q74" i="15"/>
  <c r="Q61" i="15"/>
  <c r="Q61" i="67"/>
  <c r="Q74" i="67"/>
  <c r="M11" i="15"/>
  <c r="J10" i="15"/>
  <c r="J5" i="15"/>
  <c r="M11" i="67"/>
  <c r="J10" i="67"/>
  <c r="F11" i="15"/>
  <c r="F11" i="67"/>
  <c r="J6" i="67"/>
  <c r="AE10" i="1"/>
  <c r="E385" i="3"/>
  <c r="C33" i="86"/>
  <c r="C33" i="87"/>
  <c r="C33" i="85"/>
  <c r="C33" i="21"/>
  <c r="AA7" i="21"/>
  <c r="U10" i="40"/>
  <c r="F10" i="39"/>
  <c r="F10" i="40"/>
  <c r="S10" i="40"/>
  <c r="E61" i="39"/>
  <c r="E56" i="40"/>
  <c r="E31" i="6"/>
  <c r="E147" i="3"/>
  <c r="E38" i="3"/>
  <c r="E218" i="3"/>
  <c r="E339" i="3"/>
  <c r="E93" i="3"/>
  <c r="E101" i="3"/>
  <c r="E50" i="3"/>
  <c r="E52" i="3"/>
  <c r="E194" i="3"/>
  <c r="E473" i="3"/>
  <c r="E357" i="3"/>
  <c r="U10" i="39"/>
  <c r="W10" i="40"/>
  <c r="K19" i="6"/>
  <c r="S6" i="1"/>
  <c r="E365" i="3"/>
  <c r="E62" i="3"/>
  <c r="E340" i="3"/>
  <c r="E112" i="3"/>
  <c r="E392" i="3"/>
  <c r="E219" i="3"/>
  <c r="E170" i="3"/>
  <c r="E455" i="3"/>
  <c r="E75" i="3"/>
  <c r="E580" i="3"/>
  <c r="E41" i="3"/>
  <c r="E551" i="3"/>
  <c r="E524" i="3"/>
  <c r="E265" i="3"/>
  <c r="E176" i="3"/>
  <c r="E20" i="3"/>
  <c r="E364" i="3"/>
  <c r="E289" i="3"/>
  <c r="E123" i="3"/>
  <c r="E36" i="3"/>
  <c r="AQ6" i="3"/>
  <c r="E325" i="3"/>
  <c r="E299" i="3"/>
  <c r="E234" i="3"/>
  <c r="E137" i="3"/>
  <c r="E100" i="3"/>
  <c r="E79" i="3"/>
  <c r="E15" i="3"/>
  <c r="E409" i="3"/>
  <c r="E32" i="3"/>
  <c r="E74" i="3"/>
  <c r="E362" i="3"/>
  <c r="E225" i="3"/>
  <c r="E470"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31" i="3"/>
  <c r="E14" i="3"/>
  <c r="E318" i="3"/>
  <c r="E243" i="3"/>
  <c r="E198" i="3"/>
  <c r="E26" i="3"/>
  <c r="E497" i="3"/>
  <c r="E42" i="3"/>
  <c r="L6" i="3"/>
  <c r="AL6" i="3"/>
  <c r="E372" i="3"/>
  <c r="E356" i="3"/>
  <c r="E394" i="3"/>
  <c r="E332" i="3"/>
  <c r="E281" i="3"/>
  <c r="E139" i="3"/>
  <c r="E115" i="3"/>
  <c r="E104" i="3"/>
  <c r="E420" i="3"/>
  <c r="E494" i="3"/>
  <c r="E360" i="3"/>
  <c r="E452" i="3"/>
  <c r="E13" i="3"/>
  <c r="E556" i="3"/>
  <c r="E408" i="3"/>
  <c r="E333" i="3"/>
  <c r="E391" i="3"/>
  <c r="E346" i="3"/>
  <c r="E276" i="3"/>
  <c r="E226" i="3"/>
  <c r="E242" i="3"/>
  <c r="E202" i="3"/>
  <c r="E119" i="3"/>
  <c r="E178" i="3"/>
  <c r="E108" i="3"/>
  <c r="E25" i="3"/>
  <c r="E40" i="3"/>
  <c r="E463" i="3"/>
  <c r="E401" i="3"/>
  <c r="E483" i="3"/>
  <c r="E419" i="3"/>
  <c r="E498" i="3"/>
  <c r="J6" i="3"/>
  <c r="AH6" i="3"/>
  <c r="E376" i="3"/>
  <c r="E451" i="3"/>
  <c r="E472" i="3"/>
  <c r="K6" i="3"/>
  <c r="E212" i="3"/>
  <c r="E490" i="3"/>
  <c r="E440" i="3"/>
  <c r="E406" i="3"/>
  <c r="E560" i="3"/>
  <c r="E141" i="3"/>
  <c r="E221" i="3"/>
  <c r="AA10" i="40"/>
  <c r="K23" i="6"/>
  <c r="K24" i="6"/>
  <c r="M24" i="6"/>
  <c r="I24" i="6"/>
  <c r="S24" i="6"/>
  <c r="K22" i="6"/>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81" i="3"/>
  <c r="E437" i="3"/>
  <c r="Q6" i="3"/>
  <c r="E330" i="3"/>
  <c r="E167" i="3"/>
  <c r="E149" i="3"/>
  <c r="E254" i="3"/>
  <c r="S6" i="3"/>
  <c r="C34" i="69"/>
  <c r="E320" i="3"/>
  <c r="E545" i="3"/>
  <c r="V6" i="3"/>
  <c r="E293" i="3"/>
  <c r="E553" i="3"/>
  <c r="E130" i="3"/>
  <c r="E294" i="3"/>
  <c r="E407" i="3"/>
  <c r="E523" i="3"/>
  <c r="E390" i="3"/>
  <c r="E352" i="3"/>
  <c r="N6" i="3"/>
  <c r="E267" i="3"/>
  <c r="E527" i="3"/>
  <c r="E474" i="3"/>
  <c r="E458" i="3"/>
  <c r="E529" i="3"/>
  <c r="E573" i="3"/>
  <c r="E532" i="3"/>
  <c r="E519" i="3"/>
  <c r="E313" i="3"/>
  <c r="E199" i="3"/>
  <c r="E253" i="3"/>
  <c r="E77" i="3"/>
  <c r="E180" i="3"/>
  <c r="E91" i="3"/>
  <c r="E134" i="3"/>
  <c r="E189" i="3"/>
  <c r="E215" i="3"/>
  <c r="E335" i="3"/>
  <c r="E387" i="3"/>
  <c r="AB6" i="3"/>
  <c r="M6" i="3"/>
  <c r="AR6" i="3"/>
  <c r="E533" i="3"/>
  <c r="E270" i="3"/>
  <c r="E205" i="3"/>
  <c r="E510" i="3"/>
  <c r="E329" i="3"/>
  <c r="E282" i="3"/>
  <c r="E63" i="3"/>
  <c r="E331" i="3"/>
  <c r="E125" i="3"/>
  <c r="E67" i="3"/>
  <c r="E425" i="3"/>
  <c r="E558" i="3"/>
  <c r="E366" i="3"/>
  <c r="E283" i="3"/>
  <c r="E233" i="3"/>
  <c r="E310" i="3"/>
  <c r="E103" i="3"/>
  <c r="E44" i="3"/>
  <c r="E166" i="3"/>
  <c r="E181" i="3"/>
  <c r="E513" i="3"/>
  <c r="E118" i="3"/>
  <c r="E381" i="3"/>
  <c r="E144" i="3"/>
  <c r="E23" i="3"/>
  <c r="E300" i="3"/>
  <c r="E142" i="3"/>
  <c r="E64" i="3"/>
  <c r="E441" i="3"/>
  <c r="E384" i="3"/>
  <c r="E210" i="3"/>
  <c r="E88" i="3"/>
  <c r="AG6" i="3"/>
  <c r="AI6" i="3"/>
  <c r="S4" i="43"/>
  <c r="S6" i="43"/>
  <c r="C23" i="43"/>
  <c r="C21" i="43"/>
  <c r="S7" i="43"/>
  <c r="S3" i="43"/>
  <c r="S5" i="43"/>
  <c r="S2" i="43"/>
  <c r="E444" i="3"/>
  <c r="P6" i="3"/>
  <c r="E173" i="3"/>
  <c r="E263" i="3"/>
  <c r="E555" i="3"/>
  <c r="E422" i="3"/>
  <c r="E512" i="3"/>
  <c r="E507" i="3"/>
  <c r="E469" i="3"/>
  <c r="E486" i="3"/>
  <c r="E456" i="3"/>
  <c r="E427" i="3"/>
  <c r="E405" i="3"/>
  <c r="E543" i="3"/>
  <c r="T6" i="3"/>
  <c r="E564" i="3"/>
  <c r="E534" i="3"/>
  <c r="E493" i="3"/>
  <c r="E525" i="3"/>
  <c r="E393" i="3"/>
  <c r="E369" i="3"/>
  <c r="E107" i="3"/>
  <c r="E164" i="3"/>
  <c r="E145" i="3"/>
  <c r="E204" i="3"/>
  <c r="E271" i="3"/>
  <c r="E252" i="3"/>
  <c r="E207" i="3"/>
  <c r="E117" i="3"/>
  <c r="E161" i="3"/>
  <c r="E290" i="3"/>
  <c r="E135" i="3"/>
  <c r="E61" i="3"/>
  <c r="E185" i="3"/>
  <c r="E169" i="3"/>
  <c r="E216" i="3"/>
  <c r="E298" i="3"/>
  <c r="E231" i="3"/>
  <c r="E321" i="3"/>
  <c r="E380" i="3"/>
  <c r="E338" i="3"/>
  <c r="E439" i="3"/>
  <c r="E418" i="3"/>
  <c r="E538" i="3"/>
  <c r="E506" i="3"/>
  <c r="E561" i="3"/>
  <c r="E570" i="3"/>
  <c r="E559" i="3"/>
  <c r="E514" i="3"/>
  <c r="E358" i="3"/>
  <c r="E311" i="3"/>
  <c r="E128" i="3"/>
  <c r="E165" i="3"/>
  <c r="E227" i="3"/>
  <c r="E461" i="3"/>
  <c r="E567" i="3"/>
  <c r="E539" i="3"/>
  <c r="AJ6" i="3"/>
  <c r="E322" i="3"/>
  <c r="E268" i="3"/>
  <c r="E526" i="3"/>
  <c r="E217" i="3"/>
  <c r="E21" i="3"/>
  <c r="E309" i="3"/>
  <c r="E264" i="3"/>
  <c r="E81" i="3"/>
  <c r="E68" i="3"/>
  <c r="E355" i="3"/>
  <c r="E184" i="3"/>
  <c r="E33" i="3"/>
  <c r="E84" i="3"/>
  <c r="E492" i="3"/>
  <c r="E371" i="3"/>
  <c r="E249" i="3"/>
  <c r="E200" i="3"/>
  <c r="E160" i="3"/>
  <c r="E46" i="3"/>
  <c r="E467" i="3"/>
  <c r="E484" i="3"/>
  <c r="E29" i="3"/>
  <c r="AM6" i="3"/>
  <c r="E317" i="3"/>
  <c r="E291" i="3"/>
  <c r="E272" i="3"/>
  <c r="E121" i="3"/>
  <c r="E404" i="3"/>
  <c r="E581" i="3"/>
  <c r="E443" i="3"/>
  <c r="E448" i="3"/>
  <c r="E576" i="3"/>
  <c r="E223" i="3"/>
  <c r="E191" i="3"/>
  <c r="E423" i="3"/>
  <c r="F34" i="6"/>
  <c r="F35" i="6"/>
  <c r="F36" i="6"/>
  <c r="E503" i="3"/>
  <c r="E261" i="3"/>
  <c r="E229" i="3"/>
  <c r="E518" i="3"/>
  <c r="E578" i="3"/>
  <c r="E382" i="3"/>
  <c r="E245" i="3"/>
  <c r="E188" i="3"/>
  <c r="E140" i="3"/>
  <c r="E197" i="3"/>
  <c r="E327" i="3"/>
  <c r="Z6" i="3"/>
  <c r="AO6" i="3"/>
  <c r="E485" i="3"/>
  <c r="E400" i="3"/>
  <c r="E345" i="3"/>
  <c r="E557" i="3"/>
  <c r="E531" i="3"/>
  <c r="E489" i="3"/>
  <c r="E28" i="3"/>
  <c r="E70" i="3"/>
  <c r="E182" i="3"/>
  <c r="E211" i="3"/>
  <c r="E295" i="3"/>
  <c r="E273" i="3"/>
  <c r="E316" i="3"/>
  <c r="E377" i="3"/>
  <c r="E334" i="3"/>
  <c r="E572" i="3"/>
  <c r="E30" i="3"/>
  <c r="E109" i="3"/>
  <c r="E48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 i="3"/>
  <c r="E175" i="3"/>
  <c r="E319" i="3"/>
  <c r="E530" i="3"/>
  <c r="E501" i="3"/>
  <c r="E343" i="3"/>
  <c r="E153" i="3"/>
  <c r="E305" i="3"/>
  <c r="E426" i="3"/>
  <c r="E508" i="3"/>
  <c r="E328" i="3"/>
  <c r="E347" i="3"/>
  <c r="E583" i="3"/>
  <c r="AA6" i="3"/>
  <c r="X6" i="3"/>
  <c r="E399" i="3"/>
  <c r="E336" i="3"/>
  <c r="E280" i="3"/>
  <c r="E246" i="3"/>
  <c r="E124" i="3"/>
  <c r="E540" i="3"/>
  <c r="E59" i="3"/>
  <c r="E110" i="3"/>
  <c r="E76" i="3"/>
  <c r="E58" i="3"/>
  <c r="E544" i="3"/>
  <c r="E504" i="3"/>
  <c r="E389" i="3"/>
  <c r="E375" i="3"/>
  <c r="E349" i="3"/>
  <c r="E378" i="3"/>
  <c r="E363" i="3"/>
  <c r="E348" i="3"/>
  <c r="E292" i="3"/>
  <c r="E259" i="3"/>
  <c r="E241" i="3"/>
  <c r="E297" i="3"/>
  <c r="E258" i="3"/>
  <c r="E240" i="3"/>
  <c r="E186" i="3"/>
  <c r="E126" i="3"/>
  <c r="E162" i="3"/>
  <c r="E92" i="3"/>
  <c r="E27" i="3"/>
  <c r="E71" i="3"/>
  <c r="E447" i="3"/>
  <c r="E546" i="3"/>
  <c r="E476" i="3"/>
  <c r="E403" i="3"/>
  <c r="AS6" i="3"/>
  <c r="E547" i="3"/>
  <c r="E505" i="3"/>
  <c r="E367" i="3"/>
  <c r="E477" i="3"/>
  <c r="E432" i="3"/>
  <c r="E414" i="3"/>
  <c r="E548" i="3"/>
  <c r="E478" i="3"/>
  <c r="E411" i="3"/>
  <c r="E515" i="3"/>
  <c r="U6" i="3"/>
  <c r="E585" i="3"/>
  <c r="E379" i="3"/>
  <c r="E105" i="3"/>
  <c r="E116" i="3"/>
  <c r="E238" i="3"/>
  <c r="E85" i="3"/>
  <c r="E157" i="3"/>
  <c r="E228" i="3"/>
  <c r="E99" i="3"/>
  <c r="E159" i="3"/>
  <c r="E301" i="3"/>
  <c r="E303" i="3"/>
  <c r="E350" i="3"/>
  <c r="E402" i="3"/>
  <c r="E586" i="3"/>
  <c r="AN6" i="3"/>
  <c r="E495" i="3"/>
  <c r="E151" i="3"/>
  <c r="E396" i="3"/>
  <c r="E69" i="3"/>
  <c r="E528" i="3"/>
  <c r="E361" i="3"/>
  <c r="E388" i="3"/>
  <c r="E410" i="3"/>
  <c r="E247" i="3"/>
  <c r="E201" i="3"/>
  <c r="E353"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183" i="3"/>
  <c r="O6" i="1"/>
  <c r="M16" i="1"/>
  <c r="E314" i="3"/>
  <c r="E397" i="3"/>
  <c r="E97" i="3"/>
  <c r="E143" i="3"/>
  <c r="E285" i="3"/>
  <c r="E337" i="3"/>
  <c r="E359" i="3"/>
  <c r="E574" i="3"/>
  <c r="O6" i="3"/>
  <c r="E302" i="3"/>
  <c r="E17" i="3"/>
  <c r="E213" i="3"/>
  <c r="E565" i="3"/>
  <c r="E304" i="3"/>
  <c r="E237" i="3"/>
  <c r="E431" i="3"/>
  <c r="E569" i="3"/>
  <c r="E579" i="3"/>
  <c r="E516" i="3"/>
  <c r="E509" i="3"/>
  <c r="E239" i="3"/>
  <c r="E535" i="3"/>
  <c r="E550" i="3"/>
  <c r="E445" i="3"/>
  <c r="E260" i="3"/>
  <c r="E172" i="3"/>
  <c r="E395" i="3"/>
  <c r="E563" i="3"/>
  <c r="E415" i="3"/>
  <c r="E278" i="3"/>
  <c r="E114" i="3"/>
  <c r="K26" i="6"/>
  <c r="M26" i="6"/>
  <c r="I26" i="6"/>
  <c r="S26" i="6"/>
  <c r="K20" i="6"/>
  <c r="S7" i="1"/>
  <c r="K25" i="6"/>
  <c r="M25" i="6"/>
  <c r="I25" i="6"/>
  <c r="S25" i="6"/>
  <c r="H63" i="40"/>
  <c r="G65" i="40"/>
  <c r="W7" i="33"/>
  <c r="AC7" i="33"/>
  <c r="V48" i="33"/>
  <c r="I48" i="33"/>
  <c r="M21" i="6"/>
  <c r="I21" i="6"/>
  <c r="S21" i="6"/>
  <c r="S8" i="1"/>
  <c r="AQ6" i="1"/>
  <c r="AR6" i="1"/>
  <c r="T6" i="1"/>
  <c r="E68" i="39"/>
  <c r="D70" i="39"/>
  <c r="E48" i="33"/>
  <c r="R49" i="33"/>
  <c r="C47" i="69"/>
  <c r="D45" i="69"/>
  <c r="C29" i="69"/>
  <c r="D27" i="69"/>
  <c r="W10" i="39"/>
  <c r="AC10" i="39"/>
  <c r="E66" i="39"/>
  <c r="AY6" i="3"/>
  <c r="E3" i="6"/>
  <c r="I40" i="36"/>
  <c r="J40" i="36"/>
  <c r="E42" i="37"/>
  <c r="R43" i="37"/>
  <c r="C115" i="43"/>
  <c r="D113" i="43"/>
  <c r="F50" i="11"/>
  <c r="F50" i="68"/>
  <c r="F50" i="69"/>
  <c r="G46" i="37"/>
  <c r="H46" i="37"/>
  <c r="G47" i="37"/>
  <c r="H47" i="37"/>
  <c r="I42" i="35"/>
  <c r="J42" i="35"/>
  <c r="G53" i="34"/>
  <c r="H53" i="34"/>
  <c r="I47" i="37"/>
  <c r="J47" i="37"/>
  <c r="I46" i="37"/>
  <c r="J46" i="37"/>
  <c r="E38" i="35"/>
  <c r="R39" i="35"/>
  <c r="E36" i="36"/>
  <c r="R37" i="36"/>
  <c r="D5" i="71"/>
  <c r="M20" i="43"/>
  <c r="C19" i="43"/>
  <c r="AC7" i="34"/>
  <c r="V49" i="34"/>
  <c r="I49" i="34"/>
  <c r="W7" i="34"/>
  <c r="R50" i="34"/>
  <c r="E49" i="34"/>
  <c r="G40" i="36"/>
  <c r="H40" i="36"/>
  <c r="G41" i="36"/>
  <c r="H41" i="36"/>
  <c r="G42" i="35"/>
  <c r="H42" i="35"/>
  <c r="G43" i="35"/>
  <c r="H43" i="35"/>
  <c r="M19" i="6"/>
  <c r="Q50" i="71"/>
  <c r="Q49" i="71"/>
  <c r="C19" i="67"/>
  <c r="C20" i="67"/>
  <c r="J5" i="67"/>
  <c r="J24" i="67"/>
  <c r="J24" i="15"/>
  <c r="J26" i="15"/>
  <c r="J18" i="15"/>
  <c r="C10" i="67"/>
  <c r="C5" i="67"/>
  <c r="C53" i="67"/>
  <c r="C48" i="67"/>
  <c r="F25" i="12"/>
  <c r="F24" i="67"/>
  <c r="C24" i="67"/>
  <c r="F22" i="68"/>
  <c r="F24" i="15"/>
  <c r="C24" i="15"/>
  <c r="F22" i="69"/>
  <c r="F22" i="11"/>
  <c r="C10" i="15"/>
  <c r="C5" i="15"/>
  <c r="C53" i="15"/>
  <c r="C48" i="15"/>
  <c r="F41" i="15"/>
  <c r="F69" i="15"/>
  <c r="J29" i="15"/>
  <c r="J33" i="85"/>
  <c r="F33" i="85"/>
  <c r="H33" i="85"/>
  <c r="H33" i="86"/>
  <c r="F33" i="86"/>
  <c r="J33" i="86"/>
  <c r="K27" i="6"/>
  <c r="F33" i="21"/>
  <c r="H33" i="21"/>
  <c r="J33" i="21"/>
  <c r="H33" i="87"/>
  <c r="F33" i="87"/>
  <c r="J33" i="87"/>
  <c r="S10" i="39"/>
  <c r="AA10" i="39"/>
  <c r="M23" i="6"/>
  <c r="I23" i="6"/>
  <c r="S23" i="6"/>
  <c r="S10" i="1"/>
  <c r="M20" i="6"/>
  <c r="I20" i="6"/>
  <c r="S20" i="6"/>
  <c r="AC6" i="3"/>
  <c r="M22" i="6"/>
  <c r="I22" i="6"/>
  <c r="S22" i="6"/>
  <c r="S9" i="1"/>
  <c r="S16" i="1"/>
  <c r="C38" i="69"/>
  <c r="C35" i="69"/>
  <c r="H6" i="3"/>
  <c r="P6" i="1"/>
  <c r="O16" i="1"/>
  <c r="L16" i="1"/>
  <c r="N16" i="1"/>
  <c r="G53" i="33"/>
  <c r="H53" i="33"/>
  <c r="I52" i="33"/>
  <c r="J52" i="33"/>
  <c r="H65" i="40"/>
  <c r="I63" i="40"/>
  <c r="AQ8" i="1"/>
  <c r="T8" i="1"/>
  <c r="AR8" i="1"/>
  <c r="AR7" i="1"/>
  <c r="AQ7" i="1"/>
  <c r="T7" i="1"/>
  <c r="C49" i="33"/>
  <c r="C48" i="33"/>
  <c r="E52" i="33"/>
  <c r="F52" i="33"/>
  <c r="E53" i="33"/>
  <c r="F53" i="33"/>
  <c r="I53" i="33"/>
  <c r="J53" i="33"/>
  <c r="F68" i="39"/>
  <c r="E70" i="39"/>
  <c r="I19" i="6"/>
  <c r="M27" i="6"/>
  <c r="C49" i="34"/>
  <c r="C50" i="34"/>
  <c r="I54" i="34"/>
  <c r="J54" i="34"/>
  <c r="I53" i="34"/>
  <c r="J53" i="34"/>
  <c r="E41" i="36"/>
  <c r="F41" i="36"/>
  <c r="E40" i="36"/>
  <c r="F40" i="36"/>
  <c r="E43" i="35"/>
  <c r="F43" i="35"/>
  <c r="E42" i="35"/>
  <c r="F42" i="35"/>
  <c r="G54" i="34"/>
  <c r="H54" i="34"/>
  <c r="E47" i="37"/>
  <c r="F47" i="37"/>
  <c r="E46" i="37"/>
  <c r="F46" i="37"/>
  <c r="I41" i="36"/>
  <c r="J41" i="36"/>
  <c r="D3" i="21"/>
  <c r="E6" i="6"/>
  <c r="C17" i="4"/>
  <c r="B4" i="52"/>
  <c r="B43" i="72"/>
  <c r="L18" i="9"/>
  <c r="D3" i="37"/>
  <c r="D3" i="34"/>
  <c r="D3" i="33"/>
  <c r="D19" i="11"/>
  <c r="C19" i="11"/>
  <c r="C24" i="11"/>
  <c r="D37" i="11"/>
  <c r="D14" i="12"/>
  <c r="M18" i="9"/>
  <c r="B118" i="9"/>
  <c r="B14" i="74"/>
  <c r="B1" i="74"/>
  <c r="E54" i="34"/>
  <c r="F54" i="34"/>
  <c r="E53" i="34"/>
  <c r="F53" i="34"/>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C39" i="43"/>
  <c r="C37" i="43"/>
  <c r="C36" i="43"/>
  <c r="C34" i="43"/>
  <c r="C38" i="43"/>
  <c r="C29" i="43"/>
  <c r="C33" i="43"/>
  <c r="C35" i="43"/>
  <c r="C37" i="36"/>
  <c r="B2" i="36"/>
  <c r="B3" i="36"/>
  <c r="C36" i="36"/>
  <c r="C39" i="35"/>
  <c r="B2" i="35"/>
  <c r="B3" i="35"/>
  <c r="C38" i="35"/>
  <c r="I43" i="35"/>
  <c r="J43" i="35"/>
  <c r="C43" i="37"/>
  <c r="C42"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73" i="3"/>
  <c r="AY365" i="3"/>
  <c r="AY368" i="3"/>
  <c r="BS6" i="3"/>
  <c r="AY507" i="3"/>
  <c r="BI6" i="3"/>
  <c r="BB6" i="3"/>
  <c r="AY93" i="3"/>
  <c r="AY88" i="3"/>
  <c r="AY57" i="3"/>
  <c r="AY72" i="3"/>
  <c r="AY40" i="3"/>
  <c r="AY29" i="3"/>
  <c r="AY186" i="3"/>
  <c r="AY181" i="3"/>
  <c r="AY150" i="3"/>
  <c r="AY161" i="3"/>
  <c r="AY130" i="3"/>
  <c r="AY121" i="3"/>
  <c r="AY279" i="3"/>
  <c r="AY275" i="3"/>
  <c r="AY243" i="3"/>
  <c r="AY258" i="3"/>
  <c r="AY215" i="3"/>
  <c r="AY393" i="3"/>
  <c r="AY370" i="3"/>
  <c r="AY341" i="3"/>
  <c r="AY309" i="3"/>
  <c r="AY340" i="3"/>
  <c r="AY483" i="3"/>
  <c r="AY480" i="3"/>
  <c r="AY449" i="3"/>
  <c r="AY454" i="3"/>
  <c r="AY422" i="3"/>
  <c r="AY435" i="3"/>
  <c r="AY403" i="3"/>
  <c r="AY525" i="3"/>
  <c r="AY516" i="3"/>
  <c r="BN6" i="3"/>
  <c r="AY536" i="3"/>
  <c r="AY518" i="3"/>
  <c r="AY552" i="3"/>
  <c r="AY543" i="3"/>
  <c r="AY532" i="3"/>
  <c r="AY496" i="3"/>
  <c r="AY523" i="3"/>
  <c r="AY112" i="3"/>
  <c r="AY49" i="3"/>
  <c r="AY32" i="3"/>
  <c r="AY21" i="3"/>
  <c r="AY174" i="3"/>
  <c r="AY153" i="3"/>
  <c r="AY113" i="3"/>
  <c r="AY267" i="3"/>
  <c r="AY235" i="3"/>
  <c r="AY218" i="3"/>
  <c r="AY385" i="3"/>
  <c r="AY352" i="3"/>
  <c r="AY321" i="3"/>
  <c r="AY305" i="3"/>
  <c r="AY336" i="3"/>
  <c r="AY479" i="3"/>
  <c r="AY492" i="3"/>
  <c r="AY445" i="3"/>
  <c r="AY450" i="3"/>
  <c r="AY418" i="3"/>
  <c r="AY431" i="3"/>
  <c r="AY399" i="3"/>
  <c r="AY17" i="3"/>
  <c r="AY564" i="3"/>
  <c r="AY522" i="3"/>
  <c r="AY515" i="3"/>
  <c r="AY551" i="3"/>
  <c r="AY545" i="3"/>
  <c r="BP6" i="3"/>
  <c r="AY493" i="3"/>
  <c r="AY110" i="3"/>
  <c r="AY62" i="3"/>
  <c r="AY19" i="3"/>
  <c r="AY203" i="3"/>
  <c r="AY140" i="3"/>
  <c r="AY120" i="3"/>
  <c r="AY296" i="3"/>
  <c r="AY233" i="3"/>
  <c r="AY216" i="3"/>
  <c r="AY383" i="3"/>
  <c r="AY347" i="3"/>
  <c r="AY330" i="3"/>
  <c r="AY482" i="3"/>
  <c r="AY440" i="3"/>
  <c r="AY408" i="3"/>
  <c r="AY421" i="3"/>
  <c r="AY547" i="3"/>
  <c r="AY568" i="3"/>
  <c r="AY107" i="3"/>
  <c r="AY71" i="3"/>
  <c r="AY39" i="3"/>
  <c r="AY22" i="3"/>
  <c r="AY195" i="3"/>
  <c r="AY164" i="3"/>
  <c r="AY143" i="3"/>
  <c r="AY293" i="3"/>
  <c r="AY257" i="3"/>
  <c r="AY272" i="3"/>
  <c r="AY208" i="3"/>
  <c r="AY375" i="3"/>
  <c r="AY339" i="3"/>
  <c r="AY307" i="3"/>
  <c r="AY477" i="3"/>
  <c r="AY443" i="3"/>
  <c r="AY400" i="3"/>
  <c r="AY521" i="3"/>
  <c r="AY566" i="3"/>
  <c r="AY583" i="3"/>
  <c r="AY567" i="3"/>
  <c r="AY389" i="3"/>
  <c r="AY226" i="3"/>
  <c r="AY356" i="3"/>
  <c r="AY325" i="3"/>
  <c r="AY324" i="3"/>
  <c r="AY308" i="3"/>
  <c r="AY467" i="3"/>
  <c r="AY464" i="3"/>
  <c r="AY438" i="3"/>
  <c r="AY406" i="3"/>
  <c r="AY419" i="3"/>
  <c r="AY503" i="3"/>
  <c r="AY580" i="3"/>
  <c r="AY572" i="3"/>
  <c r="AY527" i="3"/>
  <c r="AY520" i="3"/>
  <c r="AY559" i="3"/>
  <c r="AY508" i="3"/>
  <c r="AY556" i="3"/>
  <c r="AY577" i="3"/>
  <c r="AY81" i="3"/>
  <c r="AY64" i="3"/>
  <c r="AY205" i="3"/>
  <c r="AY142" i="3"/>
  <c r="AY122" i="3"/>
  <c r="AY298" i="3"/>
  <c r="AY250" i="3"/>
  <c r="AY396" i="3"/>
  <c r="AY361" i="3"/>
  <c r="AY337" i="3"/>
  <c r="AY320" i="3"/>
  <c r="AY304" i="3"/>
  <c r="AY476" i="3"/>
  <c r="AY461" i="3"/>
  <c r="AY434" i="3"/>
  <c r="AY402" i="3"/>
  <c r="AY415" i="3"/>
  <c r="AY505" i="3"/>
  <c r="AY538" i="3"/>
  <c r="AY575" i="3"/>
  <c r="AY537" i="3"/>
  <c r="AY530" i="3"/>
  <c r="AY548" i="3"/>
  <c r="AY563" i="3"/>
  <c r="AY79" i="3"/>
  <c r="AY47" i="3"/>
  <c r="AY30" i="3"/>
  <c r="AY172" i="3"/>
  <c r="AY151" i="3"/>
  <c r="AY301" i="3"/>
  <c r="AY265" i="3"/>
  <c r="AY248" i="3"/>
  <c r="AY394" i="3"/>
  <c r="AY359" i="3"/>
  <c r="AY315" i="3"/>
  <c r="AY485" i="3"/>
  <c r="AY451" i="3"/>
  <c r="AY500" i="3"/>
  <c r="AY13" i="3"/>
  <c r="AY528" i="3"/>
  <c r="AY576" i="3"/>
  <c r="AY102" i="3"/>
  <c r="AY54" i="3"/>
  <c r="AY200" i="3"/>
  <c r="AY175" i="3"/>
  <c r="AY136" i="3"/>
  <c r="AY288" i="3"/>
  <c r="AY240" i="3"/>
  <c r="AY386" i="3"/>
  <c r="AY351" i="3"/>
  <c r="AY322" i="3"/>
  <c r="AY474" i="3"/>
  <c r="AY432" i="3"/>
  <c r="AY413" i="3"/>
  <c r="AY15" i="3"/>
  <c r="BT6" i="3"/>
  <c r="J26" i="67"/>
  <c r="J29" i="67"/>
  <c r="J18" i="67"/>
  <c r="C60" i="15"/>
  <c r="C66" i="15"/>
  <c r="C32" i="15"/>
  <c r="C38" i="15"/>
  <c r="C26" i="69"/>
  <c r="D22" i="69"/>
  <c r="C44" i="69"/>
  <c r="D41" i="69"/>
  <c r="C26" i="68"/>
  <c r="D22" i="68"/>
  <c r="C44" i="68"/>
  <c r="D41" i="68"/>
  <c r="C26" i="12"/>
  <c r="D25" i="12"/>
  <c r="C32" i="67"/>
  <c r="C38" i="67"/>
  <c r="C26" i="67"/>
  <c r="C26" i="11"/>
  <c r="D22" i="11"/>
  <c r="C44" i="11"/>
  <c r="D41" i="11"/>
  <c r="C23" i="11"/>
  <c r="C66" i="67"/>
  <c r="C60" i="67"/>
  <c r="C23" i="67"/>
  <c r="C17" i="15"/>
  <c r="E6" i="3"/>
  <c r="AC33" i="87"/>
  <c r="W33" i="87"/>
  <c r="AB33" i="87"/>
  <c r="U33" i="87"/>
  <c r="AB33" i="21"/>
  <c r="U33" i="21"/>
  <c r="AA33" i="86"/>
  <c r="S33" i="86"/>
  <c r="AB33" i="85"/>
  <c r="U33" i="85"/>
  <c r="W33" i="85"/>
  <c r="AC33" i="85"/>
  <c r="E10" i="70"/>
  <c r="E2" i="70"/>
  <c r="AA33" i="87"/>
  <c r="S33" i="87"/>
  <c r="W33" i="21"/>
  <c r="AC33" i="21"/>
  <c r="S33" i="21"/>
  <c r="AA33" i="21"/>
  <c r="AC33" i="86"/>
  <c r="W33" i="86"/>
  <c r="AB33" i="86"/>
  <c r="U33" i="86"/>
  <c r="AA33" i="85"/>
  <c r="S33" i="85"/>
  <c r="AQ10" i="1"/>
  <c r="T10" i="1"/>
  <c r="AR10" i="1"/>
  <c r="AR9" i="1"/>
  <c r="T9" i="1"/>
  <c r="AQ9" i="1"/>
  <c r="F34" i="68"/>
  <c r="F34" i="11"/>
  <c r="F11" i="12"/>
  <c r="C13" i="12"/>
  <c r="P16" i="1"/>
  <c r="C11" i="12"/>
  <c r="B2" i="33"/>
  <c r="B3" i="33"/>
  <c r="J63" i="40"/>
  <c r="I65" i="40"/>
  <c r="F70" i="39"/>
  <c r="G68" i="39"/>
  <c r="B2" i="37"/>
  <c r="B3" i="37"/>
  <c r="H20" i="6"/>
  <c r="D25" i="6"/>
  <c r="D15" i="6"/>
  <c r="D22" i="6"/>
  <c r="D21" i="6"/>
  <c r="D24" i="6"/>
  <c r="D20" i="6"/>
  <c r="R20" i="6"/>
  <c r="R7" i="1"/>
  <c r="D6" i="6"/>
  <c r="D9" i="6"/>
  <c r="D10" i="6"/>
  <c r="L19" i="9"/>
  <c r="D29" i="6"/>
  <c r="H25" i="6"/>
  <c r="H22" i="6"/>
  <c r="H21" i="6"/>
  <c r="H24" i="6"/>
  <c r="H19" i="6"/>
  <c r="M19" i="9"/>
  <c r="C118" i="9"/>
  <c r="C14" i="74"/>
  <c r="B2" i="74"/>
  <c r="D19" i="6"/>
  <c r="C18" i="4"/>
  <c r="D8" i="6"/>
  <c r="D12" i="6"/>
  <c r="D13" i="6"/>
  <c r="D28" i="6"/>
  <c r="D30" i="6"/>
  <c r="H23" i="6"/>
  <c r="H26" i="6"/>
  <c r="D26" i="6"/>
  <c r="D23" i="6"/>
  <c r="D14" i="6"/>
  <c r="D5" i="6"/>
  <c r="D11" i="6"/>
  <c r="E61" i="40"/>
  <c r="G35" i="43"/>
  <c r="I35" i="43"/>
  <c r="E35" i="43"/>
  <c r="C30" i="43"/>
  <c r="E30" i="43"/>
  <c r="E29" i="43"/>
  <c r="G34" i="43"/>
  <c r="I34" i="43"/>
  <c r="E34" i="43"/>
  <c r="G37" i="43"/>
  <c r="I37" i="43"/>
  <c r="E37" i="43"/>
  <c r="D17" i="12"/>
  <c r="C17" i="12"/>
  <c r="C20" i="11"/>
  <c r="C25" i="11"/>
  <c r="C22" i="11"/>
  <c r="B2" i="34"/>
  <c r="B3" i="34"/>
  <c r="G33" i="43"/>
  <c r="I33" i="43"/>
  <c r="E33" i="43"/>
  <c r="G38" i="43"/>
  <c r="I38" i="43"/>
  <c r="E38" i="43"/>
  <c r="G36" i="43"/>
  <c r="I36" i="43"/>
  <c r="E36" i="43"/>
  <c r="G39" i="43"/>
  <c r="I39" i="43"/>
  <c r="E39" i="43"/>
  <c r="C8" i="74"/>
  <c r="D10" i="11"/>
  <c r="C10" i="11"/>
  <c r="D20" i="12"/>
  <c r="C20" i="12"/>
  <c r="C18" i="12"/>
  <c r="D10" i="68"/>
  <c r="D10" i="69"/>
  <c r="S19" i="6"/>
  <c r="S27" i="6"/>
  <c r="I27" i="6"/>
  <c r="C29" i="67"/>
  <c r="C13" i="67"/>
  <c r="C33" i="15"/>
  <c r="J59" i="15"/>
  <c r="J60" i="15"/>
  <c r="C14" i="15"/>
  <c r="C18" i="15"/>
  <c r="C15" i="15"/>
  <c r="C19" i="15"/>
  <c r="T16" i="1"/>
  <c r="C14" i="12"/>
  <c r="C12" i="12"/>
  <c r="C15" i="12"/>
  <c r="C36" i="68"/>
  <c r="C34" i="68"/>
  <c r="C36" i="11"/>
  <c r="C34" i="11"/>
  <c r="C37" i="11"/>
  <c r="K63" i="40"/>
  <c r="J65" i="40"/>
  <c r="H27" i="6"/>
  <c r="G70" i="39"/>
  <c r="H68" i="39"/>
  <c r="D16" i="6"/>
  <c r="C28" i="11"/>
  <c r="C27" i="11"/>
  <c r="C31" i="11"/>
  <c r="R23" i="6"/>
  <c r="R10" i="1"/>
  <c r="C10" i="68"/>
  <c r="D19" i="68"/>
  <c r="C27" i="43"/>
  <c r="R26" i="6"/>
  <c r="R19" i="6"/>
  <c r="D27" i="6"/>
  <c r="D31" i="6"/>
  <c r="R24" i="6"/>
  <c r="R22" i="6"/>
  <c r="R9" i="1"/>
  <c r="R25" i="6"/>
  <c r="D19" i="69"/>
  <c r="C10" i="69"/>
  <c r="C8" i="69"/>
  <c r="C5" i="69"/>
  <c r="C26" i="43"/>
  <c r="C4" i="52"/>
  <c r="B45" i="72"/>
  <c r="A7" i="51"/>
  <c r="B7" i="72"/>
  <c r="A10" i="51"/>
  <c r="B9" i="72"/>
  <c r="D8" i="74"/>
  <c r="R21" i="6"/>
  <c r="R8" i="1"/>
  <c r="J59" i="67"/>
  <c r="J60" i="67"/>
  <c r="L46" i="67"/>
  <c r="C33" i="67"/>
  <c r="J14" i="67"/>
  <c r="J13" i="67"/>
  <c r="J23" i="67"/>
  <c r="J19" i="67"/>
  <c r="Q49" i="67"/>
  <c r="C57" i="67"/>
  <c r="C61" i="67"/>
  <c r="C36" i="67"/>
  <c r="Q48" i="15"/>
  <c r="C75" i="67"/>
  <c r="Q70" i="67"/>
  <c r="C37" i="67"/>
  <c r="C56" i="67"/>
  <c r="C65" i="67"/>
  <c r="E6" i="76"/>
  <c r="C20" i="15"/>
  <c r="C26" i="15"/>
  <c r="C16" i="12"/>
  <c r="C21" i="12"/>
  <c r="C22" i="12"/>
  <c r="Q48" i="67"/>
  <c r="C35" i="11"/>
  <c r="C38" i="11"/>
  <c r="C35" i="68"/>
  <c r="C38" i="68"/>
  <c r="K65" i="40"/>
  <c r="L63" i="40"/>
  <c r="I68" i="39"/>
  <c r="H70" i="39"/>
  <c r="R27" i="6"/>
  <c r="R6" i="1"/>
  <c r="C64" i="67"/>
  <c r="E2" i="76"/>
  <c r="B2" i="43"/>
  <c r="C19" i="69"/>
  <c r="C24" i="69"/>
  <c r="D37" i="69"/>
  <c r="C37" i="69"/>
  <c r="C33" i="69"/>
  <c r="I6" i="6"/>
  <c r="I5" i="6"/>
  <c r="C19" i="68"/>
  <c r="D37" i="68"/>
  <c r="C37" i="68"/>
  <c r="C23" i="69"/>
  <c r="J22" i="67"/>
  <c r="M21" i="67"/>
  <c r="M21" i="15"/>
  <c r="B6" i="76"/>
  <c r="F35" i="15"/>
  <c r="F35" i="67"/>
  <c r="C23" i="15"/>
  <c r="C29" i="15"/>
  <c r="C13" i="15"/>
  <c r="Q49" i="15"/>
  <c r="C33" i="68"/>
  <c r="C39" i="68"/>
  <c r="C33" i="11"/>
  <c r="M63" i="40"/>
  <c r="L65" i="40"/>
  <c r="I70" i="39"/>
  <c r="J68" i="39"/>
  <c r="J20" i="67"/>
  <c r="J17" i="67"/>
  <c r="J16" i="67"/>
  <c r="J25" i="67"/>
  <c r="J20" i="15"/>
  <c r="C34" i="67"/>
  <c r="C31" i="67"/>
  <c r="C30" i="67"/>
  <c r="C39" i="67"/>
  <c r="C40" i="67"/>
  <c r="F63" i="67"/>
  <c r="C62" i="67"/>
  <c r="C59" i="67"/>
  <c r="C58" i="67"/>
  <c r="C67" i="67"/>
  <c r="C68" i="67"/>
  <c r="C71" i="67"/>
  <c r="F63" i="15"/>
  <c r="C62" i="15"/>
  <c r="C34" i="15"/>
  <c r="C31" i="15"/>
  <c r="R16" i="1"/>
  <c r="C20" i="69"/>
  <c r="C25" i="69"/>
  <c r="C22" i="69"/>
  <c r="B2" i="76"/>
  <c r="B3" i="76"/>
  <c r="C39" i="69"/>
  <c r="C42" i="69"/>
  <c r="B3" i="43"/>
  <c r="C24" i="68"/>
  <c r="L51" i="67"/>
  <c r="C36" i="15"/>
  <c r="J19" i="15"/>
  <c r="J17" i="15"/>
  <c r="C57" i="15"/>
  <c r="C61" i="15"/>
  <c r="C59" i="15"/>
  <c r="J14" i="15"/>
  <c r="J13" i="15"/>
  <c r="J23" i="15"/>
  <c r="J11" i="21"/>
  <c r="F11" i="21"/>
  <c r="H11" i="21"/>
  <c r="J11" i="86"/>
  <c r="F11" i="86"/>
  <c r="H11" i="86"/>
  <c r="C64" i="15"/>
  <c r="C37" i="15"/>
  <c r="C30" i="15"/>
  <c r="C39" i="15"/>
  <c r="Q70" i="15"/>
  <c r="C56" i="15"/>
  <c r="C65" i="15"/>
  <c r="C75" i="15"/>
  <c r="F11" i="39"/>
  <c r="H11" i="39"/>
  <c r="J11" i="39"/>
  <c r="H11" i="85"/>
  <c r="J11" i="85"/>
  <c r="F11" i="85"/>
  <c r="J11" i="87"/>
  <c r="F11" i="87"/>
  <c r="H11" i="87"/>
  <c r="C28" i="69"/>
  <c r="C27" i="69"/>
  <c r="C31" i="69"/>
  <c r="C42" i="68"/>
  <c r="C42" i="11"/>
  <c r="C39" i="11"/>
  <c r="M65" i="40"/>
  <c r="N63" i="40"/>
  <c r="K68" i="39"/>
  <c r="J70" i="39"/>
  <c r="C80" i="67"/>
  <c r="C79" i="67"/>
  <c r="C43" i="67"/>
  <c r="C45" i="67"/>
  <c r="C46" i="67"/>
  <c r="L57" i="15"/>
  <c r="L60" i="15"/>
  <c r="Q67" i="67"/>
  <c r="L57" i="67"/>
  <c r="L60" i="67"/>
  <c r="Q57" i="67"/>
  <c r="Q69" i="67"/>
  <c r="Q68" i="67"/>
  <c r="Q47" i="67"/>
  <c r="Q53" i="67"/>
  <c r="C83" i="67"/>
  <c r="C82" i="67"/>
  <c r="Q56" i="67"/>
  <c r="Q65" i="67"/>
  <c r="D2" i="67"/>
  <c r="B3" i="67"/>
  <c r="C46" i="69"/>
  <c r="C45" i="69"/>
  <c r="C43" i="69"/>
  <c r="C41" i="69"/>
  <c r="C46" i="68"/>
  <c r="C45" i="68"/>
  <c r="C43" i="68"/>
  <c r="L51" i="15"/>
  <c r="J22" i="15"/>
  <c r="J16" i="15"/>
  <c r="J25" i="15"/>
  <c r="C58" i="15"/>
  <c r="C67" i="15"/>
  <c r="C68" i="15"/>
  <c r="C71" i="15"/>
  <c r="Q67" i="15"/>
  <c r="Q69" i="15"/>
  <c r="Q68" i="15"/>
  <c r="C40" i="15"/>
  <c r="C80" i="15"/>
  <c r="C79" i="15"/>
  <c r="AB11" i="87"/>
  <c r="T48" i="87"/>
  <c r="G48" i="87"/>
  <c r="U11" i="87"/>
  <c r="AC11" i="87"/>
  <c r="V48" i="87"/>
  <c r="I48" i="87"/>
  <c r="I52" i="87"/>
  <c r="J52" i="87"/>
  <c r="W11" i="87"/>
  <c r="AC11" i="85"/>
  <c r="V48" i="85"/>
  <c r="I48" i="85"/>
  <c r="W11" i="85"/>
  <c r="W11" i="39"/>
  <c r="AC11" i="39"/>
  <c r="AA11" i="39"/>
  <c r="S11" i="39"/>
  <c r="AA11" i="86"/>
  <c r="R48" i="86"/>
  <c r="S11" i="86"/>
  <c r="U11" i="21"/>
  <c r="AB11" i="21"/>
  <c r="T48" i="21"/>
  <c r="G48" i="21"/>
  <c r="W11" i="21"/>
  <c r="AC11" i="21"/>
  <c r="V48" i="21"/>
  <c r="I48" i="21"/>
  <c r="AA11" i="87"/>
  <c r="R48" i="87"/>
  <c r="S11" i="87"/>
  <c r="AA11" i="85"/>
  <c r="R48" i="85"/>
  <c r="S11" i="85"/>
  <c r="U11" i="85"/>
  <c r="AB11" i="85"/>
  <c r="T48" i="85"/>
  <c r="G48" i="85"/>
  <c r="AB11" i="39"/>
  <c r="U11" i="39"/>
  <c r="AB11" i="86"/>
  <c r="T48" i="86"/>
  <c r="G48" i="86"/>
  <c r="U11" i="86"/>
  <c r="W11" i="86"/>
  <c r="AC11" i="86"/>
  <c r="V48" i="86"/>
  <c r="I48" i="86"/>
  <c r="I52" i="86"/>
  <c r="J52" i="86"/>
  <c r="S11" i="21"/>
  <c r="AA11" i="21"/>
  <c r="R48" i="21"/>
  <c r="Q66" i="15"/>
  <c r="L46" i="15"/>
  <c r="B2" i="67"/>
  <c r="Q66" i="67"/>
  <c r="Q75" i="67"/>
  <c r="C41" i="68"/>
  <c r="C49" i="68"/>
  <c r="C51" i="68"/>
  <c r="C46" i="11"/>
  <c r="C45" i="11"/>
  <c r="C43" i="11"/>
  <c r="C41" i="11"/>
  <c r="N65" i="40"/>
  <c r="O63" i="40"/>
  <c r="O65" i="40"/>
  <c r="F7" i="40"/>
  <c r="Q62" i="67"/>
  <c r="L68" i="39"/>
  <c r="K70" i="39"/>
  <c r="Q57" i="15"/>
  <c r="C43" i="15"/>
  <c r="Q65" i="15"/>
  <c r="C83" i="15"/>
  <c r="C82" i="15"/>
  <c r="C49" i="69"/>
  <c r="C51" i="69"/>
  <c r="C46" i="15"/>
  <c r="Q56" i="15"/>
  <c r="Q47" i="15"/>
  <c r="Q53" i="15"/>
  <c r="B2" i="15"/>
  <c r="R49" i="21"/>
  <c r="E48" i="21"/>
  <c r="G52" i="85"/>
  <c r="H52" i="85"/>
  <c r="G53" i="85"/>
  <c r="H53" i="85"/>
  <c r="I52" i="21"/>
  <c r="J52" i="21"/>
  <c r="I53" i="21"/>
  <c r="J53" i="21"/>
  <c r="G52" i="21"/>
  <c r="H52" i="21"/>
  <c r="G53" i="21"/>
  <c r="H53" i="21"/>
  <c r="G52" i="86"/>
  <c r="H52" i="86"/>
  <c r="G53" i="86"/>
  <c r="H53" i="86"/>
  <c r="R49" i="85"/>
  <c r="E48" i="85"/>
  <c r="E48" i="87"/>
  <c r="R49" i="87"/>
  <c r="E48" i="86"/>
  <c r="R49" i="86"/>
  <c r="I52" i="85"/>
  <c r="J52" i="85"/>
  <c r="I53" i="85"/>
  <c r="J53" i="85"/>
  <c r="G53" i="87"/>
  <c r="H53" i="87"/>
  <c r="G52" i="87"/>
  <c r="H52" i="87"/>
  <c r="Q62" i="15"/>
  <c r="G6" i="12"/>
  <c r="G8" i="12"/>
  <c r="Q75" i="15"/>
  <c r="B3" i="15"/>
  <c r="C49" i="11"/>
  <c r="C51" i="11"/>
  <c r="C52" i="11"/>
  <c r="B2" i="11"/>
  <c r="B3" i="11"/>
  <c r="J7" i="40"/>
  <c r="S7" i="40"/>
  <c r="AA7" i="40"/>
  <c r="R42" i="40"/>
  <c r="H7" i="40"/>
  <c r="M68" i="39"/>
  <c r="L70" i="39"/>
  <c r="C52" i="69"/>
  <c r="B2" i="69"/>
  <c r="B3" i="69"/>
  <c r="AO10" i="1"/>
  <c r="B10" i="70"/>
  <c r="B2" i="70"/>
  <c r="B3" i="70"/>
  <c r="C49" i="86"/>
  <c r="C48" i="86"/>
  <c r="C49" i="87"/>
  <c r="C48" i="87"/>
  <c r="E53" i="85"/>
  <c r="F53" i="85"/>
  <c r="E52" i="85"/>
  <c r="F52" i="85"/>
  <c r="E52" i="21"/>
  <c r="F52" i="21"/>
  <c r="E53" i="21"/>
  <c r="F53" i="21"/>
  <c r="I53" i="86"/>
  <c r="J53" i="86"/>
  <c r="E52" i="86"/>
  <c r="F52" i="86"/>
  <c r="E53" i="86"/>
  <c r="F53" i="86"/>
  <c r="I53" i="87"/>
  <c r="J53" i="87"/>
  <c r="E53" i="87"/>
  <c r="F53" i="87"/>
  <c r="E52" i="87"/>
  <c r="F52" i="87"/>
  <c r="C49" i="85"/>
  <c r="C48" i="85"/>
  <c r="C49" i="21"/>
  <c r="C48" i="21"/>
  <c r="C56" i="11"/>
  <c r="C57" i="11"/>
  <c r="U7" i="40"/>
  <c r="AB7" i="40"/>
  <c r="T42" i="40"/>
  <c r="G42" i="40"/>
  <c r="R43" i="40"/>
  <c r="E42" i="40"/>
  <c r="AC7" i="40"/>
  <c r="V42" i="40"/>
  <c r="I42" i="40"/>
  <c r="W7" i="40"/>
  <c r="M70" i="39"/>
  <c r="N68" i="39"/>
  <c r="C57" i="69"/>
  <c r="C56" i="69"/>
  <c r="B2" i="21"/>
  <c r="D8" i="12"/>
  <c r="B3" i="21"/>
  <c r="D6" i="12"/>
  <c r="B3" i="85"/>
  <c r="C6" i="12"/>
  <c r="B2" i="85"/>
  <c r="C8" i="12"/>
  <c r="B2" i="87"/>
  <c r="F8" i="12"/>
  <c r="B3" i="87"/>
  <c r="F6" i="12"/>
  <c r="B2" i="86"/>
  <c r="E8" i="12"/>
  <c r="B3" i="86"/>
  <c r="E6" i="12"/>
  <c r="E47" i="40"/>
  <c r="F47" i="40"/>
  <c r="E46" i="40"/>
  <c r="F46" i="40"/>
  <c r="G47" i="40"/>
  <c r="H47" i="40"/>
  <c r="G46" i="40"/>
  <c r="H46" i="40"/>
  <c r="I47" i="40"/>
  <c r="J47" i="40"/>
  <c r="I46" i="40"/>
  <c r="J46" i="40"/>
  <c r="C43" i="40"/>
  <c r="C42" i="40"/>
  <c r="O68" i="39"/>
  <c r="O70" i="39"/>
  <c r="N70" i="39"/>
  <c r="H7" i="39"/>
  <c r="C4" i="12"/>
  <c r="B57" i="40"/>
  <c r="F57" i="40"/>
  <c r="B59" i="40"/>
  <c r="F59" i="40"/>
  <c r="B56" i="40"/>
  <c r="F56" i="40"/>
  <c r="B54" i="40"/>
  <c r="F54" i="40"/>
  <c r="B60" i="40"/>
  <c r="F60" i="40"/>
  <c r="F61" i="40"/>
  <c r="B2" i="40"/>
  <c r="B3" i="40"/>
  <c r="B58" i="40"/>
  <c r="F58" i="40"/>
  <c r="B52" i="40"/>
  <c r="F52" i="40"/>
  <c r="B51" i="40"/>
  <c r="F51" i="40"/>
  <c r="B55" i="40"/>
  <c r="F55" i="40"/>
  <c r="B53" i="40"/>
  <c r="F53" i="40"/>
  <c r="J7" i="39"/>
  <c r="F7" i="39"/>
  <c r="AB7" i="39"/>
  <c r="T47" i="39"/>
  <c r="G47" i="39"/>
  <c r="U7" i="39"/>
  <c r="C31" i="12"/>
  <c r="C23" i="12"/>
  <c r="S7" i="39"/>
  <c r="AA7" i="39"/>
  <c r="R47" i="39"/>
  <c r="G51" i="39"/>
  <c r="H51" i="39"/>
  <c r="AC7" i="39"/>
  <c r="V47" i="39"/>
  <c r="I47" i="39"/>
  <c r="G52" i="39"/>
  <c r="H52" i="39"/>
  <c r="W7" i="39"/>
  <c r="C30" i="12"/>
  <c r="C28" i="12"/>
  <c r="C27" i="12"/>
  <c r="C25" i="12"/>
  <c r="H109" i="9"/>
  <c r="R48" i="39"/>
  <c r="E47" i="39"/>
  <c r="I51" i="39"/>
  <c r="J51" i="39"/>
  <c r="I52" i="39"/>
  <c r="J52" i="39"/>
  <c r="C32" i="12"/>
  <c r="B2" i="12"/>
  <c r="D124" i="9"/>
  <c r="D16" i="53"/>
  <c r="H110" i="9"/>
  <c r="D18" i="53"/>
  <c r="B35" i="72"/>
  <c r="E52" i="39"/>
  <c r="F52" i="39"/>
  <c r="E51" i="39"/>
  <c r="F51" i="39"/>
  <c r="C48" i="39"/>
  <c r="C47" i="39"/>
  <c r="D19" i="9"/>
  <c r="D21" i="9"/>
  <c r="D102" i="9"/>
  <c r="B3" i="12"/>
  <c r="B34" i="72"/>
  <c r="D17" i="53"/>
  <c r="B36" i="72"/>
  <c r="D125" i="9"/>
  <c r="D11" i="52"/>
  <c r="H14" i="74"/>
  <c r="B7" i="74"/>
  <c r="D10" i="52"/>
  <c r="B65" i="39"/>
  <c r="F65" i="39"/>
  <c r="B58" i="39"/>
  <c r="F58" i="39"/>
  <c r="B57" i="39"/>
  <c r="F57" i="39"/>
  <c r="B61" i="39"/>
  <c r="F61" i="39"/>
  <c r="B59" i="39"/>
  <c r="F59" i="39"/>
  <c r="B63" i="39"/>
  <c r="F63" i="39"/>
  <c r="B60" i="39"/>
  <c r="F60" i="39"/>
  <c r="B64" i="39"/>
  <c r="F64" i="39"/>
  <c r="B62" i="39"/>
  <c r="F62" i="39"/>
  <c r="B56" i="39"/>
  <c r="F56" i="39"/>
  <c r="F66" i="39"/>
  <c r="B2" i="39"/>
  <c r="D20" i="9"/>
  <c r="D103" i="9"/>
  <c r="B3" i="39"/>
  <c r="C6" i="68"/>
  <c r="C7" i="74"/>
  <c r="D7" i="74"/>
  <c r="C7" i="68"/>
  <c r="C5" i="68"/>
  <c r="C23" i="68"/>
  <c r="C20" i="68"/>
  <c r="C25" i="68"/>
  <c r="C28" i="68"/>
  <c r="C27" i="68"/>
  <c r="C22" i="68"/>
  <c r="C31" i="68"/>
  <c r="C52" i="68"/>
  <c r="B2" i="68"/>
  <c r="C19" i="9"/>
  <c r="C57" i="68"/>
  <c r="C56" i="68"/>
  <c r="C102" i="9"/>
  <c r="C21" i="9"/>
  <c r="D22" i="9"/>
  <c r="G19" i="9"/>
  <c r="D27" i="9"/>
  <c r="B3" i="68"/>
  <c r="D35" i="9"/>
  <c r="C20" i="9"/>
  <c r="D34" i="9"/>
  <c r="G20" i="9"/>
  <c r="C103" i="9"/>
  <c r="F37" i="6"/>
  <c r="G21" i="9"/>
  <c r="C32" i="9"/>
  <c r="H118" i="9"/>
  <c r="C35" i="9"/>
  <c r="F118" i="9"/>
  <c r="C34" i="9"/>
  <c r="D118" i="9"/>
  <c r="D119" i="9"/>
  <c r="D5" i="52"/>
  <c r="B49" i="72"/>
  <c r="F4" i="52"/>
  <c r="B51" i="72"/>
  <c r="F119" i="9"/>
  <c r="F5" i="52"/>
  <c r="B53" i="72"/>
  <c r="G118" i="9"/>
  <c r="G4" i="52"/>
  <c r="B52" i="72"/>
  <c r="D4" i="52"/>
  <c r="B47" i="72"/>
  <c r="D14" i="74"/>
  <c r="H4" i="52"/>
  <c r="I118" i="9"/>
  <c r="H119" i="9"/>
  <c r="H5" i="52"/>
  <c r="H101" i="9"/>
  <c r="C104" i="9"/>
  <c r="H107" i="9"/>
  <c r="D45" i="9"/>
  <c r="D5" i="53"/>
  <c r="M48" i="9"/>
  <c r="E118" i="9"/>
  <c r="E4" i="52"/>
  <c r="B48" i="72"/>
  <c r="C105" i="9"/>
  <c r="I4" i="52"/>
  <c r="H102" i="9"/>
  <c r="D7" i="53"/>
  <c r="B21" i="72"/>
  <c r="B5" i="74"/>
  <c r="F14" i="74"/>
  <c r="E14" i="74"/>
  <c r="D55" i="9"/>
  <c r="M53" i="9"/>
  <c r="D52" i="9"/>
  <c r="C72" i="9"/>
  <c r="C78" i="9"/>
  <c r="C73" i="9"/>
  <c r="D53" i="9"/>
  <c r="C93" i="9"/>
  <c r="C86" i="9"/>
  <c r="C64" i="9"/>
  <c r="C63" i="9"/>
  <c r="C67" i="9"/>
  <c r="C68" i="9"/>
  <c r="D54" i="9"/>
  <c r="C85" i="9"/>
  <c r="C95" i="9"/>
  <c r="D5" i="74"/>
  <c r="C5" i="74"/>
  <c r="B20" i="72"/>
  <c r="D6" i="53"/>
  <c r="B22" i="72"/>
  <c r="H108" i="9"/>
  <c r="D15" i="53"/>
  <c r="B31" i="72"/>
  <c r="D13" i="53"/>
  <c r="D122" i="9"/>
  <c r="M49" i="9"/>
  <c r="L66" i="9"/>
  <c r="M66" i="9"/>
  <c r="L67" i="9"/>
  <c r="M67" i="9"/>
  <c r="L63" i="9"/>
  <c r="M63" i="9"/>
  <c r="L65" i="9"/>
  <c r="M65" i="9"/>
  <c r="L68" i="9"/>
  <c r="M68" i="9"/>
  <c r="L64" i="9"/>
  <c r="M64" i="9"/>
  <c r="B30" i="72"/>
  <c r="D14" i="53"/>
  <c r="B32" i="72"/>
  <c r="C96" i="9"/>
  <c r="E96" i="9"/>
  <c r="E97" i="9"/>
  <c r="D123" i="9"/>
  <c r="D9" i="52"/>
  <c r="D8" i="52"/>
  <c r="G14" i="74"/>
  <c r="B6" i="74"/>
  <c r="C79" i="9"/>
  <c r="C97" i="9"/>
  <c r="D58" i="9"/>
  <c r="D56" i="9"/>
  <c r="M54" i="9"/>
  <c r="N57" i="9"/>
  <c r="P57" i="9"/>
  <c r="M69" i="9"/>
  <c r="N69" i="9"/>
  <c r="C80" i="9"/>
  <c r="E80" i="9"/>
  <c r="E81" i="9"/>
  <c r="C6" i="74"/>
  <c r="D6" i="74"/>
  <c r="N59" i="9"/>
  <c r="N61" i="9"/>
  <c r="N58" i="9"/>
  <c r="C8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<sst xmlns="http://schemas.openxmlformats.org/spreadsheetml/2006/main" count="12618" uniqueCount="3387">
  <si>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</si>
  <si>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</si>
  <si>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</si>
  <si>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</si>
  <si>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</si>
  <si>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</si>
  <si>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</si>
  <si>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</si>
  <si>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</si>
  <si>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</si>
  <si>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</si>
  <si>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</si>
  <si>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</si>
  <si>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</si>
  <si>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</si>
  <si>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</si>
  <si>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</si>
  <si>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</si>
  <si>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</si>
  <si>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</si>
  <si>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</si>
  <si>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</si>
  <si>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</si>
  <si>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</si>
  <si>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</si>
  <si>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</si>
  <si>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</si>
  <si>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</si>
  <si>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</si>
  <si>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</si>
  <si>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</si>
  <si>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</si>
  <si>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</si>
  <si>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</si>
  <si>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</si>
  <si>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</si>
  <si>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</si>
  <si>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</si>
  <si>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</si>
  <si>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</si>
  <si>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</si>
  <si>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</si>
  <si>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</si>
  <si>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</si>
  <si>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</si>
  <si>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</si>
  <si>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</si>
  <si>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</si>
  <si>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</si>
  <si>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</si>
  <si>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</si>
  <si>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</si>
  <si>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</si>
  <si>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</si>
  <si>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</si>
  <si>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</si>
  <si>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</si>
  <si>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</si>
  <si>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</si>
  <si>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</si>
  <si>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</si>
  <si>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</si>
  <si>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</si>
  <si>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</si>
  <si>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</si>
  <si>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</si>
  <si>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</si>
  <si>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</si>
  <si>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</si>
  <si>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</si>
  <si>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</si>
  <si>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</si>
  <si>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</si>
  <si>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</si>
  <si>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</si>
  <si>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</si>
  <si>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</si>
  <si>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</si>
  <si>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</si>
  <si>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</si>
  <si>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</si>
  <si>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</si>
  <si>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</si>
  <si>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</si>
  <si>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</si>
  <si>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</si>
  <si>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</si>
  <si>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</si>
  <si>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</si>
  <si>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</si>
  <si>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</si>
  <si>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</si>
  <si>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</si>
  <si>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</si>
  <si>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</si>
  <si>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</si>
  <si>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</si>
  <si>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</si>
  <si>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</si>
  <si>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</si>
  <si>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</si>
  <si>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</si>
  <si>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</si>
  <si>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</si>
  <si>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</si>
  <si>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</si>
  <si>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</si>
  <si>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</si>
  <si>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</si>
  <si>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</si>
  <si>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</si>
  <si>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</si>
  <si>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</si>
  <si>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</si>
  <si>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</si>
  <si>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</si>
  <si>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</si>
  <si>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</si>
  <si>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</si>
  <si>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</si>
  <si>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</si>
  <si>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</si>
  <si>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</si>
  <si>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</si>
  <si>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</si>
  <si>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</si>
  <si>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</si>
  <si>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</si>
  <si>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</si>
  <si>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</si>
  <si>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</si>
  <si>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</si>
  <si>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</si>
  <si>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</si>
  <si>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</si>
  <si>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</si>
  <si>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</si>
  <si>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</si>
  <si>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</si>
  <si>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</si>
  <si>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</si>
  <si>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</si>
  <si>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</si>
  <si>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</si>
  <si>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</si>
  <si>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</si>
  <si>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</si>
  <si>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</si>
  <si>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</si>
  <si>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</si>
  <si>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</si>
  <si>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</si>
  <si>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</si>
  <si>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</si>
  <si>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</si>
  <si>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</si>
  <si>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</si>
  <si>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</si>
  <si>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</si>
  <si>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</si>
  <si>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</si>
  <si>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</si>
  <si>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</si>
  <si>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</si>
  <si>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</si>
  <si>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</si>
  <si>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</si>
  <si>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</si>
  <si>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</si>
  <si>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</si>
  <si>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</si>
  <si>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</si>
  <si>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</si>
  <si>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</si>
  <si>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</si>
  <si>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</si>
  <si>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</si>
  <si>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</si>
  <si>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</si>
  <si>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</si>
  <si>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</si>
  <si>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</si>
  <si>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</si>
  <si>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</si>
  <si>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</si>
  <si>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</si>
  <si>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</si>
  <si>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</si>
  <si>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</si>
  <si>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</si>
  <si>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</si>
  <si>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</si>
  <si>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</si>
  <si>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</si>
  <si>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</si>
  <si>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</si>
  <si>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</si>
  <si>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</si>
  <si>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</si>
  <si>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</si>
  <si>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</si>
  <si>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</si>
  <si>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</si>
  <si>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</si>
  <si>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</si>
  <si>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</si>
  <si>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</si>
  <si>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</si>
  <si>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</si>
  <si>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</si>
  <si>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</si>
  <si>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</si>
  <si>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</si>
  <si>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</si>
  <si>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</si>
  <si>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</si>
  <si>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</si>
  <si>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</si>
  <si>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</si>
  <si>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</si>
  <si>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</si>
  <si>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</si>
  <si>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</si>
  <si>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</si>
  <si>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</si>
  <si>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</si>
  <si>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</si>
  <si>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</si>
  <si>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</si>
  <si>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</si>
  <si>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</si>
  <si>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</si>
  <si>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</si>
  <si>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</si>
  <si>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</si>
  <si>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</si>
  <si>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</si>
  <si>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</si>
  <si>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</si>
  <si>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</si>
  <si>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</si>
  <si>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</si>
  <si>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</si>
  <si>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</si>
  <si>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</si>
  <si>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</si>
  <si>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</si>
  <si>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</si>
  <si>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</si>
  <si>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</si>
  <si>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</si>
  <si>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</si>
  <si>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</si>
  <si>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</si>
  <si>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</si>
  <si>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</si>
  <si>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</si>
  <si>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</si>
  <si>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</si>
  <si>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</si>
  <si>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</si>
  <si>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</si>
  <si>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</si>
  <si>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</si>
  <si>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</si>
  <si>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</si>
  <si>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</si>
  <si>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</si>
  <si>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</si>
  <si>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</si>
  <si>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</si>
  <si>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</si>
  <si>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</si>
  <si>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</si>
  <si>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</si>
  <si>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</si>
  <si>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</si>
  <si>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</si>
  <si>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</si>
  <si>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</si>
  <si>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</si>
  <si>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</si>
  <si>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</si>
  <si>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</si>
  <si>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</si>
  <si>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</si>
  <si>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</si>
  <si>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</si>
  <si>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</si>
  <si>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</si>
  <si>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</si>
  <si>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</si>
  <si>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</si>
  <si>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</si>
  <si>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</si>
  <si>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</si>
  <si>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</si>
  <si>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</si>
  <si>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</si>
  <si>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</si>
  <si>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</si>
  <si>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</si>
  <si>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</si>
  <si>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</si>
  <si>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</si>
  <si>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</si>
  <si>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</si>
  <si>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</si>
  <si>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</si>
  <si>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</si>
  <si>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</si>
  <si>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</si>
  <si>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</si>
  <si>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</si>
  <si>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</si>
  <si>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</si>
  <si>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</si>
  <si>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</si>
  <si>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</si>
  <si>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</si>
  <si>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</si>
  <si>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</si>
  <si>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</si>
  <si>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</si>
  <si>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</si>
  <si>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</si>
  <si>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</si>
  <si>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</si>
  <si>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</si>
  <si>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</si>
  <si>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</si>
  <si>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</si>
  <si>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</si>
  <si>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</si>
  <si>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</si>
  <si>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</si>
  <si>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</si>
  <si>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</si>
  <si>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</si>
  <si>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</si>
  <si>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</si>
  <si>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</si>
  <si>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</si>
  <si>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</si>
  <si>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</si>
  <si>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</si>
  <si>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</si>
  <si>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</si>
  <si>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</si>
  <si>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</si>
  <si>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</si>
  <si>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</si>
  <si>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</si>
  <si>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</si>
  <si>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</si>
  <si>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</si>
  <si>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</si>
  <si>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</si>
  <si>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</si>
  <si>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</si>
  <si>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</si>
  <si>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</si>
  <si>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</si>
  <si>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</si>
  <si>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</si>
  <si>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</si>
  <si>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</si>
  <si>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</si>
  <si>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</si>
  <si>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</si>
  <si>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</si>
  <si>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</si>
  <si>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</si>
  <si>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</si>
  <si>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</si>
  <si>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</si>
  <si>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</si>
  <si>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</si>
  <si>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</si>
  <si>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</si>
  <si>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</si>
  <si>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</si>
  <si>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</si>
  <si>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</si>
  <si>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</si>
  <si>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</si>
  <si>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</si>
  <si>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</si>
  <si>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</si>
  <si>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</si>
  <si>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</si>
  <si>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</si>
  <si>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</si>
  <si>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</si>
  <si>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</si>
  <si>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</si>
  <si>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</si>
  <si>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</si>
  <si>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</si>
  <si>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</si>
  <si>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</si>
  <si>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</si>
  <si>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</si>
  <si>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</si>
  <si>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</si>
  <si>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</si>
  <si>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</si>
  <si>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</si>
  <si>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</si>
  <si>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</si>
  <si>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</si>
  <si>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</si>
  <si>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</si>
  <si>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</si>
  <si>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</si>
  <si>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</si>
  <si>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</si>
  <si>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</si>
  <si>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</si>
  <si>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</si>
  <si>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</si>
  <si>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</si>
  <si>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</si>
  <si>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</si>
  <si>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</si>
  <si>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</si>
  <si>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</si>
  <si>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</si>
  <si>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</si>
  <si>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</si>
  <si>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</si>
  <si>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</si>
  <si>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</si>
  <si>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</si>
  <si>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</si>
  <si>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</si>
  <si>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</si>
  <si>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</si>
  <si>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</si>
  <si>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</si>
  <si>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</si>
  <si>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</si>
  <si>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</si>
  <si>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</si>
  <si>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</si>
  <si>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</si>
  <si>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</si>
  <si>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</si>
  <si>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</si>
  <si>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</si>
  <si>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</si>
  <si>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</si>
  <si>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</si>
  <si>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</si>
  <si>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</si>
  <si>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</si>
  <si>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</si>
  <si>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</si>
  <si>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</si>
  <si>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</si>
  <si>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</si>
  <si>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</si>
  <si>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</si>
  <si>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</si>
  <si>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</si>
  <si>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</si>
  <si>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</si>
  <si>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</si>
  <si>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</si>
  <si>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</si>
  <si>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</si>
  <si>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</si>
  <si>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</si>
  <si>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</si>
  <si>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</si>
  <si>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</si>
  <si>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</si>
  <si>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</si>
  <si>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</si>
  <si>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</si>
  <si>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</si>
  <si>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</si>
  <si>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</si>
  <si>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</si>
  <si>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</si>
  <si>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</si>
  <si>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</si>
  <si>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</si>
  <si>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</si>
  <si>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</si>
  <si>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</si>
  <si>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</si>
  <si>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</si>
  <si>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</si>
  <si>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</si>
  <si>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</si>
  <si>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</si>
  <si>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</si>
  <si>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</si>
  <si>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</si>
  <si>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</si>
  <si>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</si>
  <si>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</si>
  <si>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</si>
  <si>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</si>
  <si>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</si>
  <si>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</si>
  <si>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</si>
  <si>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</si>
  <si>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</si>
  <si>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</si>
  <si>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</si>
  <si>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</si>
  <si>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</si>
  <si>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</si>
  <si>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</si>
  <si>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</si>
  <si>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</si>
  <si>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</si>
  <si>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</si>
  <si>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</si>
  <si>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</si>
  <si>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</si>
  <si>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</si>
  <si>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</si>
  <si>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</si>
  <si>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</si>
  <si>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</si>
  <si>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</si>
  <si>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</si>
  <si>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</si>
  <si>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</si>
  <si>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</si>
  <si>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</si>
  <si>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</si>
  <si>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</si>
  <si>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</si>
  <si>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</si>
  <si>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</si>
  <si>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</si>
  <si>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</si>
  <si>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</si>
  <si>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</si>
  <si>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</si>
  <si>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</si>
  <si>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</si>
  <si>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</si>
  <si>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</si>
  <si>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</si>
  <si>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</si>
  <si>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</si>
  <si>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</si>
  <si>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</si>
  <si>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</si>
  <si>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</si>
  <si>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</si>
  <si>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</si>
  <si>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</si>
  <si>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</si>
  <si>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</si>
  <si>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</si>
  <si>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</si>
  <si>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</si>
  <si>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</si>
  <si>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</si>
  <si>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</si>
  <si>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</si>
  <si>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</si>
  <si>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</si>
  <si>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</si>
  <si>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</si>
  <si>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</si>
  <si>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</si>
  <si>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</si>
  <si>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</si>
  <si>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</si>
  <si>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</si>
  <si>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</si>
  <si>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</si>
  <si>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</si>
  <si>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</si>
  <si>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</si>
  <si>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</si>
  <si>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</si>
  <si>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</si>
  <si>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</si>
  <si>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</si>
  <si>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</si>
  <si>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</si>
  <si>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</si>
  <si>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</si>
  <si>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</si>
  <si>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</si>
  <si>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</si>
  <si>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</si>
  <si>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</si>
  <si>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</si>
  <si>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</si>
  <si>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</si>
  <si>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</si>
  <si>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</si>
  <si>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</si>
  <si>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</si>
  <si>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</si>
  <si>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</si>
  <si>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</si>
  <si>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</si>
  <si>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</si>
  <si>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</si>
  <si>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</si>
  <si>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</si>
  <si>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</si>
  <si>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</si>
  <si>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</si>
  <si>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</si>
  <si>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</si>
  <si>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</si>
  <si>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</si>
  <si>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</si>
  <si>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</si>
  <si>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</si>
  <si>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</si>
  <si>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</si>
  <si>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</si>
  <si>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</si>
  <si>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</si>
  <si>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</si>
  <si>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</si>
  <si>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</si>
  <si>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</si>
  <si>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</si>
  <si>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</si>
  <si>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</si>
  <si>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</si>
  <si>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</si>
  <si>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</si>
  <si>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</si>
  <si>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</si>
  <si>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</si>
  <si>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</si>
  <si>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</si>
  <si>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</si>
  <si>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</si>
  <si>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</si>
  <si>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</si>
  <si>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</si>
  <si>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</si>
  <si>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</si>
  <si>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</si>
  <si>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</si>
  <si>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</si>
  <si>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</si>
  <si>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</si>
  <si>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</si>
  <si>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</si>
  <si>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</si>
  <si>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</si>
  <si>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</si>
  <si>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</si>
  <si>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</si>
  <si>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</si>
  <si>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</si>
  <si>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</si>
  <si>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</si>
  <si>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</si>
  <si>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</si>
  <si>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</si>
  <si>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</si>
  <si>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</si>
  <si>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</si>
  <si>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</si>
  <si>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</si>
  <si>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</si>
  <si>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</si>
  <si>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</si>
  <si>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</si>
  <si>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</si>
  <si>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</si>
  <si>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</si>
  <si>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</si>
  <si>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</si>
  <si>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</si>
  <si>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</si>
  <si>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</si>
  <si>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</si>
  <si>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</si>
  <si>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</si>
  <si>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</si>
  <si>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</si>
  <si>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</si>
  <si>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</si>
  <si>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</si>
  <si>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</si>
  <si>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</si>
  <si>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</si>
  <si>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</si>
  <si>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</si>
  <si>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</si>
  <si>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</si>
  <si>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</si>
  <si>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</si>
  <si>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</si>
  <si>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</si>
  <si>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</si>
  <si>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</si>
  <si>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</si>
  <si>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</si>
  <si>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</si>
  <si>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</si>
  <si>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</si>
  <si>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</si>
  <si>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</si>
  <si>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</si>
  <si>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</si>
  <si>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</si>
  <si>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</si>
  <si>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</si>
  <si>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</si>
  <si>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</si>
  <si>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</si>
  <si>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</si>
  <si>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</si>
  <si>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</si>
  <si>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</si>
  <si>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</si>
  <si>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</si>
  <si>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</si>
  <si>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</si>
  <si>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</si>
  <si>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</si>
  <si>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</si>
  <si>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</si>
  <si>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</si>
  <si>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</si>
  <si>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</si>
  <si>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</si>
  <si>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</si>
  <si>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</si>
  <si>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</si>
  <si>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</si>
  <si>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</si>
  <si>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</si>
  <si>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</si>
  <si>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</si>
  <si>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</si>
  <si>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</si>
  <si>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</si>
  <si>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</si>
  <si>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</si>
  <si>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</si>
  <si>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</si>
  <si>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</si>
  <si>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</si>
  <si>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</si>
  <si>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</si>
  <si>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</si>
  <si>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</si>
  <si>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</si>
  <si>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</si>
  <si>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</si>
  <si>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</si>
  <si>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</si>
  <si>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</si>
  <si>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</si>
  <si>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</si>
  <si>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</si>
  <si>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</si>
  <si>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</si>
  <si>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</si>
  <si>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</si>
  <si>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</si>
  <si>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</si>
  <si>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</si>
  <si>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</si>
  <si>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</si>
  <si>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</si>
  <si>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</si>
  <si>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</si>
  <si>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</si>
  <si>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</si>
  <si>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</si>
  <si>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</si>
  <si>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</si>
  <si>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</si>
  <si>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</si>
  <si>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</si>
  <si>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</si>
  <si>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</si>
  <si>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</si>
  <si>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</si>
  <si>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</si>
  <si>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</si>
  <si>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</si>
  <si>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</si>
  <si>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</si>
  <si>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</si>
  <si>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</si>
  <si>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</si>
  <si>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</si>
  <si>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</si>
  <si>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</si>
  <si>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</si>
  <si>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</si>
  <si>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</si>
  <si>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</si>
  <si>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</si>
  <si>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</si>
  <si>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</si>
  <si>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</si>
  <si>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</si>
  <si>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</si>
  <si>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</si>
  <si>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</si>
  <si>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</si>
  <si>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</si>
  <si>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</si>
  <si>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</si>
  <si>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</si>
  <si>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</si>
  <si>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</si>
  <si>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</si>
  <si>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</si>
  <si>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</si>
  <si>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</si>
  <si>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</si>
  <si>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</si>
  <si>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</si>
  <si>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</si>
  <si>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</si>
  <si>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</si>
  <si>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</si>
  <si>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</si>
  <si>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</si>
  <si>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</si>
  <si>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</si>
  <si>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</si>
  <si>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</si>
  <si>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</si>
  <si>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</si>
  <si>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</si>
  <si>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</si>
  <si>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</si>
  <si>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</si>
  <si>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</si>
  <si>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</si>
  <si>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</si>
  <si>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</si>
  <si>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</si>
  <si>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</si>
  <si>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</si>
  <si>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</si>
  <si>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</si>
  <si>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</si>
  <si>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</si>
  <si>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</si>
  <si>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</si>
  <si>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</si>
  <si>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</si>
  <si>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</si>
  <si>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</si>
  <si>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</si>
  <si>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</si>
  <si>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</si>
  <si>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</si>
  <si>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</si>
  <si>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</si>
  <si>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</si>
  <si>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</si>
  <si>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</si>
  <si>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</si>
  <si>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</si>
  <si>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</si>
  <si>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</si>
  <si>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</si>
  <si>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</si>
  <si>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</si>
  <si>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</si>
  <si>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</si>
  <si>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</si>
  <si>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</si>
  <si>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</si>
  <si>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</si>
  <si>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</si>
  <si>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</si>
  <si>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</si>
  <si>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</si>
  <si>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</si>
  <si>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</si>
  <si>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</si>
  <si>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</si>
  <si>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</si>
  <si>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</si>
  <si>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</si>
  <si>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</si>
  <si>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</si>
  <si>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</si>
  <si>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</si>
  <si>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</si>
  <si>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</si>
  <si>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</si>
  <si>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</si>
  <si>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</si>
  <si>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</si>
  <si>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</si>
  <si>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</si>
  <si>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</si>
  <si>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</si>
  <si>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</si>
  <si>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</si>
  <si>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</si>
  <si>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</si>
  <si>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</si>
  <si>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</si>
  <si>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</si>
  <si>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</si>
  <si>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</si>
  <si>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</si>
  <si>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</si>
  <si>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</si>
  <si>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</si>
  <si>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</si>
  <si>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</si>
  <si>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</si>
  <si>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</si>
  <si>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</si>
  <si>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</si>
  <si>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</si>
  <si>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</si>
  <si>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</si>
  <si>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</si>
  <si>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</si>
  <si>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</si>
  <si>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</si>
  <si>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</si>
  <si>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</si>
  <si>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</si>
  <si>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</si>
  <si>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</si>
  <si>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</si>
  <si>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</si>
  <si>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</si>
  <si>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</si>
  <si>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</si>
  <si>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</si>
  <si>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</si>
  <si>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</si>
  <si>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</si>
  <si>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</si>
  <si>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</si>
  <si>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</si>
  <si>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</si>
  <si>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</si>
  <si>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</si>
  <si>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</si>
  <si>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</si>
  <si>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</si>
  <si>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</si>
  <si>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</si>
  <si>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</si>
  <si>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</si>
  <si>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</si>
  <si>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</si>
  <si>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</si>
  <si>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</si>
  <si>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</si>
  <si>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</si>
  <si>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</si>
  <si>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</si>
  <si>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</si>
  <si>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</si>
  <si>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</si>
  <si>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</si>
  <si>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</si>
  <si>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</si>
  <si>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</si>
  <si>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</si>
  <si>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</si>
  <si>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</si>
  <si>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</si>
  <si>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</si>
  <si>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</si>
  <si>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</si>
  <si>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</si>
  <si>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</si>
  <si>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</si>
  <si>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</si>
  <si>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</si>
  <si>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</si>
  <si>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</si>
  <si>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</si>
  <si>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</si>
  <si>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</si>
  <si>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</si>
  <si>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</si>
  <si>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</si>
  <si>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</si>
  <si>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</si>
  <si>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</si>
  <si>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</si>
  <si>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</si>
  <si>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</si>
  <si>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</si>
  <si>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</si>
  <si>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</si>
  <si>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</si>
  <si>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</si>
  <si>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</si>
  <si>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</si>
  <si>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</si>
  <si>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</si>
  <si>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</si>
  <si>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</si>
  <si>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</si>
  <si>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</si>
  <si>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</si>
  <si>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</si>
  <si>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</si>
  <si>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</si>
  <si>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</si>
  <si>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</si>
  <si>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</si>
  <si>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</si>
  <si>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</si>
  <si>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</si>
  <si>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</si>
  <si>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</si>
  <si>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</si>
  <si>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</si>
  <si>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</si>
  <si>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</si>
  <si>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</si>
  <si>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</si>
  <si>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</si>
  <si>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</si>
  <si>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</si>
  <si>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</si>
  <si>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</si>
  <si>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</si>
  <si>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</si>
  <si>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</si>
  <si>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</si>
  <si>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</si>
  <si>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</si>
  <si>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</si>
  <si>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</si>
  <si>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</si>
  <si>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</si>
  <si>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</si>
  <si>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</si>
  <si>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</si>
  <si>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</si>
  <si>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</si>
  <si>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</si>
  <si>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</si>
  <si>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</si>
  <si>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</si>
  <si>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</si>
  <si>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</si>
  <si>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</si>
  <si>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</si>
  <si>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</si>
  <si>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</si>
  <si>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</si>
  <si>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</si>
  <si>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</si>
  <si>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</si>
  <si>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</si>
  <si>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</si>
  <si>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</si>
  <si>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</si>
  <si>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</si>
  <si>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</si>
  <si>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</si>
  <si>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</si>
  <si>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</si>
  <si>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</si>
  <si>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</si>
  <si>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</si>
  <si>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</si>
  <si>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</si>
  <si>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</si>
  <si>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</si>
  <si>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</si>
  <si>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</si>
  <si>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</si>
  <si>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</si>
  <si>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</si>
  <si>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</si>
  <si>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</si>
  <si>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</si>
  <si>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</si>
  <si>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</si>
  <si>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</si>
  <si>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</si>
  <si>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</si>
  <si>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</si>
  <si>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</si>
  <si>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</si>
  <si>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</si>
  <si>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</si>
  <si>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</si>
  <si>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</si>
  <si>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</si>
  <si>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</si>
  <si>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</si>
  <si>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</si>
  <si>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</si>
  <si>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</si>
  <si>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</si>
  <si>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</si>
  <si>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</si>
  <si>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</si>
  <si>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</si>
  <si>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</si>
  <si>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</si>
  <si>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</si>
  <si>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</si>
  <si>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</si>
  <si>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</si>
  <si>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</si>
  <si>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</si>
  <si>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</si>
  <si>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</si>
  <si>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</si>
  <si>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</si>
  <si>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</si>
  <si>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</si>
  <si>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</si>
  <si>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</si>
  <si>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</si>
  <si>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</si>
  <si>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</si>
  <si>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</si>
  <si>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</si>
  <si>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</si>
  <si>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</si>
  <si>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</si>
  <si>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</si>
  <si>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</si>
  <si>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</si>
  <si>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</si>
  <si>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</si>
  <si>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</si>
  <si>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</si>
  <si>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</si>
  <si>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</si>
  <si>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</si>
  <si>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</si>
  <si>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</si>
  <si>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</si>
  <si>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</si>
  <si>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</si>
  <si>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</si>
  <si>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</si>
  <si>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</si>
  <si>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</si>
  <si>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</si>
  <si>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</si>
  <si>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</si>
  <si>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</si>
  <si>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</si>
  <si>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</si>
  <si>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</si>
  <si>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</si>
  <si>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</si>
  <si>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</si>
  <si>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</si>
  <si>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</si>
  <si>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</si>
  <si>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</si>
  <si>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</si>
  <si>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</si>
  <si>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</si>
  <si>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</si>
  <si>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</si>
  <si>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</si>
  <si>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</si>
  <si>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</si>
  <si>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</si>
  <si>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</si>
  <si>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</si>
  <si>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</si>
  <si>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</si>
  <si>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</si>
  <si>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</si>
  <si>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</si>
  <si>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</si>
  <si>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</si>
  <si>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</si>
  <si>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</si>
  <si>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</si>
  <si>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</si>
  <si>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</si>
  <si>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</si>
  <si>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</si>
  <si>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</si>
  <si>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</si>
  <si>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</si>
  <si>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</si>
  <si>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</si>
  <si>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</si>
  <si>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</si>
  <si>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</si>
  <si>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</si>
  <si>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</si>
  <si>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</si>
  <si>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</si>
  <si>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</si>
  <si>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</si>
  <si>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</si>
  <si>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</si>
  <si>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</si>
  <si>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</si>
  <si>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</si>
  <si>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</si>
  <si>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</si>
  <si>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</si>
  <si>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</si>
  <si>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</si>
  <si>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</si>
  <si>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</si>
  <si>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</si>
  <si>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</si>
  <si>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</si>
  <si>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</si>
  <si>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</si>
  <si>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</si>
  <si>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</si>
  <si>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</si>
  <si>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</si>
  <si>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</si>
  <si>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</si>
  <si>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</si>
  <si>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</si>
  <si>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</si>
  <si>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</si>
  <si>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</si>
  <si>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</si>
  <si>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</si>
  <si>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</si>
  <si>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</si>
  <si>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</si>
  <si>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</si>
  <si>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</si>
  <si>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</si>
  <si>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</si>
  <si>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</si>
  <si>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</si>
  <si>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</si>
  <si>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</si>
  <si>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</si>
  <si>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</si>
  <si>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</si>
  <si>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</si>
  <si>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</si>
  <si>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</si>
  <si>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</si>
  <si>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</si>
  <si>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</si>
  <si>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</si>
  <si>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</si>
  <si>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</si>
  <si>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</si>
  <si>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</si>
  <si>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</si>
  <si>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</si>
  <si>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</si>
  <si>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</si>
  <si>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</si>
  <si>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</si>
  <si>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</si>
  <si>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</si>
  <si>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</si>
  <si>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</si>
  <si>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</si>
  <si>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</si>
  <si>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</si>
  <si>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</si>
  <si>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</si>
  <si>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</si>
  <si>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</si>
  <si>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</si>
  <si>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</si>
  <si>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</si>
  <si>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</si>
  <si>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</si>
  <si>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</si>
  <si>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</si>
  <si>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</si>
  <si>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</si>
  <si>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</si>
  <si>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</si>
  <si>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</si>
  <si>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</si>
  <si>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</si>
  <si>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</si>
  <si>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</si>
  <si>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</si>
  <si>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</si>
  <si>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</si>
  <si>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</si>
  <si>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</si>
  <si>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</si>
  <si>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</si>
  <si>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</si>
  <si>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</si>
  <si>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</si>
  <si>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</si>
  <si>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</si>
  <si>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</si>
  <si>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</si>
  <si>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</si>
  <si>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</si>
  <si>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</si>
  <si>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</si>
  <si>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</si>
  <si>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</si>
  <si>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</si>
  <si>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</si>
  <si>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</si>
  <si>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</si>
  <si>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</si>
  <si>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</si>
  <si>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</si>
  <si>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</si>
  <si>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</si>
  <si>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</si>
  <si>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</si>
  <si>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</si>
  <si>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</si>
  <si>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</si>
  <si>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</si>
  <si>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</si>
  <si>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</si>
  <si>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</si>
  <si>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</si>
  <si>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</si>
  <si>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</si>
  <si>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</si>
  <si>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</si>
  <si>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</si>
  <si>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</si>
  <si>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</si>
  <si>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</si>
  <si>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</si>
  <si>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</si>
  <si>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</si>
  <si>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</si>
  <si>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</si>
  <si>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</si>
  <si>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</si>
  <si>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</si>
  <si>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</si>
  <si>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</si>
  <si>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</si>
  <si>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</si>
  <si>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</si>
  <si>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</si>
  <si>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</si>
  <si>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</si>
  <si>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</si>
  <si>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</si>
  <si>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</si>
  <si>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</si>
  <si>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</si>
  <si>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</si>
  <si>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</si>
  <si>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</si>
  <si>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</si>
  <si>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</si>
  <si>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</si>
  <si>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</si>
  <si>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</si>
  <si>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</si>
  <si>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</si>
  <si>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</si>
  <si>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</si>
  <si>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</si>
  <si>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</si>
  <si>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</si>
  <si>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</si>
  <si>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</si>
  <si>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</si>
  <si>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</si>
  <si>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</si>
  <si>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</si>
  <si>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</si>
  <si>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</si>
  <si>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</si>
  <si>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</si>
  <si>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</si>
  <si>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</si>
  <si>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</si>
  <si>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</si>
  <si>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</si>
  <si>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</si>
  <si>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</si>
  <si>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</si>
  <si>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</si>
  <si>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</si>
  <si>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</si>
  <si>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</si>
  <si>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</si>
  <si>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</si>
  <si>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</si>
  <si>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</si>
  <si>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</si>
  <si>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</si>
  <si>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</si>
  <si>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</si>
  <si>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</si>
  <si>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</si>
  <si>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</si>
  <si>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</si>
  <si>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</si>
  <si>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</si>
  <si>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</si>
  <si>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</si>
  <si>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</si>
  <si>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</si>
  <si>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</si>
  <si>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</si>
  <si>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</si>
  <si>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</si>
  <si>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</si>
  <si>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</si>
  <si>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</si>
  <si>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</si>
  <si>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</si>
  <si>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</si>
  <si>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</si>
  <si>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</si>
  <si>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</si>
  <si>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</si>
  <si>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</si>
  <si>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</si>
  <si>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</si>
  <si>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</si>
  <si>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</si>
  <si>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</si>
  <si>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</si>
  <si>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</si>
  <si>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</si>
  <si>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</si>
  <si>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</si>
  <si>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</si>
  <si>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</si>
  <si>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</si>
  <si>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</si>
  <si>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</si>
  <si>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</si>
  <si>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</si>
  <si>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</si>
  <si>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</si>
  <si>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</si>
  <si>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</si>
  <si>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</si>
  <si>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</si>
  <si>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</si>
  <si>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</si>
  <si>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</si>
  <si>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</si>
  <si>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</si>
  <si>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</si>
  <si>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</si>
  <si>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</si>
  <si>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</si>
  <si>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</si>
  <si>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</si>
  <si>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</si>
  <si>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</si>
  <si>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</si>
  <si>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</si>
  <si>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</si>
  <si>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</si>
  <si>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</si>
  <si>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</si>
  <si>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</si>
  <si>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</si>
  <si>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</si>
  <si>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</si>
  <si>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</si>
  <si>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</si>
  <si>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</si>
  <si>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</si>
  <si>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</si>
  <si>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</si>
  <si>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</si>
  <si>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</si>
  <si>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</si>
  <si>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</si>
  <si>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</si>
  <si>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</si>
  <si>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</si>
  <si>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</si>
  <si>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</si>
  <si>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</si>
  <si>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</si>
  <si>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</si>
  <si>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</si>
  <si>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</si>
  <si>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</si>
  <si>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</si>
  <si>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</si>
  <si>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</si>
  <si>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</si>
  <si>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</si>
  <si>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</si>
  <si>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</si>
  <si>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</si>
  <si>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</si>
  <si>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</si>
  <si>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</si>
  <si>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</si>
  <si>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</si>
  <si>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</si>
  <si>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</si>
  <si>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</si>
  <si>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</si>
  <si>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</si>
  <si>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</si>
  <si>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</si>
  <si>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</si>
  <si>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</si>
  <si>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</si>
  <si>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</si>
  <si>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</si>
  <si>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</si>
  <si>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</si>
  <si>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</si>
  <si>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</si>
  <si>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</si>
  <si>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</si>
  <si>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</si>
  <si>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</si>
  <si>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</si>
  <si>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</si>
  <si>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</si>
  <si>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</si>
  <si>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</si>
  <si>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</si>
  <si>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</si>
  <si>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</si>
  <si>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</si>
  <si>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</si>
  <si>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</si>
  <si>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</si>
  <si>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</si>
  <si>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</si>
  <si>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</si>
  <si>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</si>
  <si>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</si>
  <si>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</si>
  <si>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</si>
  <si>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</si>
  <si>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</si>
  <si>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</si>
  <si>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</si>
  <si>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</si>
  <si>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</si>
  <si>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</si>
  <si>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</si>
  <si>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</si>
  <si>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</si>
  <si>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</si>
  <si>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</si>
  <si>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</si>
  <si>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</si>
  <si>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</si>
  <si>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</si>
  <si>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</si>
  <si>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</si>
  <si>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</si>
  <si>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</si>
  <si>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</si>
  <si>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</si>
  <si>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</si>
  <si>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</si>
  <si>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</si>
  <si>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</si>
  <si>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</si>
  <si>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</si>
  <si>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</si>
  <si>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</si>
  <si>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</si>
  <si>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</si>
  <si>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</si>
  <si>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</si>
  <si>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</si>
  <si>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</si>
  <si>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</si>
  <si>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</si>
  <si>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</si>
  <si>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</si>
  <si>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</si>
  <si>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</si>
  <si>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</si>
  <si>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</si>
  <si>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</si>
  <si>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</si>
  <si>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</si>
  <si>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</si>
  <si>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</si>
  <si>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</si>
  <si>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</si>
  <si>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</si>
  <si>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</si>
  <si>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</si>
  <si>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</si>
  <si>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</si>
  <si>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</si>
  <si>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</si>
  <si>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</si>
  <si>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</si>
  <si>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</si>
  <si>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</si>
  <si>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</si>
  <si>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</si>
  <si>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</si>
  <si>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</si>
  <si>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</si>
  <si>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</si>
  <si>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</si>
  <si>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</si>
  <si>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</si>
  <si>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</si>
  <si>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</si>
  <si>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</si>
  <si>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</si>
  <si>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</si>
  <si>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</si>
  <si>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</si>
  <si>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</si>
  <si>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</si>
  <si>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</si>
  <si>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</si>
  <si>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</si>
  <si>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</si>
  <si>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</si>
  <si>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</si>
  <si>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</si>
  <si>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</si>
  <si>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</si>
  <si>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</si>
  <si>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</si>
  <si>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</si>
  <si>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</si>
  <si>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</si>
  <si>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</si>
  <si>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</si>
  <si>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</si>
  <si>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</si>
  <si>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</si>
  <si>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</si>
  <si>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</si>
  <si>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</si>
  <si>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</si>
  <si>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</si>
  <si>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</si>
  <si>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</si>
  <si>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</si>
  <si>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</si>
  <si>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</si>
  <si>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</si>
  <si>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</si>
  <si>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</si>
  <si>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</si>
  <si>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</si>
  <si>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</si>
  <si>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</si>
  <si>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</si>
  <si>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</si>
  <si>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</si>
  <si>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</si>
  <si>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</si>
  <si>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</si>
  <si>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</si>
  <si>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</si>
  <si>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</si>
  <si>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</si>
  <si>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</si>
  <si>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</si>
  <si>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</si>
  <si>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</si>
  <si>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</si>
  <si>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</si>
  <si>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</si>
  <si>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</si>
  <si>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</si>
  <si>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</si>
  <si>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</si>
  <si>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</si>
  <si>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</si>
  <si>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</si>
  <si>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</si>
  <si>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</si>
  <si>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</si>
  <si>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</si>
  <si>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</si>
  <si>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</si>
  <si>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</si>
  <si>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</si>
  <si>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</si>
  <si>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</si>
  <si>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</si>
  <si>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</si>
  <si>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</si>
  <si>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</si>
  <si>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</si>
  <si>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</si>
  <si>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</si>
  <si>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</si>
  <si>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</si>
  <si>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</si>
  <si>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</si>
  <si>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</si>
  <si>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</si>
  <si>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</si>
  <si>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</si>
  <si>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</si>
  <si>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</si>
  <si>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</si>
  <si>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</si>
  <si>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</si>
  <si>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</si>
  <si>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</si>
  <si>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</si>
  <si>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</si>
  <si>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</si>
  <si>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</si>
  <si>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</si>
  <si>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</si>
  <si>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</si>
  <si>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</si>
  <si>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</si>
  <si>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</si>
  <si>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</si>
  <si>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</si>
  <si>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</si>
  <si>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</si>
  <si>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</si>
  <si>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</si>
  <si>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</si>
  <si>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</si>
  <si>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</si>
  <si>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</si>
  <si>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</si>
  <si>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</si>
  <si>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</si>
  <si>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</si>
  <si>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</si>
  <si>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</si>
  <si>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</si>
  <si>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</si>
  <si>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</si>
  <si>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</si>
  <si>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</si>
  <si>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</si>
  <si>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</si>
  <si>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</si>
  <si>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</si>
  <si>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</si>
  <si>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</si>
  <si>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</si>
  <si>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</si>
  <si>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</si>
  <si>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</si>
  <si>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</si>
  <si>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</si>
  <si>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</si>
  <si>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</si>
  <si>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</si>
  <si>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</si>
  <si>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</si>
  <si>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</si>
  <si>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</si>
  <si>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</si>
  <si>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</si>
  <si>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</si>
  <si>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</si>
  <si>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</si>
  <si>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</si>
  <si>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</si>
  <si>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</si>
  <si>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</si>
  <si>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</si>
  <si>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</si>
  <si>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</si>
  <si>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</si>
  <si>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</si>
  <si>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</si>
  <si>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</si>
  <si>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</si>
  <si>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</si>
  <si>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</si>
  <si>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</si>
  <si>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</si>
  <si>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</si>
  <si>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</si>
  <si>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</si>
  <si>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</si>
  <si>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</si>
  <si>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</si>
  <si>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</si>
  <si>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</si>
  <si>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</si>
  <si>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</si>
  <si>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</si>
  <si>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</si>
  <si>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</si>
  <si>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</si>
  <si>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</si>
  <si>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</si>
  <si>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</si>
  <si>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</si>
  <si>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</si>
  <si>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</si>
  <si>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</si>
  <si>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</si>
  <si>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</si>
  <si>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</si>
  <si>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</si>
  <si>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</si>
  <si>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</si>
  <si>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</si>
  <si>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</si>
  <si>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</si>
  <si>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</si>
  <si>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</si>
  <si>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</si>
  <si>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</si>
  <si>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</si>
  <si>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</si>
  <si>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</si>
  <si>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</si>
  <si>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</si>
  <si>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</si>
  <si>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</si>
  <si>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</si>
  <si>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</si>
  <si>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</si>
  <si>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</si>
  <si>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</si>
  <si>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</si>
  <si>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</si>
  <si>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</si>
  <si>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</si>
  <si>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</si>
  <si>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</si>
  <si>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</si>
  <si>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</si>
  <si>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</si>
  <si>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</si>
  <si>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</si>
  <si>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</si>
  <si>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</si>
  <si>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</si>
  <si>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</si>
  <si>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</si>
  <si>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</si>
  <si>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</si>
  <si>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</si>
  <si>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</si>
  <si>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</si>
  <si>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</si>
  <si>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</si>
  <si>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</si>
  <si>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</si>
  <si>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</si>
  <si>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</si>
  <si>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</si>
  <si>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</si>
  <si>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</si>
  <si>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</si>
  <si>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</si>
  <si>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</si>
  <si>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</si>
  <si>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</si>
  <si>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</si>
  <si>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</si>
  <si>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</si>
  <si>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</si>
  <si>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</si>
  <si>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</si>
  <si>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</si>
  <si>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</si>
  <si>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</si>
  <si>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</si>
  <si>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</si>
  <si>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</si>
  <si>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</si>
  <si>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</si>
  <si>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</si>
  <si>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</si>
  <si>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</si>
  <si>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</si>
  <si>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</si>
  <si>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</si>
  <si>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</si>
  <si>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</si>
  <si>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</si>
  <si>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</si>
  <si>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</si>
  <si>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</si>
  <si>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</si>
  <si>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</si>
  <si>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</si>
  <si>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</si>
  <si>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</si>
  <si>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</si>
  <si>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</si>
  <si>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</si>
  <si>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</si>
  <si>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</si>
  <si>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</si>
  <si>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</si>
  <si>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</si>
  <si>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</si>
  <si>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</si>
  <si>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</si>
  <si>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</si>
  <si>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</si>
  <si>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</si>
  <si>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</si>
  <si>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</si>
  <si>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</si>
  <si>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</si>
  <si>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</si>
  <si>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</si>
  <si>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</si>
  <si>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</si>
  <si>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</si>
  <si>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</si>
  <si>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</si>
  <si>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</si>
  <si>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</si>
  <si>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</si>
  <si>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</si>
  <si>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</si>
  <si>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</si>
  <si>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</si>
  <si>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</si>
  <si>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</si>
  <si>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</si>
  <si>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</si>
  <si>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</si>
  <si>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</si>
  <si>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</si>
  <si>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</si>
  <si>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</si>
  <si>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</si>
  <si>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</si>
  <si>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</si>
  <si>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</si>
  <si>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</si>
  <si>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</si>
  <si>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</si>
  <si>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</si>
  <si>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</si>
  <si>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</si>
  <si>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</si>
  <si>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</si>
  <si>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</si>
  <si>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</si>
  <si>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</si>
  <si>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</si>
  <si>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</si>
  <si>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</si>
  <si>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</si>
  <si>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</si>
  <si>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</si>
  <si>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</si>
  <si>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</si>
  <si>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</si>
  <si>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</si>
  <si>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</si>
  <si>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</si>
  <si>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</si>
  <si>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</si>
  <si>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</si>
  <si>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</si>
  <si>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</si>
  <si>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</si>
  <si>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</si>
  <si>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</si>
  <si>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</si>
  <si>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</si>
  <si>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</si>
  <si>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</si>
  <si>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</si>
  <si>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</si>
  <si>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</si>
  <si>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</si>
  <si>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</si>
  <si>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</si>
  <si>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</si>
  <si>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</si>
  <si>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</si>
  <si>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</si>
  <si>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</si>
  <si>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</si>
  <si>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</si>
  <si>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</si>
  <si>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</si>
  <si>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</si>
  <si>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</si>
  <si>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</si>
  <si>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</si>
  <si>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</si>
  <si>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</si>
  <si>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</si>
  <si>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</si>
  <si>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</si>
  <si>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</si>
  <si>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</si>
  <si>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</si>
  <si>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</si>
  <si>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</si>
  <si>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</si>
  <si>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</si>
  <si>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</si>
  <si>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</si>
  <si>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</si>
  <si>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</si>
  <si>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</si>
  <si>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</si>
  <si>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</si>
  <si>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</si>
  <si>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</si>
  <si>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</si>
  <si>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</si>
  <si>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</si>
  <si>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</si>
  <si>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</si>
  <si>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</si>
  <si>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</si>
  <si>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</si>
  <si>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</si>
  <si>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</si>
  <si>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</si>
  <si>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</si>
  <si>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</si>
  <si>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</si>
  <si>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</si>
  <si>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</si>
  <si>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</si>
  <si>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</si>
  <si>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</si>
  <si>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</si>
  <si>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</si>
  <si>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</si>
  <si>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</si>
  <si>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</si>
  <si>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</si>
  <si>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</si>
  <si>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</si>
  <si>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</si>
  <si>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</si>
  <si>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</si>
  <si>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</si>
  <si>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</si>
  <si>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</si>
  <si>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</si>
  <si>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</si>
  <si>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</si>
  <si>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</si>
  <si>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</si>
  <si>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</si>
  <si>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</si>
  <si>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</si>
  <si>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</si>
  <si>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</si>
  <si>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</si>
  <si>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</si>
  <si>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</si>
  <si>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</si>
  <si>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</si>
  <si>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</si>
  <si>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</si>
  <si>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</si>
  <si>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</si>
  <si>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</si>
  <si>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</si>
  <si>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</si>
  <si>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</si>
  <si>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</si>
  <si>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</si>
  <si>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</si>
  <si>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</si>
  <si>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</si>
  <si>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</si>
  <si>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</si>
  <si>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</si>
  <si>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</si>
  <si>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</si>
  <si>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</si>
  <si>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</si>
  <si>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</si>
  <si>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</si>
  <si>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</si>
  <si>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</si>
  <si>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</si>
  <si>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</si>
  <si>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</si>
  <si>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</si>
  <si>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</si>
  <si>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</si>
  <si>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</si>
  <si>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</si>
  <si>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</si>
  <si>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</si>
  <si>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</si>
  <si>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</si>
  <si>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</si>
  <si>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</si>
  <si>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</si>
  <si>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</si>
  <si>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</si>
  <si>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</si>
  <si>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</si>
  <si>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</si>
  <si>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</si>
  <si>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</si>
  <si>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</si>
  <si>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</si>
  <si>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</si>
  <si>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</si>
  <si>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</si>
  <si>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</si>
  <si>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</si>
  <si>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</si>
  <si>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</si>
  <si>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</si>
  <si>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</si>
  <si>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</si>
  <si>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</si>
  <si>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</si>
  <si>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</si>
  <si>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</si>
  <si>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</si>
  <si>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</si>
  <si>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</si>
  <si>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</si>
  <si>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</si>
  <si>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</si>
  <si>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</si>
  <si>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</si>
  <si>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</si>
  <si>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</si>
  <si>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</si>
  <si>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</si>
  <si>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</si>
  <si>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</si>
  <si>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</si>
  <si>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</si>
  <si>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</si>
  <si>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</si>
  <si>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</si>
  <si>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</si>
  <si>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</si>
  <si>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</si>
  <si>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</si>
  <si>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</si>
  <si>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</si>
  <si>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</si>
  <si>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</si>
  <si>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</si>
  <si>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</si>
  <si>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</si>
  <si>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</si>
  <si>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</si>
  <si>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</si>
  <si>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</si>
  <si>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</si>
  <si>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</si>
  <si>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</si>
  <si>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</si>
  <si>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</si>
  <si>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</si>
  <si>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</si>
  <si>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</si>
  <si>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</si>
  <si>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</si>
  <si>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</si>
  <si>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</si>
  <si>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</si>
  <si>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</si>
  <si>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</si>
  <si>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</si>
  <si>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</si>
  <si>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</si>
  <si>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</si>
  <si>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</si>
  <si>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</si>
  <si>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</si>
  <si>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</si>
  <si>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</si>
  <si>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</si>
  <si>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</si>
  <si>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</si>
  <si>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</si>
  <si>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</si>
  <si>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</si>
  <si>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</si>
  <si>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</si>
  <si>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</si>
  <si>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</si>
  <si>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</si>
  <si>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</si>
  <si>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</si>
  <si>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</si>
  <si>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</si>
  <si>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</si>
  <si>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</si>
  <si>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</si>
  <si>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</si>
  <si>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</si>
  <si>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</si>
  <si>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</si>
  <si>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</si>
  <si>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</si>
  <si>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</si>
  <si>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</si>
  <si>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</si>
  <si>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</si>
  <si>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</si>
  <si>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</si>
  <si>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</si>
  <si>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</si>
  <si>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</si>
  <si>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</si>
  <si>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</si>
  <si>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</si>
  <si>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</si>
  <si>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</si>
  <si>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</si>
  <si>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</si>
  <si>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</si>
  <si>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</si>
  <si>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</si>
  <si>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</si>
  <si>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</si>
  <si>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</si>
  <si>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</si>
  <si>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</si>
  <si>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</si>
  <si>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</si>
  <si>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</si>
  <si>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</si>
  <si>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</si>
  <si>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</si>
  <si>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</si>
  <si>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</si>
  <si>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</si>
  <si>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</si>
  <si>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</si>
  <si>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</si>
  <si>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</si>
  <si>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</si>
  <si>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</si>
  <si>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</si>
  <si>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</si>
  <si>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</si>
  <si>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</si>
  <si>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</si>
  <si>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</si>
  <si>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</si>
  <si>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</si>
  <si>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</si>
  <si>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</si>
  <si>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</si>
  <si>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</si>
  <si>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</si>
  <si>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</si>
  <si>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</si>
  <si>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</si>
  <si>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</si>
  <si>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</si>
  <si>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</si>
  <si>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</si>
  <si>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</si>
  <si>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</si>
  <si>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</si>
  <si>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</si>
  <si>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</si>
  <si>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</si>
  <si>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</si>
  <si>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</si>
  <si>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</si>
  <si>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</si>
  <si>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</si>
  <si>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</si>
  <si>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</si>
  <si>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</si>
  <si>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</si>
  <si>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</si>
  <si>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</si>
  <si>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</si>
  <si>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</si>
  <si>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</si>
  <si>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</si>
  <si>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</si>
  <si>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</si>
  <si>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</si>
  <si>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</si>
  <si>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</si>
  <si>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</si>
  <si>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</si>
  <si>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</si>
  <si>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</si>
  <si>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</si>
  <si>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</si>
  <si>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</si>
  <si>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</si>
  <si>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</si>
  <si>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</si>
  <si>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</si>
  <si>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</si>
  <si>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</si>
  <si>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</si>
  <si>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</si>
  <si>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</si>
  <si>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</si>
  <si>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</si>
  <si>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</si>
  <si>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</si>
  <si>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</si>
  <si>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</si>
  <si>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</si>
  <si>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</si>
  <si>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</si>
  <si>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</si>
  <si>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</si>
  <si>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</si>
  <si>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</si>
  <si>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</si>
  <si>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</si>
  <si>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</si>
  <si>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</si>
  <si>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</si>
  <si>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</si>
  <si>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</si>
  <si>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</si>
  <si>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</si>
  <si>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</si>
  <si>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</si>
  <si>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</si>
  <si>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</si>
  <si>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</si>
  <si>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</si>
  <si>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</si>
  <si>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</si>
  <si>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</si>
  <si>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</si>
  <si>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</si>
  <si>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</si>
  <si>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</si>
  <si>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</si>
  <si>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</si>
  <si>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</si>
  <si>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</si>
  <si>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</si>
  <si>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</si>
  <si>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</si>
  <si>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</si>
  <si>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</si>
  <si>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</si>
  <si>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</si>
  <si>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</si>
  <si>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</si>
  <si>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</si>
  <si>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</si>
  <si>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</si>
  <si>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</si>
  <si>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</si>
  <si>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</si>
  <si>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</si>
  <si>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</si>
  <si>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</si>
  <si>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</si>
  <si>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</si>
  <si>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</si>
  <si>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</si>
  <si>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</si>
  <si>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</si>
  <si>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</si>
  <si>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</si>
  <si>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</si>
  <si>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</si>
  <si>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</si>
  <si>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</si>
  <si>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</si>
  <si>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</si>
  <si>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</si>
  <si>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</si>
  <si>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</si>
  <si>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</si>
  <si>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</si>
  <si>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</si>
  <si>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</si>
  <si>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</si>
  <si>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</si>
  <si>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</si>
  <si>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</si>
  <si>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</si>
  <si>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</si>
  <si>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</si>
  <si>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</si>
  <si>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</si>
  <si>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</si>
  <si>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</si>
  <si>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</si>
  <si>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</si>
  <si>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</si>
  <si>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</si>
  <si>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</si>
  <si>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</si>
  <si>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</si>
  <si>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</si>
  <si>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</si>
  <si>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</si>
  <si>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</si>
  <si>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</si>
  <si>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</si>
  <si>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</si>
  <si>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</si>
  <si>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</si>
  <si>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</si>
  <si>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</si>
  <si>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</si>
  <si>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</si>
  <si>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</si>
  <si>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</si>
  <si>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</si>
  <si>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</si>
  <si>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</si>
  <si>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</si>
  <si>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</si>
  <si>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</si>
  <si>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</si>
  <si>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</si>
  <si>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</si>
  <si>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</si>
  <si>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</si>
  <si>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</si>
  <si>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</si>
  <si>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</si>
  <si>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</si>
  <si>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</si>
  <si>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</si>
  <si>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</si>
  <si>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</si>
  <si>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</si>
  <si>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</si>
  <si>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</si>
  <si>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</si>
  <si>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</si>
  <si>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</si>
  <si>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</si>
  <si>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</si>
  <si>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</si>
  <si>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</si>
  <si>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</si>
  <si>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</si>
  <si>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</si>
  <si>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</si>
  <si>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</si>
  <si>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</si>
  <si>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</si>
  <si>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</si>
  <si>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</si>
  <si>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</si>
  <si>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</si>
  <si>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</si>
  <si>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</si>
  <si>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</si>
  <si>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</si>
  <si>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</si>
  <si>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</si>
  <si>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</si>
  <si>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</si>
  <si>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</si>
  <si>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</si>
  <si>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</si>
  <si>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</si>
  <si>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</si>
  <si>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</si>
  <si>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</si>
  <si>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</si>
  <si>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</si>
  <si>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</si>
  <si>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</si>
  <si>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</si>
  <si>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</si>
  <si>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</si>
  <si>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</si>
  <si>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</si>
  <si>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</si>
  <si>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</si>
  <si>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</si>
  <si>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</si>
  <si>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</si>
  <si>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</si>
  <si>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</si>
  <si>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</si>
  <si>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</si>
  <si>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</si>
  <si>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</si>
  <si>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</si>
  <si>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</si>
  <si>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</si>
  <si>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</si>
  <si>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</si>
  <si>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</si>
  <si>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</si>
  <si>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</si>
  <si>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</si>
  <si>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</si>
  <si>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</si>
  <si>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</si>
  <si>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</si>
  <si>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</si>
  <si>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</si>
  <si>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</si>
  <si>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</si>
  <si>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</si>
  <si>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</si>
  <si>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</si>
  <si>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</si>
  <si>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</si>
  <si>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</si>
  <si>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</si>
  <si>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</si>
  <si>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</si>
  <si>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</si>
  <si>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</si>
  <si>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</si>
  <si>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</si>
  <si>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</si>
  <si>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</si>
  <si>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</si>
  <si>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</si>
  <si>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</si>
  <si>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</si>
  <si>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</si>
  <si>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</si>
  <si>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</si>
  <si>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</si>
  <si>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</si>
  <si>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</si>
  <si>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</si>
  <si>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</si>
  <si>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</si>
  <si>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</si>
  <si>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</si>
  <si>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</si>
  <si>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</si>
  <si>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</si>
  <si>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</si>
  <si>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</si>
  <si>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</si>
  <si>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</si>
  <si>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</si>
  <si>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</si>
  <si>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</si>
  <si>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</si>
  <si>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</si>
  <si>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</si>
  <si>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</si>
  <si>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</si>
  <si>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</si>
  <si>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</si>
  <si>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</si>
  <si>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</si>
  <si>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</si>
  <si>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</si>
  <si>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</si>
  <si>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</si>
  <si>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</si>
  <si>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</si>
  <si>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</si>
  <si>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</si>
  <si>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</si>
  <si>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</si>
  <si>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</si>
  <si>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</si>
  <si>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</si>
  <si>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</si>
  <si>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</si>
  <si>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</si>
  <si>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</si>
  <si>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</si>
  <si>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</si>
  <si>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</si>
  <si>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</si>
  <si>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</si>
  <si>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</si>
  <si>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</si>
  <si>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</si>
  <si>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</si>
  <si>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</si>
  <si>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</si>
  <si>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</si>
  <si>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</si>
  <si>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</si>
  <si>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</si>
  <si>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</si>
  <si>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</si>
  <si>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</si>
  <si>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</si>
  <si>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</si>
  <si>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</si>
  <si>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</si>
  <si>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</si>
  <si>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</si>
  <si>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</si>
  <si>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</si>
  <si>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</si>
  <si>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</si>
  <si>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</si>
  <si>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</si>
  <si>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</si>
  <si>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</si>
  <si>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</si>
  <si>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</si>
  <si>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</si>
  <si>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</si>
  <si>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</si>
  <si>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</si>
  <si>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</si>
  <si>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</si>
  <si>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</si>
  <si>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</si>
  <si>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</si>
  <si>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</si>
  <si>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</si>
  <si>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</si>
  <si>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</si>
  <si>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</si>
  <si>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</si>
  <si>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</si>
  <si>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</si>
  <si>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</si>
  <si>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</si>
  <si>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</si>
  <si>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</si>
  <si>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</si>
  <si>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</si>
  <si>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</si>
  <si>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</si>
  <si>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</si>
  <si>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</si>
  <si>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</si>
  <si>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</si>
  <si>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</si>
  <si>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</si>
  <si>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</si>
  <si>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</si>
  <si>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</si>
  <si>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</si>
  <si>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</si>
  <si>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</si>
  <si>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</si>
  <si>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</si>
  <si>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</si>
  <si>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</si>
  <si>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</si>
  <si>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</si>
  <si>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</si>
  <si>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</si>
  <si>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</si>
  <si>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</si>
  <si>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</si>
  <si>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</si>
  <si>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</si>
  <si>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</si>
  <si>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</si>
  <si>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</si>
  <si>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</si>
  <si>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</si>
  <si>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</si>
  <si>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</si>
  <si>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</si>
  <si>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</si>
  <si>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</si>
  <si>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</si>
  <si>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</si>
  <si>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</si>
  <si>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</si>
  <si>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</si>
  <si>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</si>
  <si>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</si>
  <si>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</si>
  <si>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</si>
  <si>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</si>
  <si>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</si>
  <si>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</si>
  <si>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</si>
  <si>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</si>
  <si>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</si>
  <si>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</si>
  <si>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</si>
  <si>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</si>
  <si>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</si>
  <si>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</si>
  <si>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</si>
  <si>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</si>
  <si>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</si>
  <si>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</si>
  <si>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</si>
  <si>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</si>
  <si>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</si>
  <si>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</si>
  <si>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</si>
  <si>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</si>
  <si>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</si>
  <si>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</si>
  <si>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</si>
  <si>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</si>
  <si>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</si>
  <si>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</si>
  <si>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</si>
  <si>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</si>
  <si>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</si>
  <si>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</si>
  <si>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</si>
  <si>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</si>
  <si>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</si>
  <si>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</si>
  <si>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</si>
  <si>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</si>
  <si>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</si>
  <si>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</si>
  <si>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</si>
  <si>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</si>
  <si>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</si>
  <si>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</si>
  <si>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</si>
  <si>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</si>
  <si>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</si>
  <si>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</si>
  <si>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</si>
  <si>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</si>
  <si>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</si>
  <si>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</si>
  <si>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</si>
  <si>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</si>
  <si>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</si>
  <si>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</si>
  <si>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</si>
  <si>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</si>
  <si>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</si>
  <si>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</si>
  <si>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</si>
  <si>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</si>
  <si>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</si>
  <si>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</si>
  <si>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</si>
  <si>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</si>
  <si>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</si>
  <si>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</si>
  <si>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</si>
  <si>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</si>
  <si>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</si>
  <si>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</si>
  <si>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</si>
  <si>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</si>
  <si>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</si>
  <si>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</si>
  <si>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</si>
  <si>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</si>
  <si>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</si>
  <si>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</si>
  <si>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</si>
  <si>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</si>
  <si>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</si>
  <si>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</si>
  <si>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</si>
  <si>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</si>
  <si>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</si>
  <si>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</si>
  <si>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</si>
  <si>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</si>
  <si>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</si>
  <si>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</si>
  <si>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</si>
  <si>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</si>
  <si>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</si>
  <si>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</si>
  <si>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</si>
  <si>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</si>
  <si>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</si>
  <si>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</si>
  <si>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</si>
  <si>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</si>
  <si>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</si>
  <si>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</si>
  <si>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</si>
  <si>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</si>
  <si>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</si>
  <si>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</si>
  <si>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</si>
  <si>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</si>
  <si>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</si>
  <si>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</si>
  <si>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</si>
  <si>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</si>
  <si>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</si>
  <si>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</si>
  <si>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</si>
  <si>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</si>
  <si>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</si>
  <si>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</si>
  <si>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</si>
  <si>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</si>
  <si>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</si>
  <si>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</si>
  <si>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</si>
  <si>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</si>
  <si>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</si>
  <si>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</si>
  <si>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</si>
  <si>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</si>
  <si>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</si>
  <si>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</si>
  <si>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</si>
  <si>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</si>
  <si>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</si>
  <si>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</si>
  <si>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</si>
  <si>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</si>
  <si>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</si>
  <si>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</si>
  <si>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</si>
  <si>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</si>
  <si>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</si>
  <si>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</si>
  <si>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</si>
  <si>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</si>
  <si>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</si>
  <si>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</si>
  <si>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</si>
  <si>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</si>
  <si>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</si>
  <si>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</si>
  <si>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</si>
  <si>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</si>
  <si>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</si>
  <si>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</si>
  <si>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</si>
  <si>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</si>
  <si>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</si>
  <si>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</si>
  <si>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</si>
  <si>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</si>
  <si>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</si>
  <si>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</si>
  <si>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</si>
  <si>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</si>
  <si>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</si>
  <si>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</si>
  <si>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</si>
  <si>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</si>
  <si>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</si>
  <si>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</si>
  <si>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</si>
  <si>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</si>
  <si>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</si>
  <si>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</si>
  <si>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</si>
  <si>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</si>
  <si>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</si>
  <si>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</si>
  <si>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</si>
  <si>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</si>
  <si>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</si>
  <si>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</si>
  <si>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</si>
  <si>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</si>
  <si>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</si>
  <si>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</si>
  <si>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</si>
  <si>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</si>
  <si>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</si>
  <si>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</si>
  <si>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</si>
  <si>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</si>
  <si>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</si>
  <si>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</si>
  <si>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</si>
  <si>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</si>
  <si>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</si>
  <si>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</si>
  <si>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</si>
  <si>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</si>
  <si>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</si>
  <si>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</si>
  <si>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</si>
  <si>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</si>
  <si>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</si>
  <si>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</si>
  <si>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</si>
  <si>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</si>
  <si>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</si>
  <si>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</si>
  <si>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</si>
  <si>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</si>
  <si>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</si>
  <si>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</si>
  <si>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</si>
  <si>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</si>
  <si>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</si>
  <si>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</si>
  <si>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</si>
  <si>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</si>
  <si>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</si>
  <si>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</si>
  <si>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</si>
  <si>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</si>
  <si>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</si>
  <si>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</si>
  <si>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</si>
  <si>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</si>
  <si>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</si>
  <si>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</si>
  <si>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</si>
  <si>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</si>
  <si>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</si>
  <si>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</si>
  <si>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</si>
  <si>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</si>
  <si>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</si>
  <si>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</si>
  <si>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</si>
  <si>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</si>
  <si>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</si>
  <si>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</si>
  <si>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</si>
  <si>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</si>
  <si>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</si>
  <si>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</si>
  <si>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</si>
  <si>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</si>
  <si>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</si>
  <si>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</si>
  <si>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</si>
  <si>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</si>
  <si>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</si>
  <si>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</si>
  <si>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</si>
  <si>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</si>
  <si>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</si>
  <si>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</si>
  <si>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</si>
  <si>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</si>
  <si>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</si>
  <si>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</si>
  <si>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</si>
  <si>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</si>
  <si>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</si>
  <si>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</si>
  <si>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</si>
  <si>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</si>
  <si>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</si>
  <si>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</si>
  <si>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</si>
  <si>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</si>
  <si>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</si>
  <si>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</si>
  <si>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</si>
  <si>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</si>
  <si>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</si>
  <si>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</si>
  <si>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</si>
  <si>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</si>
  <si>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</si>
  <si>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</si>
  <si>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</si>
  <si>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</si>
  <si>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</si>
  <si>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</si>
  <si>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</si>
  <si>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</si>
  <si>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</si>
  <si>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</si>
  <si>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</si>
  <si>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</si>
  <si>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</si>
  <si>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</si>
  <si>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</si>
  <si>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</si>
  <si>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</si>
  <si>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</si>
  <si>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</si>
  <si>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</si>
  <si>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</si>
  <si>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</si>
  <si>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</si>
  <si>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住宅用房</t>
  </si>
  <si>
    <t>土地比较法-住宅、综合</t>
  </si>
  <si>
    <r>
      <rPr>
        <b/>
        <sz val="11"/>
        <rFont val="宋体"/>
        <family val="3"/>
        <charset val="134"/>
      </rPr>
      <t>估价对象</t>
    </r>
    <r>
      <rPr>
        <b/>
        <sz val="11"/>
        <color indexed="10"/>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</si>
  <si>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地下车库用房</t>
  </si>
  <si>
    <t>地上</t>
  </si>
  <si>
    <t>住宅</t>
  </si>
  <si>
    <t>地下</t>
  </si>
  <si>
    <t>车库</t>
  </si>
  <si>
    <t>是</t>
  </si>
  <si>
    <t>工程进度</t>
  </si>
  <si>
    <t>郑燚</t>
  </si>
  <si>
    <t>崔锴</t>
  </si>
  <si>
    <t>抵押</t>
  </si>
  <si>
    <t>房地产抵押价值</t>
  </si>
  <si>
    <t>其他：</t>
  </si>
  <si>
    <t>企业</t>
  </si>
  <si>
    <t>出让</t>
  </si>
  <si>
    <t>《测绘报告》</t>
    <phoneticPr fontId="6" type="noConversion"/>
  </si>
  <si>
    <t>《国有土地使用证》</t>
    <phoneticPr fontId="6" type="noConversion"/>
  </si>
  <si>
    <t>复印件</t>
  </si>
  <si>
    <t>居住项目</t>
  </si>
  <si>
    <t>无</t>
  </si>
  <si>
    <t>否</t>
  </si>
  <si>
    <t>在建</t>
  </si>
  <si>
    <t>通路</t>
  </si>
  <si>
    <t>通电</t>
  </si>
  <si>
    <t>通讯</t>
  </si>
  <si>
    <t>通上水</t>
  </si>
  <si>
    <t>通下水</t>
  </si>
  <si>
    <t>燃气</t>
  </si>
  <si>
    <t>平整</t>
  </si>
  <si>
    <t>未包含在土地购买价格中</t>
  </si>
  <si>
    <t>已包含在土地取得成本中</t>
  </si>
  <si>
    <t>全部缴纳</t>
  </si>
  <si>
    <t>已全部缴纳</t>
  </si>
  <si>
    <t>项目全部</t>
  </si>
  <si>
    <t>成本法</t>
  </si>
  <si>
    <t>假设开发法</t>
  </si>
  <si>
    <t>成本比率</t>
  </si>
  <si>
    <t>地下住宅用房</t>
  </si>
  <si>
    <t>收益法</t>
    <phoneticPr fontId="16" type="noConversion"/>
  </si>
  <si>
    <t>预测报告</t>
  </si>
  <si>
    <t>比较法</t>
    <phoneticPr fontId="16" type="noConversion"/>
  </si>
  <si>
    <t>分期</t>
  </si>
  <si>
    <t>类型</t>
  </si>
  <si>
    <t>栋号</t>
  </si>
  <si>
    <t>单元</t>
  </si>
  <si>
    <t>房号</t>
  </si>
  <si>
    <t>销售状态</t>
  </si>
  <si>
    <t>预测面积</t>
  </si>
  <si>
    <t>地上住宅建筑面积</t>
    <phoneticPr fontId="3" type="noConversion"/>
  </si>
  <si>
    <t>地上阁楼面积</t>
    <phoneticPr fontId="3" type="noConversion"/>
  </si>
  <si>
    <t>地下建筑面积</t>
    <phoneticPr fontId="3" type="noConversion"/>
  </si>
  <si>
    <t>地下设备</t>
    <phoneticPr fontId="3" type="noConversion"/>
  </si>
  <si>
    <t>地下配套</t>
    <phoneticPr fontId="3" type="noConversion"/>
  </si>
  <si>
    <t>预售证</t>
    <phoneticPr fontId="3" type="noConversion"/>
  </si>
  <si>
    <t>小高层</t>
  </si>
  <si>
    <t>未售</t>
  </si>
  <si>
    <t>已售</t>
  </si>
  <si>
    <t>销控表</t>
    <phoneticPr fontId="3" type="noConversion"/>
  </si>
  <si>
    <t>小高层</t>
    <phoneticPr fontId="3" type="noConversion"/>
  </si>
  <si>
    <t>洋房</t>
    <phoneticPr fontId="3" type="noConversion"/>
  </si>
  <si>
    <t>洋房</t>
  </si>
  <si>
    <t>合院</t>
  </si>
  <si>
    <t>高层含地下</t>
  </si>
  <si>
    <t>高层含地下</t>
    <phoneticPr fontId="16" type="noConversion"/>
  </si>
  <si>
    <t>地下车库用房</t>
    <phoneticPr fontId="16" type="noConversion"/>
  </si>
  <si>
    <t>合院</t>
    <phoneticPr fontId="16" type="noConversion"/>
  </si>
  <si>
    <t>安徽省</t>
    <phoneticPr fontId="6" type="noConversion"/>
  </si>
  <si>
    <t>住宅</t>
    <phoneticPr fontId="6" type="noConversion"/>
  </si>
  <si>
    <t>——</t>
    <phoneticPr fontId="3" type="noConversion"/>
  </si>
  <si>
    <t>住宅用房其他面积</t>
  </si>
  <si>
    <r>
      <t>38#</t>
    </r>
    <r>
      <rPr>
        <sz val="10"/>
        <rFont val="宋体"/>
        <family val="3"/>
        <charset val="134"/>
      </rPr>
      <t>配电房</t>
    </r>
    <phoneticPr fontId="3" type="noConversion"/>
  </si>
  <si>
    <r>
      <t>34#</t>
    </r>
    <r>
      <rPr>
        <sz val="10"/>
        <rFont val="宋体"/>
        <family val="3"/>
        <charset val="134"/>
      </rPr>
      <t>（幼儿园）</t>
    </r>
    <phoneticPr fontId="3" type="noConversion"/>
  </si>
  <si>
    <r>
      <t>33#</t>
    </r>
    <r>
      <rPr>
        <sz val="10"/>
        <rFont val="宋体"/>
        <family val="3"/>
        <charset val="134"/>
      </rPr>
      <t>（配套用房）</t>
    </r>
    <phoneticPr fontId="3" type="noConversion"/>
  </si>
  <si>
    <t>合计</t>
    <phoneticPr fontId="143" type="noConversion"/>
  </si>
  <si>
    <t>高层不含</t>
  </si>
  <si>
    <t>高层不含</t>
    <phoneticPr fontId="16" type="noConversion"/>
  </si>
  <si>
    <t>高层含阁楼</t>
  </si>
  <si>
    <t>高层含阁楼</t>
    <phoneticPr fontId="16" type="noConversion"/>
  </si>
  <si>
    <t>城市主干道-合淮路</t>
    <phoneticPr fontId="25" type="noConversion"/>
  </si>
  <si>
    <t>较一致</t>
  </si>
  <si>
    <t>较一致</t>
    <phoneticPr fontId="25" type="noConversion"/>
  </si>
  <si>
    <t>单面临街</t>
  </si>
  <si>
    <t>区域自然环境及人文环境好；周边有合肥半岛花博园、大房郢水库、合肥经济技术职业学院等，综合评价环境状况好</t>
    <phoneticPr fontId="41" type="noConversion"/>
  </si>
  <si>
    <t>估价对象所在区域基础设施水平较好</t>
  </si>
  <si>
    <t>估价对象所在区域基础设施水平较好</t>
    <phoneticPr fontId="25" type="noConversion"/>
  </si>
  <si>
    <t>估价对象所在区域公共配套设施齐备情况一般</t>
  </si>
  <si>
    <t>估价对象所在区域公共配套设施齐备情况一般</t>
    <phoneticPr fontId="41" type="noConversion"/>
  </si>
  <si>
    <t>估价对象周边居住用地比例较好、居住小区规模和社区发展完善程度较好，周边有碧桂园时代倾城、江山庐州印等，综合评价居住社区成熟度较好</t>
    <phoneticPr fontId="41" type="noConversion"/>
  </si>
  <si>
    <t>——</t>
    <phoneticPr fontId="25"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</si>
  <si>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</si>
  <si>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商业繁华度</t>
  </si>
  <si>
    <t>——</t>
    <phoneticPr fontId="31" type="noConversion"/>
  </si>
  <si>
    <t>办公集聚程度</t>
  </si>
  <si>
    <t>较好</t>
  </si>
  <si>
    <t>好</t>
  </si>
  <si>
    <t>一般</t>
  </si>
  <si>
    <t>六通</t>
  </si>
  <si>
    <t>城市主干道</t>
  </si>
  <si>
    <t>合淮路</t>
  </si>
  <si>
    <t>合淮路</t>
    <phoneticPr fontId="31" type="noConversion"/>
  </si>
  <si>
    <t>住宅</t>
    <phoneticPr fontId="31" type="noConversion"/>
  </si>
  <si>
    <t>城市主干道</t>
    <phoneticPr fontId="31" type="noConversion"/>
  </si>
  <si>
    <t>城市次干道</t>
    <phoneticPr fontId="31" type="noConversion"/>
  </si>
  <si>
    <t>城市支路</t>
    <phoneticPr fontId="31" type="noConversion"/>
  </si>
  <si>
    <t>较规则</t>
  </si>
  <si>
    <t>较规则</t>
    <phoneticPr fontId="31" type="noConversion"/>
  </si>
  <si>
    <t>较好</t>
    <phoneticPr fontId="31" type="noConversion"/>
  </si>
  <si>
    <t>七通</t>
  </si>
  <si>
    <t>五通</t>
  </si>
  <si>
    <t>四通</t>
  </si>
  <si>
    <t>三通</t>
  </si>
  <si>
    <t>合肥院子</t>
    <phoneticPr fontId="3" type="noConversion"/>
  </si>
  <si>
    <t>70</t>
    <phoneticPr fontId="31" type="noConversion"/>
  </si>
  <si>
    <t>建筑面积</t>
    <phoneticPr fontId="143" type="noConversion"/>
  </si>
  <si>
    <t>工程进度</t>
    <phoneticPr fontId="143" type="noConversion"/>
  </si>
  <si>
    <t>1#-11</t>
  </si>
  <si>
    <t>2#-11</t>
  </si>
  <si>
    <t>3#-11</t>
  </si>
  <si>
    <t>4#-11</t>
  </si>
  <si>
    <t>5#-11</t>
  </si>
  <si>
    <t>6#-11</t>
  </si>
  <si>
    <t>7#-11</t>
  </si>
  <si>
    <t>8#-11</t>
  </si>
  <si>
    <t>9#-11</t>
  </si>
  <si>
    <t>10#-11</t>
  </si>
  <si>
    <t>11#-11</t>
  </si>
  <si>
    <t>12#-11</t>
  </si>
  <si>
    <t>13#-7</t>
  </si>
  <si>
    <t>14#-8</t>
  </si>
  <si>
    <t>15#-11</t>
  </si>
  <si>
    <t>16#-6</t>
  </si>
  <si>
    <t>17#-7</t>
  </si>
  <si>
    <t>18#-11</t>
  </si>
  <si>
    <t>19#-6</t>
  </si>
  <si>
    <t>20#-6</t>
  </si>
  <si>
    <t>21#-11</t>
  </si>
  <si>
    <t>22#-3</t>
  </si>
  <si>
    <t>23#-3</t>
  </si>
  <si>
    <t>24#-3</t>
  </si>
  <si>
    <t>25#-3</t>
  </si>
  <si>
    <t>26#-3</t>
  </si>
  <si>
    <t>27#-3</t>
  </si>
  <si>
    <t>28#-3</t>
  </si>
  <si>
    <t>29#-3</t>
  </si>
  <si>
    <t>30#-3</t>
  </si>
  <si>
    <t>31#-3</t>
  </si>
  <si>
    <t>32#-3</t>
  </si>
  <si>
    <r>
      <t>33#</t>
    </r>
    <r>
      <rPr>
        <sz val="11"/>
        <rFont val="宋体"/>
        <family val="3"/>
        <charset val="134"/>
      </rPr>
      <t>（配套用房）</t>
    </r>
    <r>
      <rPr>
        <sz val="11"/>
        <rFont val="Arial"/>
        <family val="2"/>
      </rPr>
      <t>-3</t>
    </r>
  </si>
  <si>
    <r>
      <t>34#</t>
    </r>
    <r>
      <rPr>
        <sz val="11"/>
        <rFont val="宋体"/>
        <family val="3"/>
        <charset val="134"/>
      </rPr>
      <t>（幼儿园）</t>
    </r>
    <r>
      <rPr>
        <sz val="11"/>
        <rFont val="Arial"/>
        <family val="2"/>
      </rPr>
      <t>-4</t>
    </r>
  </si>
  <si>
    <r>
      <t>38#</t>
    </r>
    <r>
      <rPr>
        <sz val="11"/>
        <rFont val="宋体"/>
        <family val="3"/>
        <charset val="134"/>
      </rPr>
      <t>配电房</t>
    </r>
    <r>
      <rPr>
        <sz val="11"/>
        <rFont val="Arial"/>
        <family val="2"/>
      </rPr>
      <t>-2</t>
    </r>
  </si>
  <si>
    <t>地基完成</t>
    <phoneticPr fontId="143" type="noConversion"/>
  </si>
  <si>
    <t>已完工</t>
    <phoneticPr fontId="143" type="noConversion"/>
  </si>
  <si>
    <t>二期1层未封顶</t>
    <phoneticPr fontId="143" type="noConversion"/>
  </si>
  <si>
    <t>系数</t>
    <phoneticPr fontId="143" type="noConversion"/>
  </si>
  <si>
    <t>封顶二次结构完成</t>
    <phoneticPr fontId="143" type="noConversion"/>
  </si>
  <si>
    <t>封顶二次结构完成正在外装</t>
    <phoneticPr fontId="143" type="noConversion"/>
  </si>
  <si>
    <t>未建</t>
    <phoneticPr fontId="143" type="noConversion"/>
  </si>
  <si>
    <t>封顶正在进行二次结构</t>
    <phoneticPr fontId="143" type="noConversion"/>
  </si>
  <si>
    <t>六层施工</t>
    <phoneticPr fontId="143" type="noConversion"/>
  </si>
  <si>
    <t>五层施工</t>
    <phoneticPr fontId="143" type="noConversion"/>
  </si>
  <si>
    <t>一层施工</t>
    <phoneticPr fontId="143" type="noConversion"/>
  </si>
  <si>
    <t>地基完成</t>
    <phoneticPr fontId="143" type="noConversion"/>
  </si>
  <si>
    <t>一层施工</t>
    <phoneticPr fontId="143" type="noConversion"/>
  </si>
  <si>
    <t>正负零</t>
    <phoneticPr fontId="143" type="noConversion"/>
  </si>
  <si>
    <t>综合工程进度</t>
    <phoneticPr fontId="143" type="noConversion"/>
  </si>
  <si>
    <t>地块名称</t>
  </si>
  <si>
    <t>城市</t>
  </si>
  <si>
    <t>用地性质</t>
  </si>
  <si>
    <t>区县</t>
  </si>
  <si>
    <t>出让方式</t>
  </si>
  <si>
    <t>建设用地面积(㎡)</t>
  </si>
  <si>
    <t>容积率</t>
  </si>
  <si>
    <t>成交日期</t>
  </si>
  <si>
    <t>成交每亩价(万元/亩)</t>
  </si>
  <si>
    <t>成交楼面价(元/㎡)</t>
  </si>
  <si>
    <t>溢价率</t>
  </si>
  <si>
    <t>庐阳区迎松路以南,含笑路以东</t>
  </si>
  <si>
    <t>合肥市</t>
  </si>
  <si>
    <t>住宅用地</t>
  </si>
  <si>
    <t>庐阳区</t>
  </si>
  <si>
    <t>挂牌</t>
  </si>
  <si>
    <t>≥1,≤2</t>
  </si>
  <si>
    <t>2018-06-15</t>
  </si>
  <si>
    <t>北二环路蒙城北路交口西北角</t>
  </si>
  <si>
    <t>综合用地(含住宅)</t>
  </si>
  <si>
    <t>j地块:r≤2.5,k地块:r≤2.8,l地块:r≤3.0</t>
  </si>
  <si>
    <t>2018-04-12</t>
  </si>
  <si>
    <t>合淮路以东、文广路以北</t>
  </si>
  <si>
    <t>拍卖</t>
  </si>
  <si>
    <t>d≤2.0;e≤2.2;f≤1.8</t>
  </si>
  <si>
    <t>2018-01-31</t>
  </si>
  <si>
    <t>合淮路以东、枣园路以南</t>
  </si>
  <si>
    <t>a、c地块≤1.8;b地块≤2.2</t>
  </si>
  <si>
    <t>丽水路以东、耀远路以南</t>
  </si>
  <si>
    <t>≤1.8</t>
  </si>
  <si>
    <t>2017-12-15</t>
  </si>
  <si>
    <t>柏景湾小区以西</t>
  </si>
  <si>
    <t>≤3.5</t>
  </si>
  <si>
    <t>2017-12-13</t>
  </si>
  <si>
    <t>庐阳区凤台路以南、义井路以东</t>
  </si>
  <si>
    <t>≤3.0</t>
  </si>
  <si>
    <t>2017-06-26</t>
  </si>
  <si>
    <t>庐阳区阜阳北路以西、连水路以北</t>
  </si>
  <si>
    <t>≤2.5</t>
  </si>
  <si>
    <t>2017-02-27</t>
  </si>
  <si>
    <t>庐阳区规划固镇路以南、规划大房郢路以东</t>
  </si>
  <si>
    <t>≤2.4</t>
  </si>
  <si>
    <t>2016-12-16</t>
  </si>
  <si>
    <t>庐阳区规划二路以南、规划大房郢路以东</t>
  </si>
  <si>
    <t>≤2.2</t>
  </si>
  <si>
    <t>庐阳区蒙城北路以东、天水路以北</t>
  </si>
  <si>
    <t>庐阳区五河路以北、双岗小学西侧</t>
  </si>
  <si>
    <t>2016-11-30</t>
  </si>
  <si>
    <t>庐阳区合淮路以西、合肥市第十九中学以南</t>
  </si>
  <si>
    <t>＞1且≤1.5</t>
  </si>
  <si>
    <t>2016-09-23</t>
  </si>
  <si>
    <t>庐阳区阜阳北路以西、龙潭桥路以南</t>
  </si>
  <si>
    <t>≤2.8</t>
  </si>
  <si>
    <t>庐阳区界首路以东、茨河路以北</t>
  </si>
  <si>
    <t>≤2.0</t>
  </si>
  <si>
    <t>合肥市阜阳北路与涡阳路交口西南角</t>
  </si>
  <si>
    <t>2016-08-24</t>
  </si>
  <si>
    <t>庐阳区肥西路以西,北一环路以南</t>
  </si>
  <si>
    <t>＞1且≤2.3</t>
  </si>
  <si>
    <t>2016-07-29</t>
  </si>
  <si>
    <t>庐阳区怀宁北路以西、固镇路以南</t>
  </si>
  <si>
    <t>a地块＞1且≤1.85、b地块＞1且≤2.1</t>
  </si>
  <si>
    <t>2016-06-29</t>
  </si>
  <si>
    <t>庐阳区蒙城北路以东、汲桥路以南</t>
  </si>
  <si>
    <t>2016-05-30</t>
  </si>
  <si>
    <t>庐阳区北二环路以南,怀宁路以西</t>
  </si>
  <si>
    <t>详见合规设[2015]210号</t>
  </si>
  <si>
    <t>2015-12-22</t>
  </si>
  <si>
    <t>庐阳区四里河路以南、迎春路以西</t>
  </si>
  <si>
    <t>商业≤3.0,住宅1.0＜r≤2.45</t>
  </si>
  <si>
    <t>2015-11-13</t>
  </si>
  <si>
    <t>庐阳区蒙城北路以东、凌湖路以北</t>
  </si>
  <si>
    <t>＞1,≤2.3</t>
  </si>
  <si>
    <t>2015-07-28</t>
  </si>
  <si>
    <t>庐阳区蒙城北路以东、北一环以南</t>
  </si>
  <si>
    <t>2015-06-09</t>
  </si>
  <si>
    <t>庐阳区亳州路以东、沿河路以北</t>
  </si>
  <si>
    <t>庐阳区蒙城北路以东、耀远路以南</t>
  </si>
  <si>
    <t>大于1并且小于或等于2.3</t>
  </si>
  <si>
    <t>2014-12-26</t>
  </si>
  <si>
    <t>庐阳区蒙城北路以东、荷塘路以南</t>
  </si>
  <si>
    <t>≤2.4,且＞1.0</t>
  </si>
  <si>
    <t>2014-12-03</t>
  </si>
  <si>
    <t>庐阳区潜山路以南,四里河路以西</t>
  </si>
  <si>
    <t>＞1、≤2.8</t>
  </si>
  <si>
    <t>2014-09-19</t>
  </si>
  <si>
    <t>庐阳区安庆路以南、花园街以西</t>
  </si>
  <si>
    <t>≤3.2</t>
  </si>
  <si>
    <t>2014-05-28</t>
  </si>
  <si>
    <t>庐阳区四里河路以东、清源路以北</t>
  </si>
  <si>
    <t>1.0*＜且≤2.5</t>
  </si>
  <si>
    <t>2014-03-21</t>
  </si>
  <si>
    <t>庐阳区蒙城路以东、恒盛花园以南</t>
  </si>
  <si>
    <t>1.0＜且≤2.5</t>
  </si>
  <si>
    <t>2014-01-09</t>
  </si>
  <si>
    <t>庐阳区固镇路以南、义井路以东</t>
  </si>
  <si>
    <t>2013-11-29</t>
  </si>
  <si>
    <t>庐阳区宿州路以北、五河支路以东</t>
  </si>
  <si>
    <t>1.0*＜且≤*4.7</t>
  </si>
  <si>
    <t>2013-09-26</t>
  </si>
  <si>
    <t>庐阳区阜阳北路以西,涡阳路以北</t>
  </si>
  <si>
    <t>2013-08-08</t>
  </si>
  <si>
    <t>庐阳区北二环路以北、八公山路以西</t>
  </si>
  <si>
    <t>1.0＜且≤2.8</t>
  </si>
  <si>
    <t>2013-04-27</t>
  </si>
  <si>
    <t>庐阳区阜阳北路以东、耀远路以南</t>
  </si>
  <si>
    <t>1.0＜且≤2.6</t>
  </si>
  <si>
    <t>庐阳区亳州路以东、柏景湾小学以南</t>
  </si>
  <si>
    <t>1.0＜且≤4.0</t>
  </si>
  <si>
    <t>庐阳区阜阳北路以东,北二环路以南</t>
  </si>
  <si>
    <t>≤3.7</t>
  </si>
  <si>
    <t>2013-01-31</t>
  </si>
  <si>
    <t>庐阳区义井路与茨河路交口西南角</t>
  </si>
  <si>
    <t>1.0＜且≤3.0</t>
  </si>
  <si>
    <t>2012-09-27</t>
  </si>
  <si>
    <t>庐阳区义井路与固镇路交口西南角</t>
  </si>
  <si>
    <t>2012-09-19</t>
  </si>
  <si>
    <t>庐阳区北二环与四里河路交口</t>
  </si>
  <si>
    <t>2012-09-06</t>
  </si>
  <si>
    <t>1.0＜且≤2.75</t>
  </si>
  <si>
    <t>庐阳区阜阳路以东、淮北路以北</t>
  </si>
  <si>
    <t>1.0＜且≤3.5</t>
  </si>
  <si>
    <t>庐阳区界首路以西、万通路以北</t>
  </si>
  <si>
    <t>2012-06-29</t>
  </si>
  <si>
    <t>庐阳区龙灯路东侧</t>
  </si>
  <si>
    <t>居住1＜且≤6.0</t>
  </si>
  <si>
    <t>2012-04-12</t>
  </si>
  <si>
    <t>庐阳工业区蒙城北路与汲桥路交口东北角</t>
  </si>
  <si>
    <t>2011-07-27</t>
  </si>
  <si>
    <t>庐阳区临泉路北、义井路西地块</t>
  </si>
  <si>
    <t>≤2.8,且＞1.0</t>
  </si>
  <si>
    <t>2011-01-20</t>
  </si>
  <si>
    <t>庐阳区临泉路与阜阳北路交口东北侧地块</t>
  </si>
  <si>
    <t>≤4.5</t>
  </si>
  <si>
    <t>2010-12-31</t>
  </si>
  <si>
    <t>北一环路以北、界首路以东地块</t>
  </si>
  <si>
    <t>2010-11-10</t>
  </si>
  <si>
    <t>蒙城路与连水路交口东南角地块</t>
  </si>
  <si>
    <t>2010-08-27</t>
  </si>
  <si>
    <t>A</t>
    <phoneticPr fontId="143" type="noConversion"/>
  </si>
  <si>
    <t>B</t>
    <phoneticPr fontId="143" type="noConversion"/>
  </si>
  <si>
    <t>C</t>
    <phoneticPr fontId="143" type="noConversion"/>
  </si>
  <si>
    <t>楼号及楼层</t>
    <phoneticPr fontId="143" type="noConversion"/>
  </si>
  <si>
    <t>估价对象周边道路状况较好、公共交通通达情况较好、停车便捷程度较好，周边有143、300路等公交线路，综合评价交通便捷度较好</t>
  </si>
  <si>
    <t>正常</t>
  </si>
  <si>
    <t>估价对象周边居住用地比例较好、居住小区规模和社区发展完善程度较好，周边有绿城雅苑、合肥院子等，综合评价居住社区成熟度较好</t>
  </si>
  <si>
    <t>估价对象周边居住用地比例较好、居住小区规模和社区发展完善程度较好，周边有绿城雅苑、合肥院子等，综合评价居住社区成熟度较好</t>
    <phoneticPr fontId="31" type="noConversion"/>
  </si>
  <si>
    <t>区域自然环境及人文环境较好；周边有大房郢水库等，综合评价环境状况较好</t>
  </si>
  <si>
    <t>区域自然环境及人文环境较好；周边有大房郢水库等，综合评价环境状况较好</t>
    <phoneticPr fontId="31" type="noConversion"/>
  </si>
  <si>
    <t>阜阳北路</t>
    <phoneticPr fontId="31" type="noConversion"/>
  </si>
  <si>
    <t>区域自然环境及人文环境较好；周边有竹园、松园等，综合评价环境状况较好</t>
  </si>
  <si>
    <t>区域自然环境及人文环境较好；周边有竹园、松园等，综合评价环境状况较好</t>
    <phoneticPr fontId="31" type="noConversion"/>
  </si>
  <si>
    <t>估价对象周边居住用地比例一般、居住小区规模和社区发展完善程度一般，周边有宝宸时代花园等，综合评价居住社区成熟度一般</t>
  </si>
  <si>
    <t>估价对象周边居住用地比例一般、居住小区规模和社区发展完善程度一般，周边有宝宸时代花园等，综合评价居住社区成熟度一般</t>
    <phoneticPr fontId="31" type="noConversion"/>
  </si>
  <si>
    <t>在建（套用方法）</t>
  </si>
  <si>
    <t>押一</t>
  </si>
  <si>
    <t>按租金收入计税</t>
  </si>
  <si>
    <t>钢混</t>
  </si>
  <si>
    <t>非生产用房</t>
  </si>
  <si>
    <t>收益法</t>
  </si>
  <si>
    <t>住宅</t>
    <phoneticPr fontId="25" type="noConversion"/>
  </si>
  <si>
    <t>——</t>
    <phoneticPr fontId="25" type="noConversion"/>
  </si>
  <si>
    <t>——</t>
    <phoneticPr fontId="25" type="noConversion"/>
  </si>
  <si>
    <t>钢混</t>
    <phoneticPr fontId="25" type="noConversion"/>
  </si>
  <si>
    <t>高档</t>
  </si>
  <si>
    <t>高档</t>
    <phoneticPr fontId="25" type="noConversion"/>
  </si>
  <si>
    <t>精装修</t>
  </si>
  <si>
    <t>精装修</t>
    <phoneticPr fontId="25" type="noConversion"/>
  </si>
  <si>
    <t>专业物业管理</t>
  </si>
  <si>
    <t>专业物业管理</t>
    <phoneticPr fontId="25" type="noConversion"/>
  </si>
  <si>
    <t>毛坯</t>
  </si>
  <si>
    <t>毛坯</t>
    <phoneticPr fontId="25" type="noConversion"/>
  </si>
  <si>
    <t>普通装修</t>
    <phoneticPr fontId="25" type="noConversion"/>
  </si>
  <si>
    <t>简单装修</t>
    <phoneticPr fontId="25" type="noConversion"/>
  </si>
  <si>
    <t>60-70（含）</t>
  </si>
  <si>
    <t>合肥院子</t>
    <phoneticPr fontId="3" type="noConversion"/>
  </si>
  <si>
    <t>高层</t>
  </si>
  <si>
    <t>高层</t>
    <phoneticPr fontId="25" type="noConversion"/>
  </si>
  <si>
    <t>小高层、洋房</t>
  </si>
  <si>
    <t>江山·庐州印</t>
    <phoneticPr fontId="3" type="noConversion"/>
  </si>
  <si>
    <t>碧桂园·时代倾城</t>
    <phoneticPr fontId="3" type="noConversion"/>
  </si>
  <si>
    <t>碧桂园</t>
    <phoneticPr fontId="25" type="noConversion"/>
  </si>
  <si>
    <t>旭辉</t>
    <phoneticPr fontId="25" type="noConversion"/>
  </si>
  <si>
    <t>泰禾</t>
    <phoneticPr fontId="25" type="noConversion"/>
  </si>
  <si>
    <t>中档</t>
  </si>
  <si>
    <t>中档</t>
    <phoneticPr fontId="25" type="noConversion"/>
  </si>
  <si>
    <t>旭辉玖著</t>
    <phoneticPr fontId="3" type="noConversion"/>
  </si>
  <si>
    <t>估价对象周边道路状况较好、公共交通通达情况较好、停车便捷程度较好，周边有46、47路等公交线路，综合评价交通便捷度较好</t>
  </si>
  <si>
    <t>洋房</t>
    <phoneticPr fontId="25" type="noConversion"/>
  </si>
  <si>
    <t>小高层、洋房</t>
    <phoneticPr fontId="25" type="noConversion"/>
  </si>
  <si>
    <t>其他</t>
    <phoneticPr fontId="143" type="noConversion"/>
  </si>
  <si>
    <t>含地下</t>
    <phoneticPr fontId="143" type="noConversion"/>
  </si>
  <si>
    <t>不含</t>
    <phoneticPr fontId="143" type="noConversion"/>
  </si>
  <si>
    <t>含阁楼</t>
    <phoneticPr fontId="143" type="noConversion"/>
  </si>
  <si>
    <t>拓基·蘭宫墅</t>
    <phoneticPr fontId="3" type="noConversion"/>
  </si>
  <si>
    <t>联排</t>
  </si>
  <si>
    <t>双拼</t>
  </si>
  <si>
    <t>双拼</t>
    <phoneticPr fontId="25" type="noConversion"/>
  </si>
  <si>
    <t>联排</t>
    <phoneticPr fontId="25" type="noConversion"/>
  </si>
  <si>
    <t>叠墅</t>
  </si>
  <si>
    <t>叠墅</t>
    <phoneticPr fontId="25" type="noConversion"/>
  </si>
  <si>
    <t>铂悦·庐州府</t>
    <phoneticPr fontId="3" type="noConversion"/>
  </si>
  <si>
    <t>国贸天成</t>
    <phoneticPr fontId="3" type="noConversion"/>
  </si>
  <si>
    <t>合肥辰旭房地产开发有限公司</t>
    <phoneticPr fontId="143" type="noConversion"/>
  </si>
  <si>
    <t>合肥拓基房地产开发有限责任公司</t>
    <phoneticPr fontId="143" type="noConversion"/>
  </si>
  <si>
    <t>国贸地产</t>
    <phoneticPr fontId="143" type="noConversion"/>
  </si>
  <si>
    <t>估价对象周边居住用地比例好、居住小区规模和社区发展完善程度好，综合评价居住社区成熟度好</t>
    <phoneticPr fontId="143" type="noConversion"/>
  </si>
  <si>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143" type="noConversion"/>
  </si>
  <si>
    <t>区域自然环境及人文环境好，综合评价环境状况好</t>
    <phoneticPr fontId="143" type="noConversion"/>
  </si>
  <si>
    <t>泰禾</t>
    <phoneticPr fontId="143" type="noConversion"/>
  </si>
  <si>
    <t>安徽省文一投资控股集团庐阳置业有限公司</t>
    <phoneticPr fontId="6" type="noConversion"/>
  </si>
  <si>
    <t>庐阳区合淮路以西、市十九中学以南</t>
    <phoneticPr fontId="6" type="noConversion"/>
  </si>
  <si>
    <t>地上住宅建筑面积</t>
  </si>
  <si>
    <t>地上阁楼面积</t>
  </si>
  <si>
    <t>地下建筑面积</t>
  </si>
  <si>
    <t>序号</t>
    <phoneticPr fontId="143" type="noConversion"/>
  </si>
  <si>
    <t>合计</t>
    <phoneticPr fontId="143" type="noConversion"/>
  </si>
  <si>
    <t>估价对象周边道路状况一般、公共交通通达情况一般、停车便捷程度较好，周边有143、300路等公交线路，综合评价交通便捷度一般</t>
  </si>
  <si>
    <t>估价对象周边道路状况一般、公共交通通达情况一般、停车便捷程度较好，周边有143、300路等公交线路，综合评价交通便捷度一般</t>
    <phoneticPr fontId="41" type="noConversion"/>
  </si>
  <si>
    <r>
      <rPr>
        <sz val="11"/>
        <rFont val="宋体"/>
        <family val="3"/>
        <charset val="134"/>
      </rPr>
      <t>估价对象周边道路状况一般、公共交通通达情况一般、停车便捷程度较好，周边有</t>
    </r>
    <r>
      <rPr>
        <sz val="11"/>
        <rFont val="Arial"/>
        <family val="2"/>
      </rPr>
      <t>46</t>
    </r>
    <r>
      <rPr>
        <sz val="11"/>
        <rFont val="宋体"/>
        <family val="3"/>
        <charset val="134"/>
      </rPr>
      <t>、</t>
    </r>
    <r>
      <rPr>
        <sz val="11"/>
        <rFont val="Arial"/>
        <family val="2"/>
      </rPr>
      <t>47</t>
    </r>
    <r>
      <rPr>
        <sz val="11"/>
        <rFont val="宋体"/>
        <family val="3"/>
        <charset val="134"/>
      </rPr>
      <t>路等公交线路，综合评价交通便捷度一般</t>
    </r>
    <phoneticPr fontId="31" type="noConversion"/>
  </si>
  <si>
    <t>城市快速路</t>
  </si>
  <si>
    <t>城市快速路</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</si>
</sst>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000000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0"/>
      <name val="微软雅黑"/>
      <family val="2"/>
      <charset val="134"/>
    </font>
    <font>
      <b/>
      <sz val="10"/>
      <color theme="1"/>
      <name val="微软雅黑"/>
      <family val="2"/>
      <charset val="134"/>
    </font>
    <font>
      <sz val="9"/>
      <name val="微软雅黑"/>
      <family val="2"/>
      <charset val="134"/>
    </font>
    <font>
      <sz val="9"/>
      <color theme="1"/>
      <name val="微软雅黑"/>
      <family val="2"/>
      <charset val="134"/>
    </font>
    <font>
      <sz val="9"/>
      <color rgb="FFFF0000"/>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9" fontId="47" fillId="0" borderId="0" xfId="0" applyNumberFormat="1" applyFo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80" fillId="0" borderId="1" xfId="0" applyFont="1" applyFill="1" applyBorder="1" applyAlignment="1" applyProtection="1">
      <alignment horizontal="center" vertical="center" wrapText="1"/>
      <protection locked="0"/>
    </xf>
    <xf numFmtId="0" fontId="106" fillId="0" borderId="2" xfId="0" applyFont="1" applyFill="1" applyBorder="1" applyAlignment="1" applyProtection="1">
      <alignment horizontal="left" vertical="center" wrapText="1"/>
      <protection locked="0"/>
    </xf>
    <xf numFmtId="0" fontId="47" fillId="0" borderId="2" xfId="0" applyFont="1" applyFill="1" applyBorder="1" applyAlignment="1" applyProtection="1">
      <alignment horizontal="center" vertical="center" wrapText="1"/>
      <protection locked="0"/>
    </xf>
    <xf numFmtId="0" fontId="47" fillId="0" borderId="2" xfId="0" applyFont="1" applyFill="1" applyBorder="1" applyAlignment="1" applyProtection="1">
      <alignment horizontal="left" vertical="center" wrapText="1"/>
      <protection locked="0"/>
    </xf>
    <xf numFmtId="0" fontId="137" fillId="0" borderId="2" xfId="0" applyFont="1" applyFill="1" applyBorder="1" applyAlignment="1" applyProtection="1">
      <alignment horizontal="center" vertical="center" wrapText="1"/>
      <protection locked="0"/>
    </xf>
    <xf numFmtId="0" fontId="137" fillId="0" borderId="2" xfId="0" applyFont="1" applyFill="1" applyBorder="1" applyAlignment="1" applyProtection="1">
      <alignment horizontal="left" vertical="center" wrapText="1"/>
      <protection locked="0"/>
    </xf>
    <xf numFmtId="0" fontId="47" fillId="0"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0" fontId="56" fillId="0" borderId="1" xfId="0" applyFont="1" applyFill="1" applyBorder="1" applyAlignment="1" applyProtection="1">
      <alignment horizontal="left" vertical="center" wrapText="1"/>
      <protection locked="0"/>
    </xf>
    <xf numFmtId="0" fontId="255" fillId="5" borderId="1" xfId="0" applyFont="1" applyFill="1" applyBorder="1" applyAlignment="1">
      <alignment horizontal="center" vertical="center" wrapText="1"/>
    </xf>
    <xf numFmtId="186" fontId="255" fillId="5" borderId="1" xfId="0" applyNumberFormat="1" applyFont="1" applyFill="1" applyBorder="1" applyAlignment="1">
      <alignment horizontal="center" vertical="center"/>
    </xf>
    <xf numFmtId="0" fontId="256" fillId="5" borderId="1" xfId="0" applyFont="1" applyFill="1" applyBorder="1" applyAlignment="1">
      <alignment horizontal="center" vertical="center"/>
    </xf>
    <xf numFmtId="0" fontId="257" fillId="17" borderId="1" xfId="0" applyFont="1" applyFill="1" applyBorder="1" applyAlignment="1" applyProtection="1">
      <alignment horizontal="center" vertical="center"/>
    </xf>
    <xf numFmtId="0" fontId="258" fillId="17" borderId="1" xfId="0" applyFont="1" applyFill="1" applyBorder="1" applyAlignment="1" applyProtection="1">
      <alignment horizontal="center" vertical="center" wrapText="1"/>
    </xf>
    <xf numFmtId="0" fontId="258" fillId="17" borderId="1" xfId="0" applyNumberFormat="1" applyFont="1" applyFill="1" applyBorder="1" applyAlignment="1" applyProtection="1">
      <alignment horizontal="center" vertical="center" wrapText="1"/>
    </xf>
    <xf numFmtId="0" fontId="258" fillId="0" borderId="1" xfId="0" applyFont="1" applyBorder="1" applyAlignment="1">
      <alignment horizontal="center" vertical="center"/>
    </xf>
    <xf numFmtId="0" fontId="257" fillId="5" borderId="1" xfId="0" applyFont="1" applyFill="1" applyBorder="1" applyAlignment="1" applyProtection="1">
      <alignment horizontal="center" vertical="center"/>
    </xf>
    <xf numFmtId="0" fontId="258" fillId="5" borderId="1" xfId="0" applyFont="1" applyFill="1" applyBorder="1" applyAlignment="1" applyProtection="1">
      <alignment horizontal="center" vertical="center" wrapText="1"/>
    </xf>
    <xf numFmtId="0" fontId="258" fillId="5" borderId="1" xfId="0" applyNumberFormat="1" applyFont="1" applyFill="1" applyBorder="1" applyAlignment="1" applyProtection="1">
      <alignment horizontal="center" vertical="center" wrapText="1"/>
    </xf>
    <xf numFmtId="0" fontId="258" fillId="17" borderId="15" xfId="0" applyFont="1" applyFill="1" applyBorder="1" applyAlignment="1" applyProtection="1">
      <alignment horizontal="center" vertical="center" wrapText="1"/>
    </xf>
    <xf numFmtId="0" fontId="0" fillId="0" borderId="1" xfId="0" applyBorder="1">
      <alignment vertical="center"/>
    </xf>
    <xf numFmtId="0" fontId="258" fillId="5" borderId="15" xfId="0" applyFont="1" applyFill="1" applyBorder="1" applyAlignment="1" applyProtection="1">
      <alignment horizontal="center" vertical="center" wrapText="1"/>
    </xf>
    <xf numFmtId="0" fontId="0" fillId="0" borderId="1" xfId="0" applyFill="1" applyBorder="1">
      <alignment vertical="center"/>
    </xf>
    <xf numFmtId="0" fontId="37" fillId="0" borderId="1" xfId="0" applyFont="1" applyFill="1" applyBorder="1">
      <alignment vertical="center"/>
    </xf>
    <xf numFmtId="0" fontId="259" fillId="17" borderId="1" xfId="0" applyNumberFormat="1" applyFont="1" applyFill="1" applyBorder="1" applyAlignment="1" applyProtection="1">
      <alignment horizontal="center" vertical="center" wrapText="1"/>
    </xf>
    <xf numFmtId="0" fontId="50" fillId="5" borderId="2" xfId="0" applyFont="1" applyFill="1" applyBorder="1" applyAlignment="1" applyProtection="1">
      <alignment horizontal="center" vertical="center" wrapText="1"/>
      <protection locked="0"/>
    </xf>
    <xf numFmtId="0" fontId="190"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xf>
    <xf numFmtId="0" fontId="64" fillId="7" borderId="22" xfId="0" applyFont="1" applyFill="1" applyBorder="1" applyAlignment="1" applyProtection="1">
      <alignment vertical="center"/>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0" fontId="56" fillId="0" borderId="2" xfId="0" applyFont="1" applyFill="1" applyBorder="1" applyAlignment="1" applyProtection="1">
      <alignment horizontal="left" vertical="center" wrapText="1"/>
      <protection locked="0"/>
    </xf>
    <xf numFmtId="0" fontId="99" fillId="0" borderId="0" xfId="0" applyFont="1">
      <alignment vertical="center"/>
    </xf>
    <xf numFmtId="2" fontId="0" fillId="0" borderId="0" xfId="0" applyNumberFormat="1">
      <alignment vertical="center"/>
    </xf>
    <xf numFmtId="0" fontId="99" fillId="0" borderId="0" xfId="0" applyFont="1" applyBorder="1" applyAlignment="1" applyProtection="1">
      <alignment horizontal="left" vertical="center"/>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0" fillId="0" borderId="0" xfId="17" applyNumberFormat="1" applyFont="1">
      <alignment vertical="center"/>
    </xf>
    <xf numFmtId="9" fontId="0" fillId="0" borderId="0" xfId="0" applyNumberFormat="1">
      <alignment vertical="center"/>
    </xf>
    <xf numFmtId="9" fontId="99" fillId="0" borderId="0" xfId="0" applyNumberFormat="1" applyFont="1">
      <alignment vertical="center"/>
    </xf>
    <xf numFmtId="0" fontId="60" fillId="6" borderId="13" xfId="1" applyFont="1" applyFill="1" applyBorder="1" applyAlignment="1" applyProtection="1">
      <alignment vertical="center"/>
    </xf>
    <xf numFmtId="0" fontId="60" fillId="6" borderId="2" xfId="1" applyFont="1" applyFill="1" applyBorder="1" applyAlignment="1" applyProtection="1">
      <alignment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0" fontId="0" fillId="5" borderId="0" xfId="0" applyFill="1" applyAlignment="1"/>
    <xf numFmtId="0" fontId="99" fillId="5" borderId="0" xfId="0" applyFont="1" applyFill="1">
      <alignment vertical="center"/>
    </xf>
    <xf numFmtId="0" fontId="99" fillId="0" borderId="0" xfId="0" applyFont="1" applyAlignment="1">
      <alignment horizontal="center" vertical="center"/>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97" fontId="0" fillId="0" borderId="0" xfId="0" applyNumberFormat="1">
      <alignment vertical="center"/>
    </xf>
    <xf numFmtId="0" fontId="106" fillId="5" borderId="23" xfId="0" applyFont="1" applyFill="1" applyBorder="1" applyAlignment="1" applyProtection="1">
      <alignment vertical="center"/>
      <protection locked="0"/>
    </xf>
    <xf numFmtId="10" fontId="106" fillId="5" borderId="53" xfId="0" applyNumberFormat="1" applyFont="1" applyFill="1" applyBorder="1" applyAlignment="1" applyProtection="1">
      <alignment horizontal="center" vertical="center"/>
      <protection locked="0"/>
    </xf>
    <xf numFmtId="0" fontId="106" fillId="5" borderId="23"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protection locked="0"/>
    </xf>
    <xf numFmtId="49" fontId="106" fillId="2" borderId="14" xfId="0" applyNumberFormat="1" applyFont="1" applyFill="1" applyBorder="1" applyAlignment="1" applyProtection="1">
      <alignment horizontal="center" vertical="center" wrapText="1"/>
      <protection locked="0"/>
    </xf>
    <xf numFmtId="49" fontId="106" fillId="2" borderId="35"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xf>
    <xf numFmtId="0" fontId="0" fillId="0" borderId="0" xfId="0" applyAlignment="1">
      <alignment horizontal="center"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846">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180975</xdr:colOff>
      <xdr:row>22</xdr:row>
      <xdr:rowOff>165742</xdr:rowOff>
    </xdr:to>
    <xdr:pic>
      <xdr:nvPicPr>
        <xdr:cNvPr id="2" name="图片 1" descr="C:\Documents and Settings\Administrator\Application Data\Tencent\Users\2416965547\QQ\WinTemp\RichOle\VHPV`5YQZV[%Z3O}~Y6YU~5.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81575" cy="3937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571500</xdr:colOff>
      <xdr:row>0</xdr:row>
      <xdr:rowOff>0</xdr:rowOff>
    </xdr:from>
    <xdr:to>
      <xdr:col>16</xdr:col>
      <xdr:colOff>304800</xdr:colOff>
      <xdr:row>23</xdr:row>
      <xdr:rowOff>99646</xdr:rowOff>
    </xdr:to>
    <xdr:pic>
      <xdr:nvPicPr>
        <xdr:cNvPr id="3" name="图片 2" descr="C:\Documents and Settings\Administrator\Application Data\Tencent\Users\2416965547\QQ\WinTemp\RichOle\1E$Q2FNCQ`{@)MS(HR`RO`A.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72100" y="0"/>
          <a:ext cx="5905500" cy="4042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23</xdr:row>
      <xdr:rowOff>38100</xdr:rowOff>
    </xdr:from>
    <xdr:to>
      <xdr:col>6</xdr:col>
      <xdr:colOff>666750</xdr:colOff>
      <xdr:row>53</xdr:row>
      <xdr:rowOff>38100</xdr:rowOff>
    </xdr:to>
    <xdr:pic>
      <xdr:nvPicPr>
        <xdr:cNvPr id="4" name="图片 3" descr="C:\Documents and Settings\Administrator\Application Data\Tencent\Users\2416965547\QQ\WinTemp\RichOle\VM7B~G6R0~2Q6N8RYATC7@5.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 y="3981450"/>
          <a:ext cx="4686300" cy="514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0</xdr:row>
      <xdr:rowOff>48732</xdr:rowOff>
    </xdr:from>
    <xdr:to>
      <xdr:col>11</xdr:col>
      <xdr:colOff>19050</xdr:colOff>
      <xdr:row>23</xdr:row>
      <xdr:rowOff>76200</xdr:rowOff>
    </xdr:to>
    <xdr:pic>
      <xdr:nvPicPr>
        <xdr:cNvPr id="2" name="图片 1" descr="C:\Documents and Settings\Administrator\Application Data\Tencent\Users\2416965547\QQ\WinTemp\RichOle\ELM78)G`JVVZ_QQNKI4G}PP.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48732"/>
          <a:ext cx="7324725" cy="3970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276225</xdr:colOff>
      <xdr:row>24</xdr:row>
      <xdr:rowOff>171350</xdr:rowOff>
    </xdr:from>
    <xdr:to>
      <xdr:col>10</xdr:col>
      <xdr:colOff>47625</xdr:colOff>
      <xdr:row>54</xdr:row>
      <xdr:rowOff>9525</xdr:rowOff>
    </xdr:to>
    <xdr:pic>
      <xdr:nvPicPr>
        <xdr:cNvPr id="3" name="图片 2" descr="C:\Documents and Settings\Administrator\Application Data\Tencent\Users\2416965547\QQ\WinTemp\RichOle\C)`N$OGWQ9B5XKNPRD{KYIV.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4286150"/>
          <a:ext cx="6629400" cy="498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647699</xdr:colOff>
      <xdr:row>0</xdr:row>
      <xdr:rowOff>163878</xdr:rowOff>
    </xdr:from>
    <xdr:to>
      <xdr:col>18</xdr:col>
      <xdr:colOff>485774</xdr:colOff>
      <xdr:row>21</xdr:row>
      <xdr:rowOff>76199</xdr:rowOff>
    </xdr:to>
    <xdr:pic>
      <xdr:nvPicPr>
        <xdr:cNvPr id="4" name="图片 3" descr="C:\Documents and Settings\Administrator\Application Data\Tencent\Users\2416965547\QQ\WinTemp\RichOle\WMY6DTSXFJK7HMLS4%DY7V2.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05699" y="163878"/>
          <a:ext cx="5324475" cy="3512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638174</xdr:colOff>
      <xdr:row>23</xdr:row>
      <xdr:rowOff>71035</xdr:rowOff>
    </xdr:from>
    <xdr:to>
      <xdr:col>19</xdr:col>
      <xdr:colOff>685799</xdr:colOff>
      <xdr:row>54</xdr:row>
      <xdr:rowOff>47624</xdr:rowOff>
    </xdr:to>
    <xdr:pic>
      <xdr:nvPicPr>
        <xdr:cNvPr id="5" name="图片 4" descr="C:\Documents and Settings\Administrator\Application Data\Tencent\Users\2416965547\QQ\WinTemp\RichOle\O(`CP{%RJ73Z341[CXRB[~J.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10374" y="4014385"/>
          <a:ext cx="6905625" cy="5291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276224</xdr:colOff>
      <xdr:row>1</xdr:row>
      <xdr:rowOff>61957</xdr:rowOff>
    </xdr:from>
    <xdr:to>
      <xdr:col>8</xdr:col>
      <xdr:colOff>285749</xdr:colOff>
      <xdr:row>33</xdr:row>
      <xdr:rowOff>123824</xdr:rowOff>
    </xdr:to>
    <xdr:pic>
      <xdr:nvPicPr>
        <xdr:cNvPr id="2" name="图片 1" descr="C:\Documents and Settings\Administrator\Application Data\Tencent\Users\2416965547\QQ\WinTemp\RichOle\L(FY3XW558$QPXV$UD3J{8P.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4" y="233407"/>
          <a:ext cx="5495925" cy="5548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228599</xdr:colOff>
      <xdr:row>0</xdr:row>
      <xdr:rowOff>66520</xdr:rowOff>
    </xdr:from>
    <xdr:to>
      <xdr:col>17</xdr:col>
      <xdr:colOff>428624</xdr:colOff>
      <xdr:row>15</xdr:row>
      <xdr:rowOff>114299</xdr:rowOff>
    </xdr:to>
    <xdr:pic>
      <xdr:nvPicPr>
        <xdr:cNvPr id="3" name="图片 2" descr="C:\Documents and Settings\Administrator\Application Data\Tencent\Users\2416965547\QQ\WinTemp\RichOle\F%@JIR6RX3N)AW40@9X)0D2.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4999" y="66520"/>
          <a:ext cx="6372225" cy="2619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257175</xdr:colOff>
      <xdr:row>15</xdr:row>
      <xdr:rowOff>9323</xdr:rowOff>
    </xdr:from>
    <xdr:to>
      <xdr:col>17</xdr:col>
      <xdr:colOff>200025</xdr:colOff>
      <xdr:row>27</xdr:row>
      <xdr:rowOff>9525</xdr:rowOff>
    </xdr:to>
    <xdr:pic>
      <xdr:nvPicPr>
        <xdr:cNvPr id="4" name="图片 3" descr="C:\Documents and Settings\Administrator\Application Data\Tencent\Users\2416965547\QQ\WinTemp\RichOle\7B_Z1Z4))J)[(15ZEI589]C.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43575" y="2581073"/>
          <a:ext cx="6115050" cy="20576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276225</xdr:colOff>
      <xdr:row>26</xdr:row>
      <xdr:rowOff>154542</xdr:rowOff>
    </xdr:from>
    <xdr:to>
      <xdr:col>17</xdr:col>
      <xdr:colOff>123825</xdr:colOff>
      <xdr:row>41</xdr:row>
      <xdr:rowOff>76200</xdr:rowOff>
    </xdr:to>
    <xdr:pic>
      <xdr:nvPicPr>
        <xdr:cNvPr id="5" name="图片 4" descr="C:\Documents and Settings\Administrator\Application Data\Tencent\Users\2416965547\QQ\WinTemp\RichOle\$M`{WPD274)@_}0F8K2ZOZ9.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62625" y="4612242"/>
          <a:ext cx="6019800" cy="2493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133350</xdr:rowOff>
    </xdr:from>
    <xdr:to>
      <xdr:col>7</xdr:col>
      <xdr:colOff>419101</xdr:colOff>
      <xdr:row>22</xdr:row>
      <xdr:rowOff>63940</xdr:rowOff>
    </xdr:to>
    <xdr:pic>
      <xdr:nvPicPr>
        <xdr:cNvPr id="2" name="图片 1" descr="C:\Documents and Settings\Administrator\Application Data\Tencent\Users\2416965547\QQ\WinTemp\RichOle\SB$5IKZ4~)NV9G}@LS}GVMV.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33350"/>
          <a:ext cx="5133976" cy="3702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57149</xdr:rowOff>
    </xdr:from>
    <xdr:to>
      <xdr:col>7</xdr:col>
      <xdr:colOff>483814</xdr:colOff>
      <xdr:row>43</xdr:row>
      <xdr:rowOff>142874</xdr:rowOff>
    </xdr:to>
    <xdr:pic>
      <xdr:nvPicPr>
        <xdr:cNvPr id="3" name="图片 2" descr="C:\Documents and Settings\Administrator\Application Data\Tencent\Users\2416965547\QQ\WinTemp\RichOle\R)Y%2N9I}B1[7KNL~18B6$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29049"/>
          <a:ext cx="5284414" cy="3686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266700</xdr:colOff>
      <xdr:row>0</xdr:row>
      <xdr:rowOff>123825</xdr:rowOff>
    </xdr:from>
    <xdr:to>
      <xdr:col>17</xdr:col>
      <xdr:colOff>323850</xdr:colOff>
      <xdr:row>31</xdr:row>
      <xdr:rowOff>38100</xdr:rowOff>
    </xdr:to>
    <xdr:pic>
      <xdr:nvPicPr>
        <xdr:cNvPr id="4" name="图片 3" descr="C:\Documents and Settings\Administrator\Application Data\Tencent\Users\2416965547\QQ\WinTemp\RichOle\FL611PLW0K9~6`JGOV}37R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53100" y="123825"/>
          <a:ext cx="6229350" cy="522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1211</v>
      </c>
      <c r="B1" s="1583" t="s">
        <v>1290</v>
      </c>
    </row>
    <row r="2" spans="1:2" s="1588" customFormat="1" ht="15" thickTop="1">
      <c r="A2" s="1586" t="s">
        <v>1212</v>
      </c>
      <c r="B2" s="1587" t="str">
        <f>'预评函-封皮'!B37:I37</f>
        <v>安徽省庐阳区合淮路以西、市十九中学以南出让国有建设用地使用权及在建建筑物房地产抵押价值预评估</v>
      </c>
    </row>
    <row r="3" spans="1:2" s="1591" customFormat="1">
      <c r="A3" s="1589" t="s">
        <v>1213</v>
      </c>
      <c r="B3" s="1590">
        <f>'预评函-封皮'!B40</f>
        <v>0</v>
      </c>
    </row>
    <row r="4" spans="1:2" s="1591" customFormat="1">
      <c r="A4" s="1589" t="s">
        <v>1214</v>
      </c>
      <c r="B4" s="1590" t="str">
        <f ca="1">'预评函-封皮'!B46</f>
        <v>郑燚（注册号：1120070131)、崔锴（注册号：1120100036)</v>
      </c>
    </row>
    <row r="5" spans="1:2" s="1585" customFormat="1" ht="15" thickBot="1">
      <c r="A5" s="1592" t="s">
        <v>1215</v>
      </c>
      <c r="B5" s="1593" t="str">
        <f>'预评函-封皮'!B49</f>
        <v>康正预评字号</v>
      </c>
    </row>
    <row r="6" spans="1:2" s="1588" customFormat="1" ht="15" thickTop="1">
      <c r="A6" s="1586" t="s">
        <v>1216</v>
      </c>
      <c r="B6" s="1587" t="str">
        <f>'预评函-1'!A4</f>
        <v>受贵公司委托，我公司对安徽省庐阳区合淮路以西、市十九中学以南出让国有建设用地使用权及在建建筑物房地产抵押价值进行了预评估。</v>
      </c>
    </row>
    <row r="7" spans="1:2" s="1591" customFormat="1">
      <c r="A7" s="1589" t="s">
        <v>1256</v>
      </c>
      <c r="B7" s="1590" t="str">
        <f>'预评函-1'!A7</f>
        <v>估价对象为安徽省庐阳区合淮路以西、市十九中学以南出让国有建设用地使用权及在建建筑物房地产，为所有。根据《国有土地使用证》，估价对象（分摊）出让国有建设用地使用权面积为63529.08平方米，建筑面积为167325.31平方米。</v>
      </c>
    </row>
    <row r="8" spans="1:2" s="1591" customFormat="1">
      <c r="A8" s="1589" t="s">
        <v>1257</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1258</v>
      </c>
      <c r="B9" s="1590" t="str">
        <f>'预评函-1'!A10</f>
        <v>估价对象为安徽省庐阳区合淮路以西、市十九中学以南出让国有建设用地使用权及在建建筑物房地产,为开发建设的居住项目，该项目尚在开发建设中。根据《国有土地使用证》，估价对象（分摊）出让国有建设用地使用权面积为63529.08平方米，规划建筑面积为167325.31平方米。</v>
      </c>
    </row>
    <row r="10" spans="1:2" s="1591" customFormat="1">
      <c r="A10" s="1589" t="s">
        <v>1259</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1217</v>
      </c>
      <c r="B11" s="1590" t="str">
        <f>'预评函-1'!A13</f>
        <v>安徽省文一投资控股集团庐阳置业有限公司拟使用安徽省庐阳区合淮路以西、市十九中学以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1218</v>
      </c>
      <c r="B12" s="1590" t="str">
        <f>'预评函-1'!A15</f>
        <v>2018年12月18日（评估专业人员实地查勘之日）</v>
      </c>
    </row>
    <row r="13" spans="1:2" s="1591" customFormat="1">
      <c r="A13" s="1589" t="s">
        <v>1219</v>
      </c>
      <c r="B13" s="1590" t="str">
        <f>'预评函-1'!A18</f>
        <v>本次估价的“房地产价值”是指在正常市场情况下，在价值时点2018年12月18日，估价对象规划用途为住宅，土地取得方式为出让，出让国有建设用地使用权剩余土地使用年限为，假定未设立法定优先受偿款下的房地产市场价值。</v>
      </c>
    </row>
    <row r="14" spans="1:2" s="1591" customFormat="1">
      <c r="A14" s="1589" t="s">
        <v>1220</v>
      </c>
      <c r="B14" s="1590" t="str">
        <f>'预评函-1'!A19</f>
        <v>其中，“出让国有建设用地使用权价值”是指估价对象用途为住宅，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1221</v>
      </c>
      <c r="B15" s="1590" t="str">
        <f>'预评函-1'!A20</f>
        <v>本次估价的“房地产抵押价值”是指估价对象在价值时点的“房地产价值”扣减估价师于价值时点所知悉的法定优先受偿款后的余额。</v>
      </c>
    </row>
    <row r="16" spans="1:2" s="1591" customFormat="1">
      <c r="A16" s="1589" t="s">
        <v>1222</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1223</v>
      </c>
      <c r="B17" s="1590" t="str">
        <f>'预评函-1'!A22</f>
        <v/>
      </c>
    </row>
    <row r="18" spans="1:2" s="1585" customFormat="1" ht="15" thickBot="1">
      <c r="A18" s="1592" t="s">
        <v>1224</v>
      </c>
      <c r="B18" s="1593" t="str">
        <f>'预评函-1'!A24</f>
        <v>本次评估采用的主估价方法为成本法和假设开发法。</v>
      </c>
    </row>
    <row r="19" spans="1:2" s="1588" customFormat="1" ht="15" thickTop="1">
      <c r="A19" s="1586" t="s">
        <v>1225</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1226</v>
      </c>
      <c r="B20" s="1590">
        <f ca="1">'预评函-2'!D5</f>
        <v>203561</v>
      </c>
    </row>
    <row r="21" spans="1:2" s="1591" customFormat="1">
      <c r="A21" s="1589" t="s">
        <v>1227</v>
      </c>
      <c r="B21" s="1590">
        <f ca="1">'预评函-2'!D7</f>
        <v>12166</v>
      </c>
    </row>
    <row r="22" spans="1:2" s="1591" customFormat="1">
      <c r="A22" s="1589" t="s">
        <v>1228</v>
      </c>
      <c r="B22" s="1590" t="str">
        <f ca="1">'预评函-2'!D6</f>
        <v>贰拾亿叁仟伍佰陆拾壹万元整</v>
      </c>
    </row>
    <row r="23" spans="1:2" s="1591" customFormat="1">
      <c r="A23" s="1589" t="s">
        <v>1279</v>
      </c>
      <c r="B23" s="1590" t="str">
        <f>'预评函-2'!B8</f>
        <v>2.估价师知悉的法定优先受偿款</v>
      </c>
    </row>
    <row r="24" spans="1:2" s="1591" customFormat="1">
      <c r="A24" s="1589" t="s">
        <v>1285</v>
      </c>
      <c r="B24" s="1590">
        <f>'预评函-2'!D8</f>
        <v>0</v>
      </c>
    </row>
    <row r="25" spans="1:2" s="1591" customFormat="1">
      <c r="A25" s="1589" t="s">
        <v>1229</v>
      </c>
      <c r="B25" s="1590" t="str">
        <f>'预评函-2'!D9</f>
        <v>零元整</v>
      </c>
    </row>
    <row r="26" spans="1:2" s="1591" customFormat="1">
      <c r="A26" s="1589" t="s">
        <v>1230</v>
      </c>
      <c r="B26" s="1590">
        <f>'预评函-2'!D10</f>
        <v>0</v>
      </c>
    </row>
    <row r="27" spans="1:2" s="1591" customFormat="1">
      <c r="A27" s="1589" t="s">
        <v>1231</v>
      </c>
      <c r="B27" s="1590">
        <f>'预评函-2'!D11</f>
        <v>0</v>
      </c>
    </row>
    <row r="28" spans="1:2" s="1591" customFormat="1">
      <c r="A28" s="1589" t="s">
        <v>1232</v>
      </c>
      <c r="B28" s="1590">
        <f>'预评函-2'!D12</f>
        <v>0</v>
      </c>
    </row>
    <row r="29" spans="1:2" s="1591" customFormat="1">
      <c r="A29" s="1589" t="s">
        <v>1283</v>
      </c>
      <c r="B29" s="1590" t="str">
        <f>'预评函-2'!B13</f>
        <v>3.房地产抵押价值</v>
      </c>
    </row>
    <row r="30" spans="1:2" s="1591" customFormat="1">
      <c r="A30" s="1589" t="s">
        <v>1284</v>
      </c>
      <c r="B30" s="1590">
        <f ca="1">'预评函-2'!D13</f>
        <v>203561</v>
      </c>
    </row>
    <row r="31" spans="1:2" s="1591" customFormat="1">
      <c r="A31" s="1589" t="s">
        <v>1266</v>
      </c>
      <c r="B31" s="1590">
        <f ca="1">'预评函-2'!D15</f>
        <v>12166</v>
      </c>
    </row>
    <row r="32" spans="1:2" s="1591" customFormat="1">
      <c r="A32" s="1589" t="s">
        <v>1233</v>
      </c>
      <c r="B32" s="1590" t="str">
        <f ca="1">'预评函-2'!D14</f>
        <v>贰拾亿叁仟伍佰陆拾壹万元整</v>
      </c>
    </row>
    <row r="33" spans="1:2" s="1591" customFormat="1">
      <c r="A33" s="1589" t="s">
        <v>1268</v>
      </c>
      <c r="B33" s="1590" t="str">
        <f>'预评函-2'!B16</f>
        <v>——</v>
      </c>
    </row>
    <row r="34" spans="1:2" s="1591" customFormat="1">
      <c r="A34" s="1589" t="s">
        <v>1286</v>
      </c>
      <c r="B34" s="1590" t="str">
        <f>'预评函-2'!D16</f>
        <v>——</v>
      </c>
    </row>
    <row r="35" spans="1:2" s="1591" customFormat="1">
      <c r="A35" s="1589" t="s">
        <v>1267</v>
      </c>
      <c r="B35" s="1590" t="str">
        <f>'预评函-2'!D18</f>
        <v>——</v>
      </c>
    </row>
    <row r="36" spans="1:2" s="1591" customFormat="1">
      <c r="A36" s="1589" t="s">
        <v>1234</v>
      </c>
      <c r="B36" s="1590" t="e">
        <f>'预评函-2'!D17</f>
        <v>#VALUE!</v>
      </c>
    </row>
    <row r="37" spans="1:2" s="1591" customFormat="1">
      <c r="A37" s="1589" t="s">
        <v>1269</v>
      </c>
      <c r="B37" s="1590" t="str">
        <f>'预评函-2'!B19</f>
        <v>——</v>
      </c>
    </row>
    <row r="38" spans="1:2" s="1591" customFormat="1">
      <c r="A38" s="1589" t="s">
        <v>1287</v>
      </c>
      <c r="B38" s="1590" t="str">
        <f>'预评函-2'!D19</f>
        <v>——</v>
      </c>
    </row>
    <row r="39" spans="1:2" s="1591" customFormat="1">
      <c r="A39" s="1589" t="s">
        <v>1235</v>
      </c>
      <c r="B39" s="1590" t="str">
        <f>'预评函-2'!D21</f>
        <v>——</v>
      </c>
    </row>
    <row r="40" spans="1:2" s="1591" customFormat="1">
      <c r="A40" s="1589" t="s">
        <v>1236</v>
      </c>
      <c r="B40" s="1590" t="e">
        <f>'预评函-2'!D20</f>
        <v>#VALUE!</v>
      </c>
    </row>
    <row r="41" spans="1:2" s="1591" customFormat="1">
      <c r="A41" s="1589" t="s">
        <v>1282</v>
      </c>
      <c r="B41" s="1590" t="str">
        <f>'预评函-3'!A4</f>
        <v>安徽省庐阳区合淮路以西、市十九中学以南出让国有建设用地使用权及在建建筑物房地产</v>
      </c>
    </row>
    <row r="42" spans="1:2" s="1591" customFormat="1">
      <c r="A42" s="1589" t="s">
        <v>1280</v>
      </c>
      <c r="B42" s="1590" t="str">
        <f>'预评函-3'!B2</f>
        <v>建筑面积</v>
      </c>
    </row>
    <row r="43" spans="1:2" s="1591" customFormat="1">
      <c r="A43" s="1589" t="s">
        <v>1281</v>
      </c>
      <c r="B43" s="1590">
        <f>'预评函-3'!B4</f>
        <v>167325.31000000003</v>
      </c>
    </row>
    <row r="44" spans="1:2" s="1591" customFormat="1">
      <c r="A44" s="1589" t="s">
        <v>1265</v>
      </c>
      <c r="B44" s="1590" t="str">
        <f>'预评函-3'!C2</f>
        <v>(分摊)土地面积</v>
      </c>
    </row>
    <row r="45" spans="1:2" s="1591" customFormat="1">
      <c r="A45" s="1589" t="s">
        <v>1237</v>
      </c>
      <c r="B45" s="1590">
        <f>'预评函-3'!C4</f>
        <v>63529.08</v>
      </c>
    </row>
    <row r="46" spans="1:2" s="1591" customFormat="1">
      <c r="A46" s="1589" t="s">
        <v>1263</v>
      </c>
      <c r="B46" s="1590" t="str">
        <f>'预评函-3'!D2</f>
        <v>出让国有建设用地使用权价值</v>
      </c>
    </row>
    <row r="47" spans="1:2" s="1591" customFormat="1">
      <c r="A47" s="1589" t="s">
        <v>1238</v>
      </c>
      <c r="B47" s="1590">
        <f ca="1">'预评函-3'!D4</f>
        <v>166920</v>
      </c>
    </row>
    <row r="48" spans="1:2" s="1591" customFormat="1">
      <c r="A48" s="1589" t="s">
        <v>1239</v>
      </c>
      <c r="B48" s="1590">
        <f ca="1">'预评函-3'!E4</f>
        <v>9976</v>
      </c>
    </row>
    <row r="49" spans="1:2" s="1591" customFormat="1">
      <c r="A49" s="1589" t="s">
        <v>1240</v>
      </c>
      <c r="B49" s="1590" t="str">
        <f ca="1">'预评函-3'!D5</f>
        <v>壹拾陆亿陆仟玖佰贰拾万元整</v>
      </c>
    </row>
    <row r="50" spans="1:2" s="1591" customFormat="1">
      <c r="A50" s="1589" t="s">
        <v>1264</v>
      </c>
      <c r="B50" s="1590" t="str">
        <f>'预评函-3'!F2</f>
        <v>在建建筑物价值</v>
      </c>
    </row>
    <row r="51" spans="1:2" s="1591" customFormat="1">
      <c r="A51" s="1589" t="s">
        <v>1241</v>
      </c>
      <c r="B51" s="1590">
        <f ca="1">'预评函-3'!F4</f>
        <v>36641</v>
      </c>
    </row>
    <row r="52" spans="1:2" s="1591" customFormat="1">
      <c r="A52" s="1589" t="s">
        <v>1242</v>
      </c>
      <c r="B52" s="1590">
        <f ca="1">'预评函-3'!G4</f>
        <v>2190</v>
      </c>
    </row>
    <row r="53" spans="1:2" s="1591" customFormat="1">
      <c r="A53" s="1589" t="s">
        <v>1270</v>
      </c>
      <c r="B53" s="1590" t="str">
        <f ca="1">'预评函-3'!F5</f>
        <v>叁亿陆仟陆佰肆拾壹万元整</v>
      </c>
    </row>
    <row r="54" spans="1:2" s="1591" customFormat="1">
      <c r="A54" s="1589" t="s">
        <v>1288</v>
      </c>
      <c r="B54" s="1590" t="str">
        <f>'预评函-3'!A8</f>
        <v>房地产抵押价值</v>
      </c>
    </row>
    <row r="55" spans="1:2" s="1591" customFormat="1">
      <c r="A55" s="1589" t="s">
        <v>1271</v>
      </c>
      <c r="B55" s="1590" t="str">
        <f>'预评函-3'!A10</f>
        <v/>
      </c>
    </row>
    <row r="56" spans="1:2" s="1591" customFormat="1">
      <c r="A56" s="1589" t="s">
        <v>1272</v>
      </c>
      <c r="B56" s="1590" t="str">
        <f>'预评函-3'!A12</f>
        <v/>
      </c>
    </row>
    <row r="57" spans="1:2" s="1585" customFormat="1" ht="15" thickBot="1">
      <c r="A57" s="1592" t="s">
        <v>1289</v>
      </c>
      <c r="B57" s="1593" t="str">
        <f>'预评函-3'!A6</f>
        <v>估价师知悉的法定优先受偿款</v>
      </c>
    </row>
    <row r="58" spans="1:2" s="1588" customFormat="1" ht="15" thickTop="1">
      <c r="A58" s="1586" t="s">
        <v>1243</v>
      </c>
      <c r="B58" s="1587" t="str">
        <f>'预评函-4'!A12</f>
        <v>2.本《评估意见函》仅供金融机构进行内部审核使用，不做其他目的之用。</v>
      </c>
    </row>
    <row r="59" spans="1:2" s="1591" customFormat="1">
      <c r="A59" s="1589" t="s">
        <v>1244</v>
      </c>
      <c r="B59" s="1590" t="str">
        <f>'预评函-4'!A13</f>
        <v>3.抵押双方在办理抵押登记手续时，应使用本公司出具的正式《房地产评估报告》，特提醒报告使用者注意。</v>
      </c>
    </row>
    <row r="60" spans="1:2" s="1591" customFormat="1">
      <c r="A60" s="1589" t="s">
        <v>1245</v>
      </c>
      <c r="B60" s="1590" t="str">
        <f>'预评函-4'!A14</f>
        <v>4.本次评估估价师所知悉的法定优先受偿款情况说明如下：</v>
      </c>
    </row>
    <row r="61" spans="1:2" s="1591" customFormat="1">
      <c r="A61" s="1589" t="s">
        <v>1246</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1247</v>
      </c>
      <c r="B62" s="1590" t="str">
        <f>'预评函-4'!A16</f>
        <v>（2）根据《工程款支付情况说明》，截至价值时点，估价对象不存在应付未付工程款项。（只要没有施工方盖章的，均“设定”进行表述）</v>
      </c>
    </row>
    <row r="63" spans="1:2" s="1591" customFormat="1">
      <c r="A63" s="1589" t="s">
        <v>1248</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1260</v>
      </c>
      <c r="B64" s="1590" t="str">
        <f>'预评函-4'!A18</f>
        <v>故，本次评估不存在估价师知悉的法定优先受偿款</v>
      </c>
    </row>
    <row r="65" spans="1:2" s="1591" customFormat="1">
      <c r="A65" s="1589" t="s">
        <v>1249</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1250</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1261</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1262</v>
      </c>
      <c r="B68" s="1590" t="str">
        <f>'预评函-4'!A22</f>
        <v>8.其他需特殊说明事项：无（注意调整序号）</v>
      </c>
    </row>
    <row r="69" spans="1:2" s="1585" customFormat="1" ht="15" thickBot="1">
      <c r="A69" s="1592" t="s">
        <v>1251</v>
      </c>
      <c r="B69" s="1594">
        <f>'预评函-4'!C31</f>
        <v>42551</v>
      </c>
    </row>
    <row r="70" spans="1:2" ht="15" thickTop="1">
      <c r="A70" s="1595" t="s">
        <v>1252</v>
      </c>
      <c r="B70" s="1596" t="str">
        <f>'预评函-4'!A4</f>
        <v>郑燚</v>
      </c>
    </row>
    <row r="71" spans="1:2">
      <c r="A71" s="1589" t="s">
        <v>1253</v>
      </c>
      <c r="B71" s="1590">
        <f ca="1">'预评函-4'!B4</f>
        <v>1120070131</v>
      </c>
    </row>
    <row r="72" spans="1:2">
      <c r="A72" s="1589" t="s">
        <v>1254</v>
      </c>
      <c r="B72" s="1598" t="str">
        <f>'预评函-4'!A5</f>
        <v>崔锴</v>
      </c>
    </row>
    <row r="73" spans="1:2" s="1585" customFormat="1" ht="15" thickBot="1">
      <c r="A73" s="1592" t="s">
        <v>1255</v>
      </c>
      <c r="B73" s="1593">
        <f ca="1">'预评函-4'!B5</f>
        <v>1120100036</v>
      </c>
    </row>
    <row r="74" spans="1:2" ht="15" thickTop="1">
      <c r="A74" s="1582" t="s">
        <v>1291</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0" sqref="A30"/>
    </sheetView>
  </sheetViews>
  <sheetFormatPr defaultRowHeight="13.5"/>
  <cols>
    <col min="1" max="1" width="22.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1682</v>
      </c>
      <c r="C1" s="2007" t="s">
        <v>758</v>
      </c>
      <c r="D1" s="2008" t="s">
        <v>1683</v>
      </c>
      <c r="E1" s="2008" t="s">
        <v>1684</v>
      </c>
      <c r="F1" s="2008" t="s">
        <v>1685</v>
      </c>
      <c r="G1" s="2008" t="s">
        <v>1686</v>
      </c>
      <c r="H1" s="2008" t="s">
        <v>1687</v>
      </c>
      <c r="I1" s="2008" t="s">
        <v>1688</v>
      </c>
      <c r="J1" s="2008" t="s">
        <v>1689</v>
      </c>
      <c r="K1" s="2008" t="s">
        <v>1690</v>
      </c>
      <c r="L1" s="2008" t="s">
        <v>1691</v>
      </c>
      <c r="M1" s="2008" t="s">
        <v>1692</v>
      </c>
      <c r="N1" s="2008" t="s">
        <v>1693</v>
      </c>
      <c r="O1" s="2008" t="s">
        <v>1694</v>
      </c>
      <c r="P1" s="2009" t="s">
        <v>753</v>
      </c>
      <c r="Q1" s="2009" t="s">
        <v>1140</v>
      </c>
      <c r="R1" s="2008" t="s">
        <v>1134</v>
      </c>
      <c r="S1" s="2008" t="s">
        <v>1695</v>
      </c>
      <c r="T1" s="2010" t="s">
        <v>1696</v>
      </c>
      <c r="U1" s="2008" t="s">
        <v>1697</v>
      </c>
      <c r="V1" s="2008" t="s">
        <v>1698</v>
      </c>
      <c r="W1" s="2008" t="s">
        <v>755</v>
      </c>
    </row>
    <row r="2" spans="1:23">
      <c r="A2" s="2012" t="s">
        <v>22</v>
      </c>
      <c r="B2" s="2012" t="s">
        <v>1699</v>
      </c>
      <c r="C2" s="2013" t="s">
        <v>759</v>
      </c>
      <c r="D2" s="2014" t="s">
        <v>1700</v>
      </c>
      <c r="E2" s="2014" t="s">
        <v>1701</v>
      </c>
      <c r="F2" s="2014" t="s">
        <v>1702</v>
      </c>
      <c r="G2" s="2014">
        <v>40</v>
      </c>
      <c r="H2" s="2014" t="s">
        <v>1702</v>
      </c>
      <c r="I2" s="2014" t="s">
        <v>1703</v>
      </c>
      <c r="J2" s="2014" t="s">
        <v>1704</v>
      </c>
      <c r="K2" s="2014" t="s">
        <v>1705</v>
      </c>
      <c r="L2" s="2014" t="s">
        <v>1705</v>
      </c>
      <c r="M2" s="2014" t="s">
        <v>1705</v>
      </c>
      <c r="N2" s="2014" t="s">
        <v>1705</v>
      </c>
      <c r="O2" s="2014" t="s">
        <v>1705</v>
      </c>
      <c r="P2" s="2014" t="s">
        <v>1705</v>
      </c>
      <c r="Q2" s="2014" t="s">
        <v>1705</v>
      </c>
      <c r="R2" s="2014" t="s">
        <v>1136</v>
      </c>
      <c r="S2" s="2014" t="s">
        <v>1705</v>
      </c>
      <c r="T2" s="2014" t="s">
        <v>1706</v>
      </c>
      <c r="U2" s="2014" t="s">
        <v>1705</v>
      </c>
      <c r="V2" s="2014" t="s">
        <v>1707</v>
      </c>
      <c r="W2" s="2014" t="s">
        <v>1705</v>
      </c>
    </row>
    <row r="3" spans="1:23">
      <c r="A3" s="2015" t="s">
        <v>3063</v>
      </c>
      <c r="B3" s="2015" t="s">
        <v>2999</v>
      </c>
      <c r="C3" s="2016" t="s">
        <v>760</v>
      </c>
      <c r="D3" s="2014" t="s">
        <v>1708</v>
      </c>
      <c r="E3" s="2014" t="s">
        <v>16</v>
      </c>
      <c r="F3" s="2014" t="s">
        <v>1709</v>
      </c>
      <c r="G3" s="2014">
        <v>50</v>
      </c>
      <c r="H3" s="2014" t="s">
        <v>1709</v>
      </c>
      <c r="I3" s="2014" t="s">
        <v>1710</v>
      </c>
      <c r="J3" s="2014" t="s">
        <v>1711</v>
      </c>
      <c r="K3" s="2014" t="s">
        <v>1712</v>
      </c>
      <c r="L3" s="2014" t="s">
        <v>1712</v>
      </c>
      <c r="M3" s="2014" t="s">
        <v>1712</v>
      </c>
      <c r="N3" s="2014" t="s">
        <v>1712</v>
      </c>
      <c r="O3" s="2014" t="s">
        <v>1712</v>
      </c>
      <c r="P3" s="2014" t="s">
        <v>1712</v>
      </c>
      <c r="Q3" s="2014" t="s">
        <v>1712</v>
      </c>
      <c r="R3" s="2014" t="s">
        <v>1135</v>
      </c>
      <c r="S3" s="2014" t="s">
        <v>1712</v>
      </c>
      <c r="T3" s="2014" t="s">
        <v>1713</v>
      </c>
      <c r="U3" s="2014" t="s">
        <v>1712</v>
      </c>
      <c r="V3" s="2014" t="s">
        <v>1714</v>
      </c>
      <c r="W3" s="2014" t="s">
        <v>1712</v>
      </c>
    </row>
    <row r="4" spans="1:23">
      <c r="A4" s="2015" t="s">
        <v>3075</v>
      </c>
      <c r="B4" s="2012" t="s">
        <v>1715</v>
      </c>
      <c r="C4" s="2013" t="s">
        <v>761</v>
      </c>
      <c r="D4" s="2014" t="s">
        <v>864</v>
      </c>
      <c r="E4" s="2014" t="s">
        <v>1716</v>
      </c>
      <c r="F4" s="2014" t="s">
        <v>1717</v>
      </c>
      <c r="G4" s="2014">
        <v>70</v>
      </c>
      <c r="H4" s="2014" t="s">
        <v>1717</v>
      </c>
      <c r="I4" s="2014" t="s">
        <v>1718</v>
      </c>
      <c r="K4" s="2014" t="s">
        <v>1719</v>
      </c>
      <c r="L4" s="2014" t="s">
        <v>1719</v>
      </c>
      <c r="M4" s="2014" t="s">
        <v>1719</v>
      </c>
      <c r="N4" s="2014" t="s">
        <v>1719</v>
      </c>
      <c r="O4" s="2014" t="s">
        <v>1719</v>
      </c>
      <c r="P4" s="2014" t="s">
        <v>1719</v>
      </c>
      <c r="Q4" s="2014" t="s">
        <v>1719</v>
      </c>
      <c r="R4" s="2014" t="s">
        <v>1137</v>
      </c>
      <c r="S4" s="2014" t="s">
        <v>1719</v>
      </c>
      <c r="T4" s="2014" t="s">
        <v>1720</v>
      </c>
      <c r="U4" s="2014" t="s">
        <v>1719</v>
      </c>
      <c r="W4" s="2014" t="s">
        <v>1719</v>
      </c>
    </row>
    <row r="5" spans="1:23">
      <c r="A5" s="2980" t="s">
        <v>3077</v>
      </c>
      <c r="B5" s="2012" t="s">
        <v>3038</v>
      </c>
      <c r="C5" s="2013" t="s">
        <v>762</v>
      </c>
      <c r="F5" s="2014" t="s">
        <v>1721</v>
      </c>
      <c r="H5" s="2014" t="s">
        <v>1722</v>
      </c>
      <c r="I5" s="2014" t="s">
        <v>1723</v>
      </c>
      <c r="K5" s="2014" t="s">
        <v>1724</v>
      </c>
      <c r="L5" s="2014" t="s">
        <v>1724</v>
      </c>
      <c r="M5" s="2014" t="s">
        <v>1724</v>
      </c>
      <c r="N5" s="2014" t="s">
        <v>1724</v>
      </c>
      <c r="O5" s="2014" t="s">
        <v>1724</v>
      </c>
      <c r="P5" s="2014" t="s">
        <v>1724</v>
      </c>
      <c r="Q5" s="2014" t="s">
        <v>1724</v>
      </c>
      <c r="R5" s="2014" t="s">
        <v>1138</v>
      </c>
      <c r="S5" s="2014" t="s">
        <v>1724</v>
      </c>
      <c r="T5" s="2014" t="s">
        <v>1725</v>
      </c>
      <c r="U5" s="2014" t="s">
        <v>1724</v>
      </c>
      <c r="W5" s="2014" t="s">
        <v>1724</v>
      </c>
    </row>
    <row r="6" spans="1:23">
      <c r="A6" s="2012" t="s">
        <v>3065</v>
      </c>
      <c r="B6" s="2015" t="s">
        <v>3040</v>
      </c>
      <c r="C6" s="2018" t="s">
        <v>30</v>
      </c>
      <c r="F6" s="2014" t="s">
        <v>1722</v>
      </c>
      <c r="H6" s="2014" t="s">
        <v>1726</v>
      </c>
      <c r="I6" s="2014" t="s">
        <v>1727</v>
      </c>
      <c r="K6" s="2014" t="s">
        <v>1728</v>
      </c>
      <c r="L6" s="2014" t="s">
        <v>1728</v>
      </c>
      <c r="M6" s="2014" t="s">
        <v>1728</v>
      </c>
      <c r="N6" s="2014" t="s">
        <v>1728</v>
      </c>
      <c r="O6" s="2014" t="s">
        <v>1728</v>
      </c>
      <c r="P6" s="2014" t="s">
        <v>1728</v>
      </c>
      <c r="Q6" s="2014" t="s">
        <v>1728</v>
      </c>
      <c r="R6" s="2014" t="s">
        <v>1139</v>
      </c>
      <c r="S6" s="2014" t="s">
        <v>1728</v>
      </c>
      <c r="T6" s="2014"/>
      <c r="U6" s="2014" t="s">
        <v>1728</v>
      </c>
      <c r="W6" s="2014" t="s">
        <v>1728</v>
      </c>
    </row>
    <row r="7" spans="1:23">
      <c r="A7" s="2012" t="s">
        <v>3064</v>
      </c>
      <c r="B7" s="2015"/>
      <c r="C7" s="2013" t="s">
        <v>31</v>
      </c>
      <c r="F7" s="2014" t="s">
        <v>1729</v>
      </c>
      <c r="H7" s="2014" t="s">
        <v>1730</v>
      </c>
      <c r="I7" s="2014" t="s">
        <v>1731</v>
      </c>
    </row>
    <row r="8" spans="1:23">
      <c r="A8" s="2012"/>
      <c r="B8" s="2012"/>
      <c r="C8" s="2013" t="s">
        <v>763</v>
      </c>
      <c r="F8" s="2014" t="s">
        <v>1732</v>
      </c>
      <c r="H8" s="2014"/>
      <c r="I8" s="2014" t="s">
        <v>1733</v>
      </c>
    </row>
    <row r="9" spans="1:23">
      <c r="A9" s="2012"/>
      <c r="B9" s="2012"/>
      <c r="C9" s="2013" t="s">
        <v>764</v>
      </c>
      <c r="F9" s="2014" t="s">
        <v>1734</v>
      </c>
      <c r="H9" s="2014"/>
    </row>
    <row r="10" spans="1:23">
      <c r="A10" s="2012"/>
      <c r="B10" s="2012"/>
      <c r="C10" s="2013" t="s">
        <v>765</v>
      </c>
      <c r="F10" s="2014" t="s">
        <v>16</v>
      </c>
    </row>
    <row r="11" spans="1:23">
      <c r="A11" s="2012"/>
      <c r="B11" s="2012"/>
      <c r="C11" s="2013" t="s">
        <v>766</v>
      </c>
    </row>
    <row r="12" spans="1:23">
      <c r="A12" s="2012"/>
      <c r="B12" s="2012"/>
      <c r="C12" s="2013" t="s">
        <v>767</v>
      </c>
    </row>
    <row r="13" spans="1:23">
      <c r="A13" s="2012"/>
      <c r="B13" s="2012"/>
      <c r="C13" s="2013" t="s">
        <v>768</v>
      </c>
    </row>
    <row r="14" spans="1:23">
      <c r="A14" s="2012"/>
      <c r="B14" s="2012"/>
      <c r="C14" s="2014" t="s">
        <v>16</v>
      </c>
    </row>
    <row r="15" spans="1:23">
      <c r="A15" s="2012"/>
      <c r="B15" s="2012"/>
      <c r="C15" s="2013"/>
    </row>
    <row r="16" spans="1:23">
      <c r="A16" s="2012"/>
      <c r="B16" s="2012"/>
      <c r="C16" s="2013"/>
    </row>
    <row r="17" spans="1:3">
      <c r="A17" s="2012"/>
      <c r="B17" s="2012" t="s">
        <v>756</v>
      </c>
      <c r="C17" s="2013"/>
    </row>
    <row r="18" spans="1:3">
      <c r="A18" s="2012"/>
      <c r="B18" s="2012" t="s">
        <v>756</v>
      </c>
      <c r="C18" s="2013"/>
    </row>
    <row r="19" spans="1:3">
      <c r="A19" s="2012"/>
      <c r="B19" s="2012" t="s">
        <v>756</v>
      </c>
      <c r="C19" s="2013"/>
    </row>
    <row r="20" spans="1:3">
      <c r="A20" s="2012"/>
      <c r="B20" s="2012" t="s">
        <v>756</v>
      </c>
      <c r="C20" s="2013"/>
    </row>
    <row r="21" spans="1:3">
      <c r="A21" s="2012"/>
      <c r="B21" s="2012" t="s">
        <v>756</v>
      </c>
      <c r="C21" s="2013"/>
    </row>
    <row r="22" spans="1:3">
      <c r="A22" s="2012"/>
      <c r="B22" s="2012" t="s">
        <v>756</v>
      </c>
      <c r="C22" s="2013"/>
    </row>
    <row r="23" spans="1:3">
      <c r="A23" s="2012"/>
      <c r="B23" s="2012" t="s">
        <v>756</v>
      </c>
      <c r="C23" s="2013"/>
    </row>
    <row r="24" spans="1:3">
      <c r="A24" s="2012"/>
      <c r="B24" s="2012" t="s">
        <v>756</v>
      </c>
      <c r="C24" s="2013"/>
    </row>
    <row r="25" spans="1:3">
      <c r="A25" s="2012"/>
      <c r="B25" s="2012" t="s">
        <v>756</v>
      </c>
      <c r="C25" s="2013"/>
    </row>
    <row r="26" spans="1:3">
      <c r="A26" s="2012"/>
      <c r="B26" s="2012" t="s">
        <v>756</v>
      </c>
      <c r="C26" s="2013"/>
    </row>
    <row r="27" spans="1:3">
      <c r="A27" s="2012" t="s">
        <v>756</v>
      </c>
      <c r="B27" s="2012" t="s">
        <v>756</v>
      </c>
      <c r="C27" s="2013"/>
    </row>
    <row r="28" spans="1:3">
      <c r="A28" s="2012" t="s">
        <v>756</v>
      </c>
      <c r="B28" s="2012" t="s">
        <v>756</v>
      </c>
      <c r="C28" s="2013"/>
    </row>
    <row r="29" spans="1:3">
      <c r="A29" s="2012" t="s">
        <v>756</v>
      </c>
      <c r="B29" s="2012" t="s">
        <v>756</v>
      </c>
      <c r="C29" s="2013"/>
    </row>
    <row r="30" spans="1:3">
      <c r="A30" s="2012" t="s">
        <v>756</v>
      </c>
      <c r="B30" s="2012" t="s">
        <v>756</v>
      </c>
      <c r="C30" s="2013"/>
    </row>
    <row r="31" spans="1:3">
      <c r="A31" s="2012" t="s">
        <v>756</v>
      </c>
      <c r="B31" s="2012" t="s">
        <v>756</v>
      </c>
      <c r="C31" s="2013"/>
    </row>
    <row r="32" spans="1:3">
      <c r="A32" s="2012" t="s">
        <v>756</v>
      </c>
      <c r="B32" s="2012" t="s">
        <v>756</v>
      </c>
      <c r="C32" s="2013"/>
    </row>
    <row r="33" spans="1:3">
      <c r="A33" s="2012" t="s">
        <v>756</v>
      </c>
      <c r="B33" s="2012" t="s">
        <v>756</v>
      </c>
      <c r="C33" s="2013"/>
    </row>
    <row r="34" spans="1:3">
      <c r="A34" s="2012" t="s">
        <v>756</v>
      </c>
      <c r="B34" s="2012" t="s">
        <v>756</v>
      </c>
      <c r="C34" s="2013"/>
    </row>
    <row r="35" spans="1:3">
      <c r="A35" s="2012" t="s">
        <v>756</v>
      </c>
      <c r="B35" s="2012" t="s">
        <v>756</v>
      </c>
      <c r="C35" s="2013"/>
    </row>
    <row r="36" spans="1:3">
      <c r="A36" s="2012" t="s">
        <v>756</v>
      </c>
      <c r="B36" s="2012" t="s">
        <v>756</v>
      </c>
      <c r="C36" s="2013"/>
    </row>
    <row r="37" spans="1:3">
      <c r="A37" s="2012" t="s">
        <v>756</v>
      </c>
      <c r="B37" s="2012" t="s">
        <v>756</v>
      </c>
      <c r="C37" s="2013"/>
    </row>
    <row r="38" spans="1:3">
      <c r="A38" s="2012" t="s">
        <v>756</v>
      </c>
      <c r="B38" s="2012" t="s">
        <v>756</v>
      </c>
      <c r="C38" s="2013"/>
    </row>
    <row r="39" spans="1:3">
      <c r="A39" s="2012" t="s">
        <v>756</v>
      </c>
      <c r="B39" s="2012" t="s">
        <v>756</v>
      </c>
      <c r="C39" s="2013"/>
    </row>
    <row r="40" spans="1:3">
      <c r="A40" s="2012" t="s">
        <v>756</v>
      </c>
      <c r="B40" s="2012" t="s">
        <v>756</v>
      </c>
      <c r="C40" s="2013"/>
    </row>
    <row r="41" spans="1:3">
      <c r="A41" s="2012" t="s">
        <v>756</v>
      </c>
      <c r="B41" s="2012" t="s">
        <v>756</v>
      </c>
      <c r="C41" s="2013"/>
    </row>
    <row r="42" spans="1:3">
      <c r="A42" s="2012" t="s">
        <v>756</v>
      </c>
      <c r="B42" s="2012" t="s">
        <v>756</v>
      </c>
      <c r="C42" s="2013"/>
    </row>
    <row r="43" spans="1:3">
      <c r="A43" s="2012" t="s">
        <v>756</v>
      </c>
      <c r="B43" s="2012" t="s">
        <v>756</v>
      </c>
      <c r="C43" s="2013"/>
    </row>
    <row r="44" spans="1:3">
      <c r="A44" s="2012" t="s">
        <v>756</v>
      </c>
      <c r="B44" s="2012" t="s">
        <v>756</v>
      </c>
      <c r="C44" s="2013"/>
    </row>
    <row r="45" spans="1:3">
      <c r="A45" s="2012" t="s">
        <v>756</v>
      </c>
      <c r="B45" s="2012" t="s">
        <v>756</v>
      </c>
      <c r="C45" s="2013"/>
    </row>
    <row r="46" spans="1:3">
      <c r="A46" s="2012" t="s">
        <v>756</v>
      </c>
      <c r="B46" s="2012" t="s">
        <v>756</v>
      </c>
      <c r="C46" s="2013"/>
    </row>
    <row r="47" spans="1:3">
      <c r="A47" s="2012" t="s">
        <v>756</v>
      </c>
      <c r="B47" s="2012" t="s">
        <v>756</v>
      </c>
      <c r="C47" s="2013"/>
    </row>
    <row r="48" spans="1:3">
      <c r="A48" s="2012" t="s">
        <v>756</v>
      </c>
      <c r="B48" s="2012" t="s">
        <v>756</v>
      </c>
      <c r="C48" s="2013"/>
    </row>
    <row r="49" spans="1:4">
      <c r="A49" s="2012" t="s">
        <v>756</v>
      </c>
      <c r="B49" s="2012" t="s">
        <v>756</v>
      </c>
      <c r="C49" s="2013"/>
    </row>
    <row r="50" spans="1:4">
      <c r="A50" s="2012" t="s">
        <v>756</v>
      </c>
      <c r="B50" s="2012" t="s">
        <v>756</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安徽省文一投资控股集团庐阳置业有限公司拟使用安徽省庐阳区合淮路以西、市十九中学以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1276</v>
      </c>
    </row>
    <row r="52" spans="1:4">
      <c r="A52" s="2019" t="s">
        <v>854</v>
      </c>
      <c r="B52" s="2019" t="s">
        <v>855</v>
      </c>
      <c r="C52" s="2017" t="s">
        <v>856</v>
      </c>
      <c r="D52" s="2017" t="s">
        <v>857</v>
      </c>
    </row>
    <row r="53" spans="1:4">
      <c r="A53" s="3060"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18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60"/>
      <c r="B54" s="2020" t="s">
        <v>860</v>
      </c>
      <c r="C54" s="2017" t="s">
        <v>1273</v>
      </c>
    </row>
    <row r="55" spans="1:4">
      <c r="A55" s="3060"/>
      <c r="B55" s="2020" t="s">
        <v>861</v>
      </c>
      <c r="C55" s="2017" t="s">
        <v>1274</v>
      </c>
    </row>
    <row r="56" spans="1:4">
      <c r="A56" s="3060"/>
      <c r="B56" s="2020" t="s">
        <v>862</v>
      </c>
      <c r="C56" s="2017" t="s">
        <v>1278</v>
      </c>
    </row>
    <row r="57" spans="1:4">
      <c r="A57" s="3060"/>
      <c r="B57" s="2020" t="s">
        <v>863</v>
      </c>
      <c r="C57" s="2017" t="s">
        <v>1275</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4" zoomScale="90" zoomScaleNormal="100" zoomScaleSheetLayoutView="90" workbookViewId="0">
      <selection activeCell="F21" sqref="F21"/>
    </sheetView>
  </sheetViews>
  <sheetFormatPr defaultColWidth="10" defaultRowHeight="18" customHeight="1"/>
  <cols>
    <col min="1" max="1" width="14.875" style="2030" customWidth="1"/>
    <col min="2" max="2" width="12" style="2030" customWidth="1"/>
    <col min="3" max="3" width="11.5" style="2030" customWidth="1"/>
    <col min="4" max="4" width="19.875" style="2030" customWidth="1"/>
    <col min="5"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1735</v>
      </c>
      <c r="B1" s="3061" t="str">
        <f>IF(B10="北京市","北京市",C10)&amp;F10&amp;IF(结果表!G1="在建","出让国有建设用地使用权及在建建筑物",IF(结果表!G1="土地","出让国有建设用地使用权",))&amp;B9&amp;"预评估"</f>
        <v>安徽省庐阳区合淮路以西、市十九中学以南出让国有建设用地使用权及在建建筑物房地产抵押价值预评估</v>
      </c>
      <c r="C1" s="3062"/>
      <c r="D1" s="3062"/>
      <c r="E1" s="3062"/>
      <c r="F1" s="3062"/>
      <c r="G1" s="3062"/>
      <c r="H1" s="3062"/>
      <c r="I1" s="306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安徽省庐阳区合淮路以西、市十九中学以南出让国有建设用地使用权及在建建筑物房地产抵押价值</v>
      </c>
    </row>
    <row r="2" spans="1:19" ht="18" customHeight="1">
      <c r="A2" s="2024" t="s">
        <v>1736</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安徽省庐阳区合淮路以西、市十九中学以南出让国有建设用地使用权及在建建筑物房地产</v>
      </c>
    </row>
    <row r="3" spans="1:19" ht="18" customHeight="1">
      <c r="A3" s="2033" t="s">
        <v>1737</v>
      </c>
      <c r="B3" s="2034">
        <v>43452</v>
      </c>
      <c r="C3" s="2035" t="s">
        <v>1738</v>
      </c>
      <c r="D3" s="2034">
        <v>43452</v>
      </c>
      <c r="E3" s="2024"/>
      <c r="F3" s="2024"/>
      <c r="G3" s="2024"/>
      <c r="H3" s="2024"/>
      <c r="I3" s="2024"/>
      <c r="J3" s="2024"/>
      <c r="K3" s="2025"/>
      <c r="L3" s="2026"/>
      <c r="M3" s="2026"/>
      <c r="N3" s="2027"/>
      <c r="O3" s="2028"/>
      <c r="P3" s="2027"/>
      <c r="Q3" s="2027"/>
      <c r="R3" s="2027"/>
      <c r="S3" s="2029"/>
    </row>
    <row r="4" spans="1:19" ht="18" customHeight="1" thickBot="1">
      <c r="A4" s="2036" t="s">
        <v>1739</v>
      </c>
      <c r="B4" s="2037" t="s">
        <v>3008</v>
      </c>
      <c r="C4" s="1036">
        <f ca="1">SUMIF(注册房地产估价师,B4,估价师及机构信息!B3:B24)</f>
        <v>1120070131</v>
      </c>
      <c r="D4" s="2037" t="s">
        <v>3009</v>
      </c>
      <c r="E4" s="1037">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郑燚（注册号：1120070131)、崔锴（注册号：1120100036)</v>
      </c>
      <c r="L4" s="2026"/>
      <c r="M4" s="2026"/>
      <c r="N4" s="2027"/>
      <c r="O4" s="2028"/>
      <c r="P4" s="2027"/>
      <c r="Q4" s="2027"/>
      <c r="R4" s="2027"/>
      <c r="S4" s="2029"/>
    </row>
    <row r="5" spans="1:19" ht="18" customHeight="1" thickTop="1">
      <c r="A5" s="2042" t="s">
        <v>1740</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1741</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1742</v>
      </c>
      <c r="B7" s="2972" t="s">
        <v>3375</v>
      </c>
      <c r="C7" s="2973"/>
      <c r="D7" s="2974"/>
      <c r="E7" s="2032"/>
      <c r="F7" s="2040"/>
      <c r="G7" s="2040"/>
      <c r="H7" s="2040"/>
      <c r="I7" s="2040"/>
      <c r="J7" s="2040"/>
      <c r="K7" s="2051"/>
      <c r="L7" s="2026"/>
      <c r="M7" s="2026"/>
      <c r="N7" s="2027"/>
      <c r="O7" s="2028"/>
      <c r="P7" s="2027"/>
      <c r="Q7" s="2027"/>
      <c r="R7" s="2027"/>
    </row>
    <row r="8" spans="1:19" ht="18" customHeight="1">
      <c r="A8" s="2046" t="s">
        <v>1743</v>
      </c>
      <c r="B8" s="2052" t="s">
        <v>3010</v>
      </c>
      <c r="C8" s="2053"/>
      <c r="D8" s="3064" t="s">
        <v>1744</v>
      </c>
      <c r="E8" s="2054" t="s">
        <v>3011</v>
      </c>
      <c r="F8" s="2055"/>
      <c r="G8" s="2024"/>
      <c r="H8" s="2024"/>
      <c r="I8" s="2024"/>
      <c r="J8" s="2040"/>
      <c r="K8" s="2041"/>
      <c r="L8" s="2026"/>
      <c r="M8" s="2026"/>
      <c r="N8" s="2027"/>
      <c r="O8" s="2028"/>
      <c r="P8" s="2027"/>
      <c r="Q8" s="2027"/>
      <c r="R8" s="2027"/>
    </row>
    <row r="9" spans="1:19" ht="18" customHeight="1" thickBot="1">
      <c r="A9" s="2038" t="s">
        <v>1745</v>
      </c>
      <c r="B9" s="2056" t="s">
        <v>3011</v>
      </c>
      <c r="C9" s="2057"/>
      <c r="D9" s="3065"/>
      <c r="E9" s="2056" t="s">
        <v>70</v>
      </c>
      <c r="F9" s="2058"/>
      <c r="G9" s="2059"/>
      <c r="H9" s="2059"/>
      <c r="I9" s="2059"/>
      <c r="J9" s="2040"/>
      <c r="K9" s="2051"/>
      <c r="L9" s="2026"/>
      <c r="M9" s="2026"/>
      <c r="N9" s="2027"/>
      <c r="O9" s="2028"/>
      <c r="P9" s="2027"/>
      <c r="Q9" s="2027"/>
      <c r="R9" s="2027"/>
    </row>
    <row r="10" spans="1:19" ht="18" customHeight="1" thickTop="1">
      <c r="A10" s="2060" t="s">
        <v>1746</v>
      </c>
      <c r="B10" s="2061" t="s">
        <v>3012</v>
      </c>
      <c r="C10" s="2976" t="s">
        <v>3066</v>
      </c>
      <c r="D10" s="2045"/>
      <c r="E10" s="2062" t="s">
        <v>1747</v>
      </c>
      <c r="F10" s="2975" t="s">
        <v>3376</v>
      </c>
      <c r="G10" s="2063"/>
      <c r="H10" s="2064"/>
      <c r="I10" s="2045"/>
      <c r="J10" s="2040"/>
      <c r="K10" s="2051"/>
      <c r="L10" s="2026"/>
      <c r="M10" s="2026"/>
      <c r="N10" s="2027"/>
      <c r="O10" s="2028"/>
      <c r="P10" s="2027"/>
      <c r="Q10" s="2027"/>
      <c r="R10" s="2027"/>
    </row>
    <row r="11" spans="1:19" ht="18" customHeight="1">
      <c r="A11" s="2065" t="s">
        <v>1748</v>
      </c>
      <c r="B11" s="2066" t="s">
        <v>3013</v>
      </c>
      <c r="C11" s="2067"/>
      <c r="D11" s="2068"/>
      <c r="E11" s="2040"/>
      <c r="F11" s="2040"/>
      <c r="G11" s="2040"/>
      <c r="H11" s="2040"/>
      <c r="I11" s="2040"/>
      <c r="J11" s="2040"/>
      <c r="K11" s="2051"/>
      <c r="L11" s="2026"/>
      <c r="M11" s="2026"/>
      <c r="N11" s="2027"/>
      <c r="O11" s="2028"/>
      <c r="P11" s="2027"/>
      <c r="Q11" s="2027"/>
      <c r="R11" s="2027"/>
    </row>
    <row r="12" spans="1:19" ht="18" customHeight="1">
      <c r="A12" s="2069" t="s">
        <v>1749</v>
      </c>
      <c r="B12" s="2066" t="s">
        <v>3014</v>
      </c>
      <c r="C12" s="2070" t="s">
        <v>1750</v>
      </c>
      <c r="D12" s="2071" t="s">
        <v>1751</v>
      </c>
      <c r="E12" s="2071" t="s">
        <v>1752</v>
      </c>
      <c r="F12" s="2071" t="s">
        <v>1753</v>
      </c>
      <c r="G12" s="2071" t="s">
        <v>1754</v>
      </c>
      <c r="H12" s="2071" t="s">
        <v>1755</v>
      </c>
      <c r="I12" s="2071" t="s">
        <v>1756</v>
      </c>
      <c r="J12" s="2040"/>
      <c r="K12" s="2051"/>
      <c r="L12" s="2026"/>
      <c r="M12" s="2026"/>
      <c r="N12" s="2027"/>
      <c r="O12" s="2028"/>
      <c r="P12" s="2027"/>
      <c r="Q12" s="2027"/>
      <c r="R12" s="2027"/>
    </row>
    <row r="13" spans="1:19" ht="18" customHeight="1">
      <c r="A13" s="2072"/>
      <c r="B13" s="2073"/>
      <c r="C13" s="2074" t="s">
        <v>1757</v>
      </c>
      <c r="D13" s="2075">
        <v>68252</v>
      </c>
      <c r="E13" s="2075"/>
      <c r="F13" s="2075"/>
      <c r="G13" s="2075">
        <v>60947</v>
      </c>
      <c r="H13" s="2075"/>
      <c r="I13" s="1046"/>
      <c r="J13" s="2040"/>
      <c r="K13" s="2051"/>
      <c r="L13" s="2026"/>
      <c r="M13" s="2026"/>
      <c r="N13" s="2027"/>
      <c r="O13" s="2028"/>
      <c r="P13" s="2027"/>
      <c r="Q13" s="2027"/>
      <c r="R13" s="2027"/>
    </row>
    <row r="14" spans="1:19" ht="18" customHeight="1">
      <c r="A14" s="2072"/>
      <c r="B14" s="2073"/>
      <c r="C14" s="2074" t="s">
        <v>1758</v>
      </c>
      <c r="D14" s="1049">
        <v>70</v>
      </c>
      <c r="E14" s="1049"/>
      <c r="F14" s="1049"/>
      <c r="G14" s="1049">
        <v>50</v>
      </c>
      <c r="H14" s="1049"/>
      <c r="I14" s="1049"/>
      <c r="J14" s="2040"/>
      <c r="K14" s="2076"/>
      <c r="L14" s="2026"/>
      <c r="M14" s="2026"/>
      <c r="N14" s="2027"/>
      <c r="O14" s="2028"/>
      <c r="P14" s="2027"/>
      <c r="Q14" s="2027"/>
      <c r="R14" s="2027"/>
    </row>
    <row r="15" spans="1:19" ht="18" customHeight="1">
      <c r="A15" s="2060"/>
      <c r="B15" s="2077"/>
      <c r="C15" s="2074" t="s">
        <v>1759</v>
      </c>
      <c r="D15" s="1048">
        <f>IF(B12="出让",IF(D13="","",ROUNDDOWN(MIN((D13-$D$3)/365,D14),2)),D14)</f>
        <v>67.94</v>
      </c>
      <c r="E15" s="1048" t="str">
        <f>IF(B12="出让",IF(E13="","",ROUNDDOWN(MIN((E13-$D$3)/365,E14),2)),E14)</f>
        <v/>
      </c>
      <c r="F15" s="1048" t="str">
        <f>IF(B12="出让",IF(F13="","",ROUNDDOWN(MIN((F13-$D$3)/365,F14),2)),F14)</f>
        <v/>
      </c>
      <c r="G15" s="1048">
        <f>IF(B12="出让",IF(G13="","",ROUNDDOWN(MIN((G13-$D$3)/365,G14),2)),G14)</f>
        <v>47.93</v>
      </c>
      <c r="H15" s="1048" t="str">
        <f>IF(B12="出让",IF(H13="","",ROUNDDOWN(MIN((H13-$D$3)/365,H14),2)),H14)</f>
        <v/>
      </c>
      <c r="I15" s="1048" t="str">
        <f>IF(B12="出让",IF(I13="","",ROUNDDOWN(MIN((I13-$D$3)/365,I14),2)),I14)</f>
        <v/>
      </c>
      <c r="J15" s="2040"/>
      <c r="K15" s="2078"/>
      <c r="L15" s="2079"/>
      <c r="M15" s="2079"/>
      <c r="N15" s="2080"/>
      <c r="O15" s="2079"/>
      <c r="P15" s="2080"/>
      <c r="Q15" s="2027"/>
      <c r="R15" s="2027"/>
    </row>
    <row r="16" spans="1:19" ht="30.75" customHeight="1">
      <c r="A16" s="2062" t="s">
        <v>1760</v>
      </c>
      <c r="B16" s="3071" t="s">
        <v>3067</v>
      </c>
      <c r="C16" s="3072"/>
      <c r="D16" s="3073"/>
      <c r="E16" s="2081" t="s">
        <v>1761</v>
      </c>
      <c r="F16" s="3074"/>
      <c r="G16" s="3075"/>
      <c r="H16" s="3075"/>
      <c r="I16" s="3076"/>
      <c r="J16" s="2027"/>
      <c r="K16" s="2078"/>
      <c r="L16" s="2079"/>
      <c r="M16" s="2079"/>
      <c r="N16" s="2080"/>
      <c r="O16" s="2079"/>
      <c r="P16" s="2080"/>
      <c r="Q16" s="2027"/>
      <c r="R16" s="2027"/>
    </row>
    <row r="17" spans="1:22" ht="18" customHeight="1">
      <c r="A17" s="2082" t="s">
        <v>1762</v>
      </c>
      <c r="B17" s="2033" t="s">
        <v>1763</v>
      </c>
      <c r="C17" s="1053">
        <f>'数据-汇总表'!E3</f>
        <v>167325.31000000003</v>
      </c>
      <c r="D17" s="2083" t="s">
        <v>1764</v>
      </c>
      <c r="E17" s="3077" t="s">
        <v>3015</v>
      </c>
      <c r="F17" s="3078"/>
      <c r="G17" s="3078"/>
      <c r="H17" s="3078"/>
      <c r="I17" s="3079"/>
      <c r="J17" s="2027"/>
      <c r="K17" s="2084"/>
      <c r="L17" s="2079"/>
      <c r="M17" s="2079"/>
      <c r="N17" s="2080"/>
      <c r="O17" s="2079"/>
      <c r="P17" s="2080"/>
      <c r="Q17" s="2027"/>
      <c r="R17" s="2027"/>
      <c r="S17" s="2027"/>
      <c r="T17" s="2027"/>
      <c r="U17" s="2027"/>
      <c r="V17" s="2027"/>
    </row>
    <row r="18" spans="1:22" ht="36" customHeight="1" thickBot="1">
      <c r="A18" s="2085" t="s">
        <v>1765</v>
      </c>
      <c r="B18" s="2036" t="s">
        <v>1766</v>
      </c>
      <c r="C18" s="1443">
        <f>'数据-汇总表'!D3</f>
        <v>63529.08</v>
      </c>
      <c r="D18" s="2086" t="s">
        <v>1764</v>
      </c>
      <c r="E18" s="3080" t="s">
        <v>3016</v>
      </c>
      <c r="F18" s="3081"/>
      <c r="G18" s="3081"/>
      <c r="H18" s="3081"/>
      <c r="I18" s="3082"/>
      <c r="J18" s="2027"/>
      <c r="K18" s="2084"/>
      <c r="L18" s="2079"/>
      <c r="M18" s="2079"/>
      <c r="N18" s="2080"/>
      <c r="O18" s="2079"/>
      <c r="P18" s="2080"/>
      <c r="Q18" s="2027"/>
      <c r="R18" s="2027"/>
      <c r="S18" s="2027"/>
      <c r="T18" s="2027"/>
      <c r="U18" s="2027"/>
      <c r="V18" s="2027"/>
    </row>
    <row r="19" spans="1:22" ht="37.5" customHeight="1" thickTop="1" thickBot="1">
      <c r="A19" s="372" t="s">
        <v>1767</v>
      </c>
      <c r="B19" s="351" t="s">
        <v>1768</v>
      </c>
      <c r="C19" s="2087" t="s">
        <v>3006</v>
      </c>
      <c r="D19" s="2088" t="s">
        <v>1769</v>
      </c>
      <c r="E19" s="2089" t="s">
        <v>3020</v>
      </c>
      <c r="F19" s="2090" t="str">
        <f>IF(AND(C19="是",E19="否"),"是否提供他项权证或相关说明","")</f>
        <v>是否提供他项权证或相关说明</v>
      </c>
      <c r="G19" s="2091" t="s">
        <v>3020</v>
      </c>
      <c r="H19" s="2040"/>
      <c r="I19" s="2040"/>
      <c r="J19" s="2040"/>
      <c r="K19" s="2051"/>
      <c r="L19" s="2026"/>
      <c r="M19" s="2026"/>
      <c r="N19" s="2080"/>
      <c r="O19" s="2079"/>
      <c r="P19" s="2080"/>
      <c r="Q19" s="2027"/>
      <c r="R19" s="2027"/>
      <c r="S19" s="2027"/>
      <c r="T19" s="2027"/>
      <c r="U19" s="2027"/>
      <c r="V19" s="2027"/>
    </row>
    <row r="20" spans="1:22" ht="18" customHeight="1">
      <c r="A20" s="2092" t="s">
        <v>1770</v>
      </c>
      <c r="B20" s="3067" t="s">
        <v>1771</v>
      </c>
      <c r="C20" s="3068"/>
      <c r="D20" s="3069" t="s">
        <v>1772</v>
      </c>
      <c r="E20" s="3070"/>
      <c r="F20" s="2093" t="s">
        <v>1773</v>
      </c>
      <c r="G20" s="2040"/>
      <c r="H20" s="2040"/>
      <c r="I20" s="2040"/>
      <c r="J20" s="2040"/>
      <c r="K20" s="3066" t="s">
        <v>1774</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6"/>
      <c r="N20" s="2080"/>
      <c r="O20" s="2079"/>
      <c r="P20" s="2080"/>
      <c r="Q20" s="2027"/>
      <c r="R20" s="2027"/>
      <c r="S20" s="2027"/>
      <c r="T20" s="2027"/>
      <c r="U20" s="2027"/>
      <c r="V20" s="2027"/>
    </row>
    <row r="21" spans="1:22" ht="24.75" customHeight="1">
      <c r="A21" s="2092"/>
      <c r="B21" s="2094" t="s">
        <v>1775</v>
      </c>
      <c r="C21" s="2095" t="s">
        <v>3017</v>
      </c>
      <c r="D21" s="2096"/>
      <c r="E21" s="2097" t="s">
        <v>70</v>
      </c>
      <c r="F21" s="2098"/>
      <c r="G21" s="2040"/>
      <c r="H21" s="2040"/>
      <c r="I21" s="2040"/>
      <c r="J21" s="2040"/>
      <c r="K21" s="306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1776</v>
      </c>
      <c r="C22" s="2095" t="s">
        <v>1777</v>
      </c>
      <c r="D22" s="2024"/>
      <c r="E22" s="2024"/>
      <c r="F22" s="2100"/>
      <c r="G22" s="2040"/>
      <c r="H22" s="2040"/>
      <c r="I22" s="2040"/>
      <c r="J22" s="2040"/>
      <c r="K22" s="306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1778</v>
      </c>
      <c r="B23" s="182" t="s">
        <v>1779</v>
      </c>
      <c r="C23" s="2102"/>
      <c r="D23" s="2103" t="s">
        <v>1779</v>
      </c>
      <c r="E23" s="2104"/>
      <c r="F23" s="2100"/>
      <c r="G23" s="2040"/>
      <c r="H23" s="2040"/>
      <c r="I23" s="2040"/>
      <c r="J23" s="2040"/>
      <c r="K23" s="2105"/>
      <c r="L23" s="747"/>
      <c r="M23" s="2026"/>
      <c r="N23" s="2080"/>
      <c r="O23" s="2079"/>
      <c r="P23" s="2080"/>
      <c r="Q23" s="2027"/>
      <c r="R23" s="2027"/>
      <c r="S23" s="2027"/>
      <c r="T23" s="2027"/>
      <c r="U23" s="2027"/>
      <c r="V23" s="2027"/>
    </row>
    <row r="24" spans="1:22" ht="18" customHeight="1">
      <c r="A24" s="2106"/>
      <c r="B24" s="182" t="s">
        <v>1780</v>
      </c>
      <c r="C24" s="2107"/>
      <c r="D24" s="2101" t="s">
        <v>1780</v>
      </c>
      <c r="E24" s="2108"/>
      <c r="F24" s="2100"/>
      <c r="G24" s="2040"/>
      <c r="H24" s="2040"/>
      <c r="I24" s="2040"/>
      <c r="J24" s="2040"/>
      <c r="K24" s="2105"/>
      <c r="L24" s="747"/>
      <c r="M24" s="2026"/>
      <c r="N24" s="2080"/>
      <c r="O24" s="2079"/>
      <c r="P24" s="2080"/>
      <c r="Q24" s="2027"/>
      <c r="R24" s="2027"/>
      <c r="S24" s="2027"/>
      <c r="T24" s="2027"/>
      <c r="U24" s="2027"/>
      <c r="V24" s="2027"/>
    </row>
    <row r="25" spans="1:22" ht="18" customHeight="1">
      <c r="A25" s="2106"/>
      <c r="B25" s="182" t="s">
        <v>1781</v>
      </c>
      <c r="C25" s="2107"/>
      <c r="D25" s="2101" t="s">
        <v>1781</v>
      </c>
      <c r="E25" s="2108"/>
      <c r="F25" s="2100"/>
      <c r="G25" s="2040"/>
      <c r="H25" s="2040"/>
      <c r="I25" s="2040"/>
      <c r="J25" s="2040"/>
      <c r="K25" s="2051"/>
      <c r="L25" s="2026"/>
      <c r="M25" s="2026"/>
      <c r="N25" s="2080"/>
      <c r="O25" s="2079"/>
      <c r="P25" s="2080"/>
      <c r="Q25" s="2027"/>
      <c r="R25" s="2027"/>
      <c r="S25" s="2027"/>
      <c r="T25" s="2027"/>
      <c r="U25" s="2027"/>
      <c r="V25" s="2027"/>
    </row>
    <row r="26" spans="1:22" ht="18" customHeight="1" thickBot="1">
      <c r="A26" s="2109"/>
      <c r="B26" s="2110" t="s">
        <v>1782</v>
      </c>
      <c r="C26" s="2111"/>
      <c r="D26" s="2112" t="s">
        <v>1783</v>
      </c>
      <c r="E26" s="2113"/>
      <c r="F26" s="2114"/>
      <c r="G26" s="2059"/>
      <c r="H26" s="2059"/>
      <c r="I26" s="2059"/>
      <c r="J26" s="2040"/>
      <c r="K26" s="2051"/>
      <c r="L26" s="2026"/>
      <c r="M26" s="2026"/>
      <c r="N26" s="2080"/>
      <c r="O26" s="2079"/>
      <c r="P26" s="2080"/>
      <c r="Q26" s="2027"/>
      <c r="R26" s="2027"/>
      <c r="S26" s="2027"/>
      <c r="T26" s="2027"/>
      <c r="U26" s="2027"/>
      <c r="V26" s="2027"/>
    </row>
    <row r="27" spans="1:22" ht="18" customHeight="1" thickTop="1">
      <c r="A27" s="3084" t="s">
        <v>1784</v>
      </c>
      <c r="B27" s="2060" t="s">
        <v>1785</v>
      </c>
      <c r="C27" s="2115" t="s">
        <v>3018</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84"/>
      <c r="B28" s="2033" t="s">
        <v>1786</v>
      </c>
      <c r="C28" s="2117" t="s">
        <v>3019</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84"/>
      <c r="B29" s="2033" t="s">
        <v>1787</v>
      </c>
      <c r="C29" s="2120" t="s">
        <v>3020</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85"/>
      <c r="B30" s="2033" t="s">
        <v>1788</v>
      </c>
      <c r="C30" s="3086"/>
      <c r="D30" s="3087"/>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88" t="s">
        <v>1789</v>
      </c>
      <c r="B31" s="2122" t="s">
        <v>3021</v>
      </c>
      <c r="C31" s="2123" t="str">
        <f>IF(B31="现房","成新及维护状况正常否",IF(B31="在建","工程状态是否正常",IF(B31="土地","是否闲置","-")))</f>
        <v>工程状态是否正常</v>
      </c>
      <c r="D31" s="2124"/>
      <c r="E31" s="2125"/>
      <c r="F31" s="2040"/>
      <c r="G31" s="2040"/>
      <c r="H31" s="2040"/>
      <c r="I31" s="2040"/>
      <c r="J31" s="2040"/>
      <c r="K31" s="2050"/>
      <c r="L31" s="2026"/>
      <c r="M31" s="2026"/>
      <c r="N31" s="2027"/>
      <c r="O31" s="2028"/>
      <c r="P31" s="2027"/>
      <c r="Q31" s="2027"/>
      <c r="R31" s="2027"/>
      <c r="S31" s="2027"/>
      <c r="T31" s="2027"/>
      <c r="U31" s="2027"/>
      <c r="V31" s="2027"/>
    </row>
    <row r="32" spans="1:22" ht="18" customHeight="1">
      <c r="A32" s="3089"/>
      <c r="B32" s="2122"/>
      <c r="C32" s="2123" t="str">
        <f>IF(B32="现房","成新及维护状况是否正常",IF(B32="在建","工程状态是否正常",IF(B32="土地","是否闲置","-")))</f>
        <v>-</v>
      </c>
      <c r="D32" s="2124"/>
      <c r="E32" s="2125"/>
      <c r="F32" s="2040"/>
      <c r="G32" s="2040"/>
      <c r="H32" s="2040"/>
      <c r="I32" s="2040"/>
      <c r="J32" s="2040"/>
      <c r="K32" s="2051"/>
      <c r="L32" s="2026"/>
      <c r="M32" s="2026"/>
      <c r="N32" s="2027"/>
      <c r="O32" s="2028"/>
      <c r="P32" s="2027"/>
      <c r="Q32" s="2027"/>
      <c r="R32" s="2027"/>
      <c r="S32" s="2027"/>
      <c r="T32" s="2027"/>
      <c r="U32" s="2027"/>
      <c r="V32" s="2027"/>
    </row>
    <row r="33" spans="1:22" ht="18" customHeight="1">
      <c r="A33" s="3089"/>
      <c r="B33" s="2126"/>
      <c r="C33" s="2065" t="str">
        <f>IF(B33="现房","成新及维护状况是否正常",IF(B33="在建","工程状态是否正常",IF(B33="土地","是否闲置","-")))</f>
        <v>-</v>
      </c>
      <c r="D33" s="2127"/>
      <c r="E33" s="2128"/>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1790</v>
      </c>
      <c r="B34" s="2129" t="s">
        <v>3022</v>
      </c>
      <c r="C34" s="2129" t="s">
        <v>3023</v>
      </c>
      <c r="D34" s="2129" t="s">
        <v>3024</v>
      </c>
      <c r="E34" s="2129" t="s">
        <v>3025</v>
      </c>
      <c r="F34" s="2129" t="s">
        <v>3026</v>
      </c>
      <c r="G34" s="2129" t="s">
        <v>3027</v>
      </c>
      <c r="H34" s="2129" t="s">
        <v>3028</v>
      </c>
      <c r="I34" s="2040"/>
      <c r="J34" s="2040"/>
      <c r="K34" s="1793">
        <f>COUNTIF(B34:H34,"——")</f>
        <v>0</v>
      </c>
      <c r="L34" s="2070" t="s">
        <v>1791</v>
      </c>
      <c r="M34" s="2070" t="s">
        <v>1792</v>
      </c>
      <c r="N34" s="2070" t="s">
        <v>1793</v>
      </c>
      <c r="O34" s="2070" t="s">
        <v>1794</v>
      </c>
      <c r="P34" s="2070" t="s">
        <v>1795</v>
      </c>
      <c r="Q34" s="2070" t="s">
        <v>1796</v>
      </c>
      <c r="R34" s="2070" t="s">
        <v>1797</v>
      </c>
      <c r="S34" s="3083" t="s">
        <v>1798</v>
      </c>
      <c r="T34" s="2130" t="str">
        <f>NUMBERSTRING(7-K34,1)&amp;"通"</f>
        <v>七通</v>
      </c>
      <c r="U34" s="2027"/>
      <c r="V34" s="2027"/>
    </row>
    <row r="35" spans="1:22" ht="18" customHeight="1">
      <c r="A35" s="2131"/>
      <c r="B35" s="3090" t="s">
        <v>1799</v>
      </c>
      <c r="C35" s="3090"/>
      <c r="D35" s="3090"/>
      <c r="E35" s="3090"/>
      <c r="F35" s="2132" t="str">
        <f>C10</f>
        <v>安徽省</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83"/>
      <c r="T35" s="48" t="str">
        <f>IF(T34="一通",L35,IF(T34="二通",M35,IF(T34="三通",N35,IF(T34="四通",O35,IF(T34="五通",P35,IF(T34="六通",Q35,R35))))))</f>
        <v>通路、通电、通讯、通上水、通下水、燃气、平整</v>
      </c>
      <c r="U35" s="2027"/>
      <c r="V35" s="2027"/>
    </row>
    <row r="36" spans="1:22" ht="18" customHeight="1">
      <c r="A36" s="2133"/>
      <c r="B36" s="2132" t="s">
        <v>1800</v>
      </c>
      <c r="C36" s="2132" t="s">
        <v>1801</v>
      </c>
      <c r="D36" s="2132" t="s">
        <v>1802</v>
      </c>
      <c r="E36" s="2132" t="s">
        <v>1803</v>
      </c>
      <c r="F36" s="2134"/>
      <c r="G36" s="2040"/>
      <c r="H36" s="2040"/>
      <c r="I36" s="2040"/>
      <c r="J36" s="2040"/>
      <c r="K36" s="2051"/>
      <c r="L36" s="2026"/>
      <c r="M36" s="2026"/>
      <c r="N36" s="2027"/>
      <c r="O36" s="2028"/>
      <c r="P36" s="2027"/>
      <c r="Q36" s="2027"/>
      <c r="R36" s="2027"/>
      <c r="S36" s="2027"/>
      <c r="T36" s="2027"/>
      <c r="U36" s="2027"/>
      <c r="V36" s="2027"/>
    </row>
    <row r="37" spans="1:22" ht="18" customHeight="1">
      <c r="A37" s="2135" t="s">
        <v>1804</v>
      </c>
      <c r="B37" s="2136"/>
      <c r="C37" s="2136"/>
      <c r="D37" s="2136"/>
      <c r="E37" s="2136"/>
      <c r="F37" s="2134"/>
      <c r="G37" s="2040"/>
      <c r="H37" s="2040"/>
      <c r="I37" s="2040"/>
      <c r="J37" s="2040"/>
      <c r="K37" s="2051"/>
      <c r="L37" s="2026"/>
      <c r="M37" s="2026"/>
      <c r="N37" s="2027"/>
      <c r="O37" s="2028"/>
      <c r="P37" s="2027"/>
      <c r="Q37" s="2027"/>
      <c r="R37" s="2027"/>
      <c r="S37" s="2027"/>
      <c r="T37" s="2027"/>
      <c r="U37" s="2027"/>
      <c r="V37" s="2027"/>
    </row>
    <row r="38" spans="1:22" ht="18" customHeight="1" thickBot="1">
      <c r="A38" s="2137" t="s">
        <v>1805</v>
      </c>
      <c r="B38" s="2138"/>
      <c r="C38" s="2138"/>
      <c r="D38" s="2138"/>
      <c r="E38" s="2138"/>
      <c r="F38" s="2139"/>
      <c r="G38" s="2059"/>
      <c r="H38" s="2059"/>
      <c r="I38" s="2059"/>
      <c r="J38" s="2040"/>
      <c r="K38" s="2051"/>
      <c r="L38" s="2026"/>
      <c r="M38" s="2026"/>
      <c r="N38" s="2027"/>
      <c r="O38" s="2028"/>
      <c r="P38" s="2027"/>
      <c r="Q38" s="2027"/>
      <c r="R38" s="2027"/>
      <c r="S38" s="2027"/>
      <c r="T38" s="2027"/>
      <c r="U38" s="2027"/>
      <c r="V38" s="2027"/>
    </row>
    <row r="39" spans="1:22" s="2144" customFormat="1" ht="18" customHeight="1" thickTop="1" thickBot="1">
      <c r="A39" s="2140" t="s">
        <v>1806</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5"/>
      <c r="L40" s="2079"/>
      <c r="M40" s="2079"/>
      <c r="N40" s="2080"/>
      <c r="O40" s="2079"/>
      <c r="P40" s="2027"/>
      <c r="Q40" s="2027"/>
      <c r="R40" s="2027"/>
      <c r="S40" s="2027"/>
      <c r="T40" s="2027"/>
      <c r="U40" s="2027"/>
      <c r="V40" s="2027"/>
    </row>
    <row r="41" spans="1:22" ht="18" customHeight="1">
      <c r="A41" s="8" t="s">
        <v>1807</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1808</v>
      </c>
      <c r="B42" s="1793" t="s">
        <v>1809</v>
      </c>
      <c r="C42" s="1793" t="s">
        <v>1810</v>
      </c>
      <c r="D42" s="1793" t="s">
        <v>1811</v>
      </c>
      <c r="E42" s="1793" t="s">
        <v>1812</v>
      </c>
      <c r="F42" s="1793" t="s">
        <v>1813</v>
      </c>
      <c r="G42" s="1793" t="s">
        <v>1814</v>
      </c>
      <c r="H42" s="1793" t="s">
        <v>1815</v>
      </c>
      <c r="I42" s="1793" t="s">
        <v>1816</v>
      </c>
      <c r="J42" s="2148" t="s">
        <v>1817</v>
      </c>
      <c r="K42" s="2071" t="s">
        <v>1818</v>
      </c>
      <c r="L42" s="2071" t="s">
        <v>1819</v>
      </c>
      <c r="M42" s="2071" t="s">
        <v>1820</v>
      </c>
      <c r="N42" s="1793" t="s">
        <v>1821</v>
      </c>
      <c r="O42" s="1793" t="s">
        <v>1822</v>
      </c>
      <c r="P42" s="1793" t="s">
        <v>1823</v>
      </c>
      <c r="Q42" s="2070" t="s">
        <v>1824</v>
      </c>
      <c r="R42" s="2070" t="s">
        <v>1825</v>
      </c>
      <c r="S42" s="2027"/>
      <c r="T42" s="2027"/>
      <c r="U42" s="2027"/>
      <c r="V42" s="2027"/>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8.5" style="2155" customWidth="1"/>
    <col min="2" max="2" width="9.625" style="2155" customWidth="1"/>
    <col min="3" max="3" width="16.875" style="2155" customWidth="1"/>
    <col min="4" max="4" width="9.125" style="2155" customWidth="1"/>
    <col min="5" max="6" width="10" style="2217" customWidth="1"/>
    <col min="7" max="8" width="10" style="2155" customWidth="1"/>
    <col min="9" max="9" width="10.625" style="2155" customWidth="1"/>
    <col min="10" max="10" width="10.375" style="2155" customWidth="1"/>
    <col min="11" max="11" width="11" style="2155" customWidth="1"/>
    <col min="12" max="12" width="9.5" style="2155" customWidth="1"/>
    <col min="13" max="13" width="10.5" style="2155" customWidth="1"/>
    <col min="14" max="14" width="9.5" style="2155"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1" width="10.875" style="2155" bestFit="1" customWidth="1"/>
    <col min="52"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1826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1827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1828</v>
      </c>
      <c r="B2" s="11" t="s">
        <v>1829</v>
      </c>
      <c r="C2" s="11" t="s">
        <v>1830</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1831</v>
      </c>
      <c r="AZ2" s="1269" t="s">
        <v>1832</v>
      </c>
      <c r="BA2" s="11" t="s">
        <v>1833</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83089.350000000006</v>
      </c>
      <c r="B3" s="14">
        <f>IF(C3="否",G5-AT5,G5)</f>
        <v>218843.90000000005</v>
      </c>
      <c r="C3" s="2164" t="s">
        <v>3006</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1834</v>
      </c>
      <c r="B5" s="1801"/>
      <c r="C5" s="1801"/>
      <c r="D5" s="1804"/>
      <c r="E5" s="16" t="s">
        <v>1</v>
      </c>
      <c r="F5" s="16">
        <f>SUM(F13:F587)</f>
        <v>0</v>
      </c>
      <c r="G5" s="16">
        <f>SUM(G13:G587)</f>
        <v>218843.90000000005</v>
      </c>
      <c r="H5" s="16">
        <f t="shared" ref="H5:AT5" si="0">SUM(H13:H656)</f>
        <v>199978.33000000002</v>
      </c>
      <c r="I5" s="16">
        <f t="shared" si="0"/>
        <v>121660.98</v>
      </c>
      <c r="J5" s="16">
        <f t="shared" si="0"/>
        <v>28478.320000000003</v>
      </c>
      <c r="K5" s="16">
        <f t="shared" si="0"/>
        <v>40577.93</v>
      </c>
      <c r="L5" s="16">
        <f t="shared" si="0"/>
        <v>4174.7</v>
      </c>
      <c r="M5" s="16">
        <f t="shared" si="0"/>
        <v>37739.420000000006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10012.94</v>
      </c>
      <c r="AD5" s="16">
        <f t="shared" si="0"/>
        <v>3675.9</v>
      </c>
      <c r="AE5" s="16">
        <f t="shared" si="0"/>
        <v>0</v>
      </c>
      <c r="AF5" s="16">
        <f t="shared" si="0"/>
        <v>1535.19</v>
      </c>
      <c r="AG5" s="16">
        <f t="shared" si="0"/>
        <v>0</v>
      </c>
      <c r="AH5" s="16">
        <f t="shared" si="0"/>
        <v>661.37</v>
      </c>
      <c r="AI5" s="16">
        <f t="shared" si="0"/>
        <v>0</v>
      </c>
      <c r="AJ5" s="16">
        <f t="shared" si="0"/>
        <v>0</v>
      </c>
      <c r="AK5" s="16">
        <f t="shared" si="0"/>
        <v>0</v>
      </c>
      <c r="AL5" s="16">
        <f t="shared" si="0"/>
        <v>281.52999999999997</v>
      </c>
      <c r="AM5" s="16">
        <f t="shared" si="0"/>
        <v>0</v>
      </c>
      <c r="AN5" s="16">
        <f t="shared" si="0"/>
        <v>3858.9500000000007</v>
      </c>
      <c r="AO5" s="16">
        <f t="shared" si="0"/>
        <v>1385.31</v>
      </c>
      <c r="AP5" s="16">
        <f t="shared" si="0"/>
        <v>0</v>
      </c>
      <c r="AQ5" s="16">
        <f t="shared" si="0"/>
        <v>0</v>
      </c>
      <c r="AR5" s="16">
        <f t="shared" si="0"/>
        <v>0</v>
      </c>
      <c r="AS5" s="16">
        <f t="shared" si="0"/>
        <v>0</v>
      </c>
      <c r="AT5" s="16">
        <f t="shared" si="0"/>
        <v>8852.6299999999992</v>
      </c>
      <c r="AU5" s="1800"/>
      <c r="AV5" s="15" t="s">
        <v>1834</v>
      </c>
      <c r="AW5" s="1801"/>
      <c r="AX5" s="1801"/>
      <c r="AY5" s="17" t="s">
        <v>3</v>
      </c>
      <c r="AZ5" s="18">
        <f t="shared" ref="AZ5:BT5" si="1">SUM(AZ13:AZ656)</f>
        <v>167325.31000000003</v>
      </c>
      <c r="BA5" s="18">
        <f t="shared" si="1"/>
        <v>167325.31000000003</v>
      </c>
      <c r="BB5" s="18">
        <f t="shared" si="1"/>
        <v>93182.659999999989</v>
      </c>
      <c r="BC5" s="18">
        <f t="shared" si="1"/>
        <v>36403.230000000003</v>
      </c>
      <c r="BD5" s="18">
        <f t="shared" si="1"/>
        <v>37739.420000000006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1835</v>
      </c>
      <c r="B6" s="2170"/>
      <c r="C6" s="2170"/>
      <c r="D6" s="2171"/>
      <c r="E6" s="16">
        <f>H6+AC6+AT6</f>
        <v>83089.349999999991</v>
      </c>
      <c r="F6" s="16" t="s">
        <v>1</v>
      </c>
      <c r="G6" s="16" t="s">
        <v>2</v>
      </c>
      <c r="H6" s="20">
        <f>SUMIF(I$12:AB$12,"总值",I6:AB6)</f>
        <v>75926.59</v>
      </c>
      <c r="I6" s="16">
        <f t="shared" ref="I6:AB6" si="2">ROUND($A$3*I5/$B$3,2)</f>
        <v>46191.519999999997</v>
      </c>
      <c r="J6" s="16">
        <f t="shared" si="2"/>
        <v>10812.48</v>
      </c>
      <c r="K6" s="16">
        <f t="shared" si="2"/>
        <v>15406.39</v>
      </c>
      <c r="L6" s="16">
        <f t="shared" si="2"/>
        <v>1585.03</v>
      </c>
      <c r="M6" s="16">
        <f t="shared" si="2"/>
        <v>14328.68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3801.6500000000005</v>
      </c>
      <c r="AD6" s="16">
        <f t="shared" ref="AD6:AS6" si="3">ROUND($A$3*AD5/$B$3,2)</f>
        <v>1395.64</v>
      </c>
      <c r="AE6" s="16">
        <f t="shared" si="3"/>
        <v>0</v>
      </c>
      <c r="AF6" s="16">
        <f t="shared" si="3"/>
        <v>582.87</v>
      </c>
      <c r="AG6" s="16">
        <f t="shared" si="3"/>
        <v>0</v>
      </c>
      <c r="AH6" s="16">
        <f t="shared" si="3"/>
        <v>251.11</v>
      </c>
      <c r="AI6" s="16">
        <f t="shared" si="3"/>
        <v>0</v>
      </c>
      <c r="AJ6" s="16">
        <f t="shared" si="3"/>
        <v>0</v>
      </c>
      <c r="AK6" s="16">
        <f t="shared" si="3"/>
        <v>0</v>
      </c>
      <c r="AL6" s="16">
        <f t="shared" si="3"/>
        <v>106.89</v>
      </c>
      <c r="AM6" s="16">
        <f t="shared" si="3"/>
        <v>0</v>
      </c>
      <c r="AN6" s="16">
        <f t="shared" si="3"/>
        <v>1465.14</v>
      </c>
      <c r="AO6" s="16">
        <f t="shared" si="3"/>
        <v>525.97</v>
      </c>
      <c r="AP6" s="16">
        <f t="shared" si="3"/>
        <v>0</v>
      </c>
      <c r="AQ6" s="16">
        <f t="shared" si="3"/>
        <v>0</v>
      </c>
      <c r="AR6" s="16">
        <f t="shared" si="3"/>
        <v>0</v>
      </c>
      <c r="AS6" s="16">
        <f t="shared" si="3"/>
        <v>0</v>
      </c>
      <c r="AT6" s="20">
        <f>IF(C3="是",ROUND($A$3*AT5/$B$3,2),0)</f>
        <v>3361.11</v>
      </c>
      <c r="AU6" s="2172"/>
      <c r="AV6" s="15" t="s">
        <v>1835</v>
      </c>
      <c r="AW6" s="2170"/>
      <c r="AX6" s="2170"/>
      <c r="AY6" s="21">
        <f>IF(AY3&gt;0,AY3,ROUND($A$3*AZ5/$B$3,2))</f>
        <v>63529.08</v>
      </c>
      <c r="AZ6" s="16" t="s">
        <v>3</v>
      </c>
      <c r="BA6" s="16">
        <f>ROUND($AY$6*BA5/$AZ$5,2)</f>
        <v>63529.08</v>
      </c>
      <c r="BB6" s="16">
        <f>ROUND($AY$6*BB5/$AZ$5,2)</f>
        <v>35379.040000000001</v>
      </c>
      <c r="BC6" s="16">
        <f t="shared" ref="BC6:BH6" si="4">ROUND($AY$6*BC5/$AZ$5,2)</f>
        <v>13821.36</v>
      </c>
      <c r="BD6" s="16">
        <f t="shared" si="4"/>
        <v>14328.68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1836</v>
      </c>
      <c r="B7" s="2105" t="s">
        <v>1837</v>
      </c>
      <c r="C7" s="2105" t="s">
        <v>1838</v>
      </c>
      <c r="D7" s="2105" t="s">
        <v>1839</v>
      </c>
      <c r="E7" s="2105" t="s">
        <v>1840</v>
      </c>
      <c r="F7" s="2105" t="s">
        <v>1841</v>
      </c>
      <c r="G7" s="2174" t="s">
        <v>1842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1843</v>
      </c>
      <c r="AV7" s="23" t="s">
        <v>1844</v>
      </c>
      <c r="AW7" s="2162" t="s">
        <v>1845</v>
      </c>
      <c r="AX7" s="23" t="s">
        <v>1838</v>
      </c>
      <c r="AY7" s="1801" t="s">
        <v>1846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1847</v>
      </c>
      <c r="H8" s="2180" t="s">
        <v>1848</v>
      </c>
      <c r="I8" s="2181"/>
      <c r="J8" s="1816"/>
      <c r="K8" s="1816"/>
      <c r="L8" s="1816"/>
      <c r="M8" s="1816"/>
      <c r="N8" s="1816"/>
      <c r="O8" s="1816"/>
      <c r="P8" s="1816"/>
      <c r="Q8" s="1816"/>
      <c r="R8" s="1816"/>
      <c r="S8" s="1816"/>
      <c r="T8" s="1816"/>
      <c r="U8" s="1816"/>
      <c r="V8" s="2182"/>
      <c r="W8" s="1816"/>
      <c r="X8" s="1816"/>
      <c r="Y8" s="1816"/>
      <c r="Z8" s="1816"/>
      <c r="AA8" s="2182"/>
      <c r="AB8" s="2183"/>
      <c r="AC8" s="980" t="s">
        <v>1849</v>
      </c>
      <c r="AD8" s="2184"/>
      <c r="AE8" s="2176"/>
      <c r="AF8" s="1816"/>
      <c r="AG8" s="1816"/>
      <c r="AH8" s="1816"/>
      <c r="AI8" s="1816"/>
      <c r="AJ8" s="1816"/>
      <c r="AK8" s="1816"/>
      <c r="AL8" s="1816"/>
      <c r="AM8" s="1816"/>
      <c r="AN8" s="1816"/>
      <c r="AO8" s="1816"/>
      <c r="AP8" s="1816"/>
      <c r="AQ8" s="1816"/>
      <c r="AR8" s="1816"/>
      <c r="AS8" s="1816"/>
      <c r="AT8" s="1291" t="s">
        <v>1850</v>
      </c>
      <c r="AU8" s="2178" t="s">
        <v>1851</v>
      </c>
      <c r="AV8" s="1291"/>
      <c r="AW8" s="2161"/>
      <c r="AX8" s="1291"/>
      <c r="AY8" s="2162" t="s">
        <v>1852</v>
      </c>
      <c r="AZ8" s="1815" t="s">
        <v>1853</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91"/>
      <c r="H9" s="2186" t="s">
        <v>1854</v>
      </c>
      <c r="I9" s="2187" t="s">
        <v>3002</v>
      </c>
      <c r="J9" s="980"/>
      <c r="K9" s="2187" t="s">
        <v>3004</v>
      </c>
      <c r="L9" s="980"/>
      <c r="M9" s="2187" t="s">
        <v>3004</v>
      </c>
      <c r="N9" s="980"/>
      <c r="O9" s="2187"/>
      <c r="P9" s="980"/>
      <c r="Q9" s="2187"/>
      <c r="R9" s="980"/>
      <c r="S9" s="2187"/>
      <c r="T9" s="980"/>
      <c r="U9" s="2187"/>
      <c r="V9" s="980"/>
      <c r="W9" s="2187"/>
      <c r="X9" s="2188"/>
      <c r="Y9" s="2187"/>
      <c r="Z9" s="980"/>
      <c r="AA9" s="2187"/>
      <c r="AB9" s="980"/>
      <c r="AC9" s="2179" t="s">
        <v>1854</v>
      </c>
      <c r="AD9" s="15" t="s">
        <v>1855</v>
      </c>
      <c r="AE9" s="1297"/>
      <c r="AF9" s="15" t="s">
        <v>1856</v>
      </c>
      <c r="AG9" s="1297"/>
      <c r="AH9" s="15" t="s">
        <v>1855</v>
      </c>
      <c r="AI9" s="1297"/>
      <c r="AJ9" s="15" t="s">
        <v>1856</v>
      </c>
      <c r="AK9" s="1297"/>
      <c r="AL9" s="15" t="s">
        <v>1855</v>
      </c>
      <c r="AM9" s="1297"/>
      <c r="AN9" s="15" t="s">
        <v>1856</v>
      </c>
      <c r="AO9" s="1297"/>
      <c r="AP9" s="15" t="s">
        <v>1855</v>
      </c>
      <c r="AQ9" s="1297"/>
      <c r="AR9" s="15" t="s">
        <v>1856</v>
      </c>
      <c r="AS9" s="2189"/>
      <c r="AT9" s="2178"/>
      <c r="AU9" s="2178" t="s">
        <v>1857</v>
      </c>
      <c r="AV9" s="1291"/>
      <c r="AW9" s="2161"/>
      <c r="AX9" s="1291"/>
      <c r="AY9" s="28"/>
      <c r="AZ9" s="28" t="s">
        <v>1847</v>
      </c>
      <c r="BA9" s="2190" t="s">
        <v>1858</v>
      </c>
      <c r="BB9" s="2191"/>
      <c r="BC9" s="1337"/>
      <c r="BD9" s="1337"/>
      <c r="BE9" s="1337"/>
      <c r="BF9" s="1337"/>
      <c r="BG9" s="1337"/>
      <c r="BH9" s="1337"/>
      <c r="BI9" s="1337"/>
      <c r="BJ9" s="1337"/>
      <c r="BK9" s="2192"/>
      <c r="BL9" s="15" t="s">
        <v>1859</v>
      </c>
      <c r="BM9" s="1816"/>
      <c r="BN9" s="2181"/>
      <c r="BO9" s="1816"/>
      <c r="BP9" s="1816"/>
      <c r="BQ9" s="1816"/>
      <c r="BR9" s="1816"/>
      <c r="BS9" s="1816"/>
      <c r="BT9" s="26"/>
    </row>
    <row r="10" spans="1:72" s="2185" customFormat="1" ht="12.75">
      <c r="A10" s="2178"/>
      <c r="B10" s="2178"/>
      <c r="C10" s="2178"/>
      <c r="D10" s="2178"/>
      <c r="E10" s="2178"/>
      <c r="F10" s="2178"/>
      <c r="G10" s="1291"/>
      <c r="H10" s="28"/>
      <c r="I10" s="2187" t="s">
        <v>3003</v>
      </c>
      <c r="J10" s="980"/>
      <c r="K10" s="2193" t="s">
        <v>3003</v>
      </c>
      <c r="L10" s="980"/>
      <c r="M10" s="2193" t="s">
        <v>3005</v>
      </c>
      <c r="N10" s="980"/>
      <c r="O10" s="2193"/>
      <c r="P10" s="980"/>
      <c r="Q10" s="2193"/>
      <c r="R10" s="980"/>
      <c r="S10" s="2193"/>
      <c r="T10" s="980"/>
      <c r="U10" s="2193"/>
      <c r="V10" s="980"/>
      <c r="W10" s="2193"/>
      <c r="X10" s="980"/>
      <c r="Y10" s="2193"/>
      <c r="Z10" s="980"/>
      <c r="AA10" s="2193"/>
      <c r="AB10" s="980"/>
      <c r="AC10" s="1291"/>
      <c r="AD10" s="15" t="s">
        <v>1860</v>
      </c>
      <c r="AE10" s="2194"/>
      <c r="AF10" s="15" t="s">
        <v>1860</v>
      </c>
      <c r="AG10" s="2194"/>
      <c r="AH10" s="15" t="s">
        <v>1861</v>
      </c>
      <c r="AI10" s="2194"/>
      <c r="AJ10" s="15" t="s">
        <v>1861</v>
      </c>
      <c r="AK10" s="2194"/>
      <c r="AL10" s="15" t="s">
        <v>1862</v>
      </c>
      <c r="AM10" s="1297"/>
      <c r="AN10" s="15" t="s">
        <v>1862</v>
      </c>
      <c r="AO10" s="1297"/>
      <c r="AP10" s="15" t="s">
        <v>1863</v>
      </c>
      <c r="AQ10" s="1297"/>
      <c r="AR10" s="15" t="s">
        <v>1863</v>
      </c>
      <c r="AS10" s="1297"/>
      <c r="AT10" s="2178"/>
      <c r="AU10" s="2178"/>
      <c r="AV10" s="1291"/>
      <c r="AW10" s="2161"/>
      <c r="AX10" s="1291"/>
      <c r="AY10" s="28"/>
      <c r="AZ10" s="28"/>
      <c r="BA10" s="2195" t="s">
        <v>1854</v>
      </c>
      <c r="BB10" s="2196" t="str">
        <f>I9</f>
        <v>地上</v>
      </c>
      <c r="BC10" s="29" t="str">
        <f>K9</f>
        <v>地下</v>
      </c>
      <c r="BD10" s="29" t="str">
        <f>M9</f>
        <v>地下</v>
      </c>
      <c r="BE10" s="29">
        <f>O9</f>
        <v>0</v>
      </c>
      <c r="BF10" s="29">
        <f>Q9</f>
        <v>0</v>
      </c>
      <c r="BG10" s="29">
        <f>S9</f>
        <v>0</v>
      </c>
      <c r="BH10" s="29">
        <f>U9</f>
        <v>0</v>
      </c>
      <c r="BI10" s="29">
        <f>W9</f>
        <v>0</v>
      </c>
      <c r="BJ10" s="29">
        <f>Y9</f>
        <v>0</v>
      </c>
      <c r="BK10" s="29">
        <f>AA9</f>
        <v>0</v>
      </c>
      <c r="BL10" s="25" t="s">
        <v>1854</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91"/>
      <c r="H11" s="2195"/>
      <c r="I11" s="2198" t="s">
        <v>2998</v>
      </c>
      <c r="J11" s="2199"/>
      <c r="K11" s="2198" t="s">
        <v>3037</v>
      </c>
      <c r="L11" s="2199"/>
      <c r="M11" s="2198" t="s">
        <v>3001</v>
      </c>
      <c r="N11" s="2199"/>
      <c r="O11" s="2198"/>
      <c r="P11" s="2199"/>
      <c r="Q11" s="2198"/>
      <c r="R11" s="2199"/>
      <c r="S11" s="2198"/>
      <c r="T11" s="2199"/>
      <c r="U11" s="2198"/>
      <c r="V11" s="2199"/>
      <c r="W11" s="2198"/>
      <c r="X11" s="2199"/>
      <c r="Y11" s="2198"/>
      <c r="Z11" s="2199"/>
      <c r="AA11" s="2198"/>
      <c r="AB11" s="2199"/>
      <c r="AC11" s="1291"/>
      <c r="AD11" s="2200" t="s">
        <v>1864</v>
      </c>
      <c r="AE11" s="1817"/>
      <c r="AF11" s="2200" t="s">
        <v>1864</v>
      </c>
      <c r="AG11" s="1817"/>
      <c r="AH11" s="2200" t="s">
        <v>1865</v>
      </c>
      <c r="AI11" s="2201"/>
      <c r="AJ11" s="2200" t="s">
        <v>1865</v>
      </c>
      <c r="AK11" s="1817"/>
      <c r="AL11" s="1815"/>
      <c r="AM11" s="1817"/>
      <c r="AN11" s="1815"/>
      <c r="AO11" s="1817"/>
      <c r="AP11" s="1815"/>
      <c r="AQ11" s="1817"/>
      <c r="AR11" s="1815"/>
      <c r="AS11" s="1817"/>
      <c r="AT11" s="2161"/>
      <c r="AU11" s="2178"/>
      <c r="AV11" s="1291"/>
      <c r="AW11" s="2161"/>
      <c r="AX11" s="1291"/>
      <c r="AY11" s="28"/>
      <c r="AZ11" s="28"/>
      <c r="BA11" s="28"/>
      <c r="BB11" s="2183" t="str">
        <f>I10</f>
        <v>住宅</v>
      </c>
      <c r="BC11" s="2183" t="str">
        <f>K10</f>
        <v>住宅</v>
      </c>
      <c r="BD11" s="2183" t="str">
        <f>M10</f>
        <v>车库</v>
      </c>
      <c r="BE11" s="2183">
        <f>O10</f>
        <v>0</v>
      </c>
      <c r="BF11" s="2183">
        <f>Q10</f>
        <v>0</v>
      </c>
      <c r="BG11" s="2183">
        <f>S10</f>
        <v>0</v>
      </c>
      <c r="BH11" s="2183">
        <f>U10</f>
        <v>0</v>
      </c>
      <c r="BI11" s="2183">
        <f>W10</f>
        <v>0</v>
      </c>
      <c r="BJ11" s="2183">
        <f>Y10</f>
        <v>0</v>
      </c>
      <c r="BK11" s="2183">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1866</v>
      </c>
      <c r="J12" s="11" t="s">
        <v>1867</v>
      </c>
      <c r="K12" s="11" t="s">
        <v>1866</v>
      </c>
      <c r="L12" s="11" t="s">
        <v>1867</v>
      </c>
      <c r="M12" s="11" t="s">
        <v>1866</v>
      </c>
      <c r="N12" s="11" t="s">
        <v>1867</v>
      </c>
      <c r="O12" s="11" t="s">
        <v>1866</v>
      </c>
      <c r="P12" s="11" t="s">
        <v>1867</v>
      </c>
      <c r="Q12" s="11" t="s">
        <v>1866</v>
      </c>
      <c r="R12" s="11" t="s">
        <v>1867</v>
      </c>
      <c r="S12" s="11" t="s">
        <v>1866</v>
      </c>
      <c r="T12" s="11" t="s">
        <v>1867</v>
      </c>
      <c r="U12" s="11" t="s">
        <v>1866</v>
      </c>
      <c r="V12" s="1800" t="s">
        <v>1867</v>
      </c>
      <c r="W12" s="11" t="s">
        <v>1866</v>
      </c>
      <c r="X12" s="11" t="s">
        <v>1867</v>
      </c>
      <c r="Y12" s="11" t="s">
        <v>1866</v>
      </c>
      <c r="Z12" s="11" t="s">
        <v>1867</v>
      </c>
      <c r="AA12" s="11" t="s">
        <v>1866</v>
      </c>
      <c r="AB12" s="11" t="s">
        <v>1867</v>
      </c>
      <c r="AC12" s="2205"/>
      <c r="AD12" s="1804" t="s">
        <v>1866</v>
      </c>
      <c r="AE12" s="11" t="s">
        <v>1867</v>
      </c>
      <c r="AF12" s="11" t="s">
        <v>1866</v>
      </c>
      <c r="AG12" s="11" t="s">
        <v>1867</v>
      </c>
      <c r="AH12" s="11" t="s">
        <v>1866</v>
      </c>
      <c r="AI12" s="11" t="s">
        <v>1867</v>
      </c>
      <c r="AJ12" s="11" t="s">
        <v>1866</v>
      </c>
      <c r="AK12" s="11" t="s">
        <v>1867</v>
      </c>
      <c r="AL12" s="11" t="s">
        <v>1866</v>
      </c>
      <c r="AM12" s="11" t="s">
        <v>1867</v>
      </c>
      <c r="AN12" s="11" t="s">
        <v>1866</v>
      </c>
      <c r="AO12" s="11" t="s">
        <v>1867</v>
      </c>
      <c r="AP12" s="11" t="s">
        <v>1866</v>
      </c>
      <c r="AQ12" s="11" t="s">
        <v>1867</v>
      </c>
      <c r="AR12" s="30" t="s">
        <v>1866</v>
      </c>
      <c r="AS12" s="2203" t="s">
        <v>1867</v>
      </c>
      <c r="AT12" s="2206"/>
      <c r="AU12" s="2203"/>
      <c r="AV12" s="31"/>
      <c r="AW12" s="2162"/>
      <c r="AX12" s="31"/>
      <c r="AY12" s="2207"/>
      <c r="AZ12" s="28"/>
      <c r="BA12" s="2195"/>
      <c r="BB12" s="24" t="str">
        <f>I11</f>
        <v>住宅用房</v>
      </c>
      <c r="BC12" s="2208" t="str">
        <f>K11</f>
        <v>地下住宅用房</v>
      </c>
      <c r="BD12" s="2208" t="str">
        <f>M11</f>
        <v>地下车库用房</v>
      </c>
      <c r="BE12" s="2183">
        <f>O11</f>
        <v>0</v>
      </c>
      <c r="BF12" s="2183">
        <f>Q11</f>
        <v>0</v>
      </c>
      <c r="BG12" s="2183">
        <f>S11</f>
        <v>0</v>
      </c>
      <c r="BH12" s="2183">
        <f>U11</f>
        <v>0</v>
      </c>
      <c r="BI12" s="2183">
        <f>W11</f>
        <v>0</v>
      </c>
      <c r="BJ12" s="2183">
        <f>Y11</f>
        <v>0</v>
      </c>
      <c r="BK12" s="2183">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ht="18.75" customHeight="1">
      <c r="A13" s="1271"/>
      <c r="B13" s="2953" t="s">
        <v>3039</v>
      </c>
      <c r="C13" s="2954" t="s">
        <v>3072</v>
      </c>
      <c r="D13" s="2971" t="s">
        <v>3020</v>
      </c>
      <c r="E13" s="16">
        <f>IF($C$3="是",ROUND($A$3*G13/$B$3,2),ROUND($A$3*(G13-AT13)/$B$3,2))</f>
        <v>567.95000000000005</v>
      </c>
      <c r="F13" s="32"/>
      <c r="G13" s="33">
        <f>H13+AC13+AT13</f>
        <v>1495.9</v>
      </c>
      <c r="H13" s="20">
        <f>SUMIF(I$12:AB$12,"总值",I13:AB13)</f>
        <v>0</v>
      </c>
      <c r="I13" s="2209"/>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1495.9</v>
      </c>
      <c r="AD13" s="2210">
        <f>1495.9-AH13</f>
        <v>834.53000000000009</v>
      </c>
      <c r="AE13" s="2210"/>
      <c r="AF13" s="2210"/>
      <c r="AG13" s="2210"/>
      <c r="AH13" s="2210">
        <f>388.43+272.94</f>
        <v>661.37</v>
      </c>
      <c r="AI13" s="2210"/>
      <c r="AJ13" s="2210"/>
      <c r="AK13" s="2210"/>
      <c r="AL13" s="2210"/>
      <c r="AM13" s="2210"/>
      <c r="AN13" s="2210"/>
      <c r="AO13" s="2210"/>
      <c r="AP13" s="2210"/>
      <c r="AQ13" s="2210"/>
      <c r="AR13" s="2210"/>
      <c r="AS13" s="2210"/>
      <c r="AT13" s="2211"/>
      <c r="AU13" s="2212"/>
      <c r="AV13" s="11">
        <f t="shared" ref="AV13:AX17" si="6">A13</f>
        <v>0</v>
      </c>
      <c r="AW13" s="11" t="str">
        <f t="shared" si="6"/>
        <v>预测报告</v>
      </c>
      <c r="AX13" s="11" t="str">
        <f t="shared" si="6"/>
        <v>33#（配套用房）</v>
      </c>
      <c r="AY13" s="1804">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8.75" customHeight="1">
      <c r="A14" s="1271"/>
      <c r="B14" s="2953" t="s">
        <v>3039</v>
      </c>
      <c r="C14" s="2954" t="s">
        <v>3071</v>
      </c>
      <c r="D14" s="2971" t="s">
        <v>3020</v>
      </c>
      <c r="E14" s="16">
        <f>IF($C$3="是",ROUND($A$3*G14/$B$3,2),ROUND($A$3*(G14-AT14)/$B$3,2))</f>
        <v>1196.8699999999999</v>
      </c>
      <c r="F14" s="32"/>
      <c r="G14" s="33">
        <f>H14+AC14+AT14</f>
        <v>3152.35</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3152.35</v>
      </c>
      <c r="AD14" s="2210">
        <f>3152.35-AF14</f>
        <v>2841.37</v>
      </c>
      <c r="AE14" s="2210"/>
      <c r="AF14" s="2210">
        <v>310.98</v>
      </c>
      <c r="AG14" s="2210"/>
      <c r="AH14" s="2210"/>
      <c r="AI14" s="2210"/>
      <c r="AJ14" s="2210"/>
      <c r="AK14" s="2210"/>
      <c r="AL14" s="2210"/>
      <c r="AM14" s="2210"/>
      <c r="AN14" s="2210"/>
      <c r="AO14" s="2210"/>
      <c r="AP14" s="2210"/>
      <c r="AQ14" s="2210"/>
      <c r="AR14" s="2210"/>
      <c r="AS14" s="2210"/>
      <c r="AT14" s="2211"/>
      <c r="AU14" s="2212"/>
      <c r="AV14" s="11">
        <f t="shared" si="6"/>
        <v>0</v>
      </c>
      <c r="AW14" s="11" t="str">
        <f t="shared" si="6"/>
        <v>预测报告</v>
      </c>
      <c r="AX14" s="11" t="str">
        <f t="shared" si="6"/>
        <v>34#（幼儿园）</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8.75" customHeight="1">
      <c r="A15" s="1271"/>
      <c r="B15" s="2953" t="s">
        <v>3039</v>
      </c>
      <c r="C15" s="2954" t="s">
        <v>3070</v>
      </c>
      <c r="D15" s="2971" t="s">
        <v>3020</v>
      </c>
      <c r="E15" s="16">
        <f>IF($C$3="是",ROUND($A$3*G15/$B$3,2),ROUND($A$3*(G15-AT15)/$B$3,2))</f>
        <v>106.89</v>
      </c>
      <c r="F15" s="32"/>
      <c r="G15" s="33">
        <f>H15+AC15+AT15</f>
        <v>281.52999999999997</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281.52999999999997</v>
      </c>
      <c r="AD15" s="2210"/>
      <c r="AE15" s="2210"/>
      <c r="AF15" s="2210"/>
      <c r="AG15" s="2210"/>
      <c r="AH15" s="2210"/>
      <c r="AI15" s="2210"/>
      <c r="AJ15" s="2210"/>
      <c r="AK15" s="2210"/>
      <c r="AL15" s="2210">
        <v>281.52999999999997</v>
      </c>
      <c r="AM15" s="2210"/>
      <c r="AN15" s="2210"/>
      <c r="AO15" s="2210"/>
      <c r="AP15" s="2210"/>
      <c r="AQ15" s="2210"/>
      <c r="AR15" s="2210"/>
      <c r="AS15" s="2210"/>
      <c r="AT15" s="2211"/>
      <c r="AU15" s="2212"/>
      <c r="AV15" s="11">
        <f t="shared" si="6"/>
        <v>0</v>
      </c>
      <c r="AW15" s="11" t="str">
        <f t="shared" si="6"/>
        <v>预测报告</v>
      </c>
      <c r="AX15" s="11" t="str">
        <f t="shared" si="6"/>
        <v>38#配电房</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8.75" customHeight="1">
      <c r="A16" s="1271"/>
      <c r="B16" s="2953" t="s">
        <v>3039</v>
      </c>
      <c r="C16" s="2954" t="s">
        <v>48</v>
      </c>
      <c r="D16" s="2971" t="s">
        <v>3006</v>
      </c>
      <c r="E16" s="16">
        <f>IF($C$3="是",ROUND($A$3*G16/$B$3,2),ROUND($A$3*(G16-AT16)/$B$3,2))</f>
        <v>18215.759999999998</v>
      </c>
      <c r="F16" s="32"/>
      <c r="G16" s="33">
        <f>H16+AC16+AT16</f>
        <v>47977.36</v>
      </c>
      <c r="H16" s="20">
        <f>SUMIF(I$12:AB$12,"总值",I16:AB16)</f>
        <v>37739.420000000006</v>
      </c>
      <c r="I16" s="2209"/>
      <c r="J16" s="2209"/>
      <c r="K16" s="2209"/>
      <c r="L16" s="2209"/>
      <c r="M16" s="2209">
        <f>47977.36-AN16-AT16</f>
        <v>37739.420000000006</v>
      </c>
      <c r="N16" s="2209"/>
      <c r="O16" s="2209"/>
      <c r="P16" s="2209"/>
      <c r="Q16" s="2209"/>
      <c r="R16" s="2209"/>
      <c r="S16" s="2209"/>
      <c r="T16" s="2209"/>
      <c r="U16" s="2209"/>
      <c r="V16" s="2209"/>
      <c r="W16" s="2209"/>
      <c r="X16" s="2209"/>
      <c r="Y16" s="2209"/>
      <c r="Z16" s="2209"/>
      <c r="AA16" s="2209"/>
      <c r="AB16" s="2209"/>
      <c r="AC16" s="16">
        <f>SUMIF(AD$12:AS$12,"总值",AD16:AS16)</f>
        <v>1385.31</v>
      </c>
      <c r="AD16" s="2210"/>
      <c r="AE16" s="2210"/>
      <c r="AF16" s="2210"/>
      <c r="AG16" s="2210"/>
      <c r="AH16" s="2210"/>
      <c r="AI16" s="2210"/>
      <c r="AJ16" s="2210"/>
      <c r="AK16" s="2210"/>
      <c r="AL16" s="2210"/>
      <c r="AM16" s="2210"/>
      <c r="AN16" s="2210">
        <f>13.92+9.06+4.23+7.37+9.27+7.99+2.65+7.37+4.23+4.23+35.35+263.32+166.24+23.66+127.79+19.83+182.9+89.25+198.44+208.21</f>
        <v>1385.31</v>
      </c>
      <c r="AO16" s="2210">
        <v>1385.31</v>
      </c>
      <c r="AP16" s="2210"/>
      <c r="AQ16" s="2210"/>
      <c r="AR16" s="2210"/>
      <c r="AS16" s="2210"/>
      <c r="AT16" s="2211">
        <f>3026.44+5826.19</f>
        <v>8852.6299999999992</v>
      </c>
      <c r="AU16" s="2212"/>
      <c r="AV16" s="11">
        <f t="shared" si="6"/>
        <v>0</v>
      </c>
      <c r="AW16" s="11" t="str">
        <f t="shared" si="6"/>
        <v>预测报告</v>
      </c>
      <c r="AX16" s="11" t="str">
        <f t="shared" si="6"/>
        <v>地下车库</v>
      </c>
      <c r="AY16" s="1804">
        <f>ROUND($AY$6*AZ16/$AZ$5,2)</f>
        <v>14328.68</v>
      </c>
      <c r="AZ16" s="16">
        <f>BA16+BL16</f>
        <v>37739.420000000006</v>
      </c>
      <c r="BA16" s="16">
        <f>SUM(BB16:BK16)</f>
        <v>37739.420000000006</v>
      </c>
      <c r="BB16" s="16">
        <f>IF($D16="是",I16-J16,0)</f>
        <v>0</v>
      </c>
      <c r="BC16" s="16">
        <f>IF($D16="是",K16-L16,0)</f>
        <v>0</v>
      </c>
      <c r="BD16" s="16">
        <f>IF($D16="是",M16-N16,0)</f>
        <v>37739.420000000006</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8.75" customHeight="1">
      <c r="A17" s="1271"/>
      <c r="B17" s="2953" t="s">
        <v>3068</v>
      </c>
      <c r="C17" s="2954" t="str">
        <f>定义!A3</f>
        <v>高层含地下</v>
      </c>
      <c r="D17" s="2971" t="s">
        <v>3006</v>
      </c>
      <c r="E17" s="16">
        <f>IF($C$3="是",ROUND($A$3*G17/$B$3,2),ROUND($A$3*(G17-AT17)/$B$3,2))</f>
        <v>19492.11</v>
      </c>
      <c r="F17" s="32"/>
      <c r="G17" s="33">
        <f>H17+AC17+AT17</f>
        <v>51339.05</v>
      </c>
      <c r="H17" s="20">
        <f>SUMIF(I$12:AB$12,"总值",I17:AB17)</f>
        <v>51339.05</v>
      </c>
      <c r="I17" s="2209">
        <v>21401.26</v>
      </c>
      <c r="J17" s="2209">
        <v>2109.2199999999998</v>
      </c>
      <c r="K17" s="2209">
        <v>29937.79</v>
      </c>
      <c r="L17" s="2209">
        <v>3091.87</v>
      </c>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t="str">
        <f t="shared" si="6"/>
        <v>——</v>
      </c>
      <c r="AX17" s="11" t="str">
        <f t="shared" si="6"/>
        <v>高层含地下</v>
      </c>
      <c r="AY17" s="1804">
        <f>ROUND($AY$6*AZ17/$AZ$5,2)</f>
        <v>17517.39</v>
      </c>
      <c r="AZ17" s="16">
        <f>BA17+BL17</f>
        <v>46137.96</v>
      </c>
      <c r="BA17" s="16">
        <f>SUM(BB17:BK17)</f>
        <v>46137.96</v>
      </c>
      <c r="BB17" s="16">
        <f>IF($D17="是",I17-J17,0)</f>
        <v>19292.039999999997</v>
      </c>
      <c r="BC17" s="16">
        <f>IF($D17="是",K17-L17,0)</f>
        <v>26845.920000000002</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8.75" customHeight="1">
      <c r="A18" s="9"/>
      <c r="B18" s="2953" t="s">
        <v>3068</v>
      </c>
      <c r="C18" s="2977" t="str">
        <f>定义!A4</f>
        <v>高层不含</v>
      </c>
      <c r="D18" s="2971" t="s">
        <v>3006</v>
      </c>
      <c r="E18" s="35">
        <f t="shared" ref="E18:E112" si="7">IF($C$3="是",ROUND($A$3*G18/$B$3,2),ROUND($A$3*(G18-AT18)/$B$3,2))</f>
        <v>27445.53</v>
      </c>
      <c r="F18" s="36"/>
      <c r="G18" s="37">
        <f t="shared" ref="G18:G109" si="8">H18+AC18+AT18</f>
        <v>72287.08</v>
      </c>
      <c r="H18" s="38">
        <f t="shared" ref="H18:H109" si="9">SUMIF(I$12:AB$12,"总值",I18:AB18)</f>
        <v>72287.08</v>
      </c>
      <c r="I18" s="39">
        <v>72287.08</v>
      </c>
      <c r="J18" s="39">
        <v>22349.88</v>
      </c>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t="str">
        <f t="shared" ref="AW18:AW112" si="12">B18</f>
        <v>——</v>
      </c>
      <c r="AX18" s="1793" t="str">
        <f t="shared" ref="AX18:AX112" si="13">C18</f>
        <v>高层不含</v>
      </c>
      <c r="AY18" s="42">
        <f t="shared" ref="AY18:AY109" si="14">ROUND($AY$6*AZ18/$AZ$5,2)</f>
        <v>18959.86</v>
      </c>
      <c r="AZ18" s="35">
        <f t="shared" ref="AZ18:AZ109" si="15">BA18+BL18</f>
        <v>49937.2</v>
      </c>
      <c r="BA18" s="35">
        <f t="shared" ref="BA18:BA109" si="16">SUM(BB18:BK18)</f>
        <v>49937.2</v>
      </c>
      <c r="BB18" s="35">
        <f t="shared" ref="BB18:BB109" si="17">IF($D18="是",I18-J18,0)</f>
        <v>49937.2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8.75" customHeight="1">
      <c r="A19" s="9"/>
      <c r="B19" s="2946" t="s">
        <v>3068</v>
      </c>
      <c r="C19" s="2977" t="str">
        <f>定义!A5</f>
        <v>高层含阁楼</v>
      </c>
      <c r="D19" s="2940" t="s">
        <v>3006</v>
      </c>
      <c r="E19" s="35">
        <f t="shared" si="7"/>
        <v>6068.48</v>
      </c>
      <c r="F19" s="36"/>
      <c r="G19" s="37">
        <f t="shared" si="8"/>
        <v>15983.39</v>
      </c>
      <c r="H19" s="38">
        <f t="shared" si="9"/>
        <v>15983.39</v>
      </c>
      <c r="I19" s="39">
        <v>15983.39</v>
      </c>
      <c r="J19" s="39">
        <v>2743.88</v>
      </c>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t="str">
        <f t="shared" si="12"/>
        <v>——</v>
      </c>
      <c r="AX19" s="1793" t="str">
        <f t="shared" si="13"/>
        <v>高层含阁楼</v>
      </c>
      <c r="AY19" s="42">
        <f t="shared" si="14"/>
        <v>5026.7</v>
      </c>
      <c r="AZ19" s="35">
        <f t="shared" si="15"/>
        <v>13239.509999999998</v>
      </c>
      <c r="BA19" s="35">
        <f t="shared" si="16"/>
        <v>13239.509999999998</v>
      </c>
      <c r="BB19" s="35">
        <f t="shared" si="17"/>
        <v>13239.509999999998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8.75" customHeight="1">
      <c r="A20" s="9"/>
      <c r="B20" s="2946" t="s">
        <v>3068</v>
      </c>
      <c r="C20" s="2977" t="str">
        <f>定义!A6</f>
        <v>合院</v>
      </c>
      <c r="D20" s="2940" t="s">
        <v>3006</v>
      </c>
      <c r="E20" s="35">
        <f t="shared" si="7"/>
        <v>8591.7900000000009</v>
      </c>
      <c r="F20" s="36"/>
      <c r="G20" s="37">
        <f t="shared" si="8"/>
        <v>22629.39</v>
      </c>
      <c r="H20" s="38">
        <f t="shared" si="9"/>
        <v>22629.39</v>
      </c>
      <c r="I20" s="39">
        <v>11989.25</v>
      </c>
      <c r="J20" s="39">
        <v>1275.3399999999999</v>
      </c>
      <c r="K20" s="39">
        <v>10640.14</v>
      </c>
      <c r="L20" s="39">
        <v>1082.83</v>
      </c>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t="str">
        <f t="shared" si="12"/>
        <v>——</v>
      </c>
      <c r="AX20" s="1793" t="str">
        <f t="shared" si="13"/>
        <v>合院</v>
      </c>
      <c r="AY20" s="42">
        <f t="shared" si="14"/>
        <v>7696.46</v>
      </c>
      <c r="AZ20" s="35">
        <f t="shared" si="15"/>
        <v>20271.22</v>
      </c>
      <c r="BA20" s="35">
        <f t="shared" si="16"/>
        <v>20271.22</v>
      </c>
      <c r="BB20" s="35">
        <f t="shared" si="17"/>
        <v>10713.91</v>
      </c>
      <c r="BC20" s="35">
        <f t="shared" si="18"/>
        <v>9557.31</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8" customHeight="1">
      <c r="A21" s="9"/>
      <c r="B21" s="2953" t="s">
        <v>70</v>
      </c>
      <c r="C21" s="2977" t="s">
        <v>3069</v>
      </c>
      <c r="D21" s="2940" t="s">
        <v>3020</v>
      </c>
      <c r="E21" s="35">
        <f t="shared" si="7"/>
        <v>1403.98</v>
      </c>
      <c r="F21" s="36"/>
      <c r="G21" s="37">
        <f t="shared" si="8"/>
        <v>3697.8500000000008</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3697.8500000000008</v>
      </c>
      <c r="AD21" s="40"/>
      <c r="AE21" s="40"/>
      <c r="AF21" s="40">
        <v>1224.21</v>
      </c>
      <c r="AG21" s="40"/>
      <c r="AH21" s="40"/>
      <c r="AI21" s="40"/>
      <c r="AJ21" s="40"/>
      <c r="AK21" s="40"/>
      <c r="AL21" s="40"/>
      <c r="AM21" s="40"/>
      <c r="AN21" s="40">
        <v>2473.6400000000008</v>
      </c>
      <c r="AO21" s="40"/>
      <c r="AP21" s="40"/>
      <c r="AQ21" s="40"/>
      <c r="AR21" s="40"/>
      <c r="AS21" s="40"/>
      <c r="AT21" s="41"/>
      <c r="AU21" s="2214"/>
      <c r="AV21" s="1793">
        <f t="shared" si="11"/>
        <v>0</v>
      </c>
      <c r="AW21" s="1793" t="str">
        <f t="shared" si="12"/>
        <v>——</v>
      </c>
      <c r="AX21" s="1793" t="str">
        <f t="shared" si="13"/>
        <v>住宅用房其他面积</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46"/>
      <c r="C22" s="2947"/>
      <c r="D22" s="294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46"/>
      <c r="C23" s="2947"/>
      <c r="D23" s="294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46"/>
      <c r="C24" s="2947"/>
      <c r="D24" s="294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46"/>
      <c r="C25" s="2947"/>
      <c r="D25" s="294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2946"/>
      <c r="C26" s="2947"/>
      <c r="D26" s="294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46"/>
      <c r="C27" s="2947"/>
      <c r="D27" s="294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46"/>
      <c r="C28" s="2947"/>
      <c r="D28" s="294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46"/>
      <c r="C29" s="2947"/>
      <c r="D29" s="294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46"/>
      <c r="C30" s="2947"/>
      <c r="D30" s="294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46"/>
      <c r="C31" s="2949"/>
      <c r="D31" s="294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2946"/>
      <c r="C32" s="2949"/>
      <c r="D32" s="294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2946"/>
      <c r="C33" s="2949"/>
      <c r="D33" s="294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2946"/>
      <c r="C34" s="2949"/>
      <c r="D34" s="294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2946"/>
      <c r="C35" s="2949"/>
      <c r="D35" s="294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2946"/>
      <c r="C36" s="2949"/>
      <c r="D36" s="294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2946"/>
      <c r="C37" s="2949"/>
      <c r="D37" s="294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2946"/>
      <c r="C38" s="2949"/>
      <c r="D38" s="294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2946"/>
      <c r="C39" s="2949"/>
      <c r="D39" s="294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2946"/>
      <c r="C40" s="2949"/>
      <c r="D40" s="294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2946"/>
      <c r="C41" s="2949"/>
      <c r="D41" s="294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2946"/>
      <c r="C42" s="2949"/>
      <c r="D42" s="294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2946"/>
      <c r="C43" s="2949"/>
      <c r="D43" s="294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2946"/>
      <c r="C44" s="2949"/>
      <c r="D44" s="294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4.25" customHeight="1">
      <c r="A45" s="9"/>
      <c r="B45" s="2950"/>
      <c r="C45" s="2949"/>
      <c r="D45" s="294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8" customHeight="1">
      <c r="A46" s="9"/>
      <c r="B46" s="2950"/>
      <c r="C46" s="2949"/>
      <c r="D46" s="294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8" customHeight="1">
      <c r="A47" s="9"/>
      <c r="B47" s="2950"/>
      <c r="C47" s="2949"/>
      <c r="D47" s="294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2950"/>
      <c r="C48" s="2951"/>
      <c r="D48" s="294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2948"/>
      <c r="C49" s="2949"/>
      <c r="D49" s="294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2948"/>
      <c r="C50" s="2949"/>
      <c r="D50" s="294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2948"/>
      <c r="C51" s="2949"/>
      <c r="D51" s="294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2948"/>
      <c r="C52" s="2949"/>
      <c r="D52" s="294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2948"/>
      <c r="C53" s="2949"/>
      <c r="D53" s="294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2948"/>
      <c r="C54" s="2949"/>
      <c r="D54" s="294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2948"/>
      <c r="C55" s="2949"/>
      <c r="D55" s="294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2948"/>
      <c r="C56" s="2949"/>
      <c r="D56" s="294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2948"/>
      <c r="C57" s="2949"/>
      <c r="D57" s="294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2948"/>
      <c r="C58" s="2949"/>
      <c r="D58" s="294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2948"/>
      <c r="C59" s="2949"/>
      <c r="D59" s="294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2948"/>
      <c r="C60" s="2949"/>
      <c r="D60" s="294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2948"/>
      <c r="C61" s="2949"/>
      <c r="D61" s="294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2948"/>
      <c r="C62" s="2949"/>
      <c r="D62" s="294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2948"/>
      <c r="C63" s="2949"/>
      <c r="D63" s="294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2948"/>
      <c r="C64" s="2949"/>
      <c r="D64" s="294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2948"/>
      <c r="C65" s="2949"/>
      <c r="D65" s="294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2948"/>
      <c r="C66" s="2949"/>
      <c r="D66" s="294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2948"/>
      <c r="C67" s="2949"/>
      <c r="D67" s="294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2948"/>
      <c r="C68" s="2949"/>
      <c r="D68" s="294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2948"/>
      <c r="C69" s="2949"/>
      <c r="D69" s="294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2948"/>
      <c r="C70" s="2949"/>
      <c r="D70" s="294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2948"/>
      <c r="C71" s="2949"/>
      <c r="D71" s="294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2948"/>
      <c r="C72" s="2948"/>
      <c r="D72" s="294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2948"/>
      <c r="C73" s="2948"/>
      <c r="D73" s="294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2948"/>
      <c r="C74" s="2948"/>
      <c r="D74" s="294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2948"/>
      <c r="C75" s="2948"/>
      <c r="D75" s="294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2948"/>
      <c r="C76" s="2948"/>
      <c r="D76" s="294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2948"/>
      <c r="C77" s="2948"/>
      <c r="D77" s="294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2948"/>
      <c r="C78" s="2948"/>
      <c r="D78" s="294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2948"/>
      <c r="C79" s="2948"/>
      <c r="D79" s="294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2948"/>
      <c r="C80" s="2948"/>
      <c r="D80" s="294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2948"/>
      <c r="C81" s="2948"/>
      <c r="D81" s="294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2948"/>
      <c r="C82" s="2948"/>
      <c r="D82" s="294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2948"/>
      <c r="C83" s="2948"/>
      <c r="D83" s="294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2948"/>
      <c r="C84" s="2948"/>
      <c r="D84" s="294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2948"/>
      <c r="C85" s="2948"/>
      <c r="D85" s="294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2948"/>
      <c r="C86" s="2948"/>
      <c r="D86" s="294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2948"/>
      <c r="C87" s="2948"/>
      <c r="D87" s="294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2948"/>
      <c r="C88" s="2948"/>
      <c r="D88" s="294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2948"/>
      <c r="C89" s="2948"/>
      <c r="D89" s="294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2948"/>
      <c r="C90" s="2948"/>
      <c r="D90" s="294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2948"/>
      <c r="C91" s="2948"/>
      <c r="D91" s="294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2948"/>
      <c r="C92" s="2948"/>
      <c r="D92" s="294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2948"/>
      <c r="C93" s="2948"/>
      <c r="D93" s="294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2948"/>
      <c r="C94" s="2948"/>
      <c r="D94" s="294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2948"/>
      <c r="C95" s="2948"/>
      <c r="D95" s="294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2948"/>
      <c r="C96" s="2948"/>
      <c r="D96" s="294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2948"/>
      <c r="C97" s="2948"/>
      <c r="D97" s="294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2948"/>
      <c r="C98" s="2948"/>
      <c r="D98" s="294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2948"/>
      <c r="C99" s="2948"/>
      <c r="D99" s="294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2948"/>
      <c r="C100" s="2948"/>
      <c r="D100" s="294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2948"/>
      <c r="C101" s="2948"/>
      <c r="D101" s="294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2948"/>
      <c r="C102" s="2948"/>
      <c r="D102" s="294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2948"/>
      <c r="C103" s="2948"/>
      <c r="D103" s="294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2948"/>
      <c r="C104" s="2948"/>
      <c r="D104" s="294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2948"/>
      <c r="C105" s="2948"/>
      <c r="D105" s="294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2948"/>
      <c r="C106" s="2948"/>
      <c r="D106" s="294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2948"/>
      <c r="C107" s="2948"/>
      <c r="D107" s="294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2948"/>
      <c r="C108" s="2948"/>
      <c r="D108" s="294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2948"/>
      <c r="C109" s="2948"/>
      <c r="D109" s="294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2952"/>
      <c r="C110" s="2952"/>
      <c r="D110" s="294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2952"/>
      <c r="C111" s="2952"/>
      <c r="D111" s="294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2952"/>
      <c r="C112" s="2952"/>
      <c r="D112" s="294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2948"/>
      <c r="C113" s="2948"/>
      <c r="D113" s="294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2948"/>
      <c r="C114" s="2948"/>
      <c r="D114" s="294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2948"/>
      <c r="C115" s="2948"/>
      <c r="D115" s="294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2948"/>
      <c r="C116" s="2948"/>
      <c r="D116" s="294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2948"/>
      <c r="C117" s="2948"/>
      <c r="D117" s="294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2948"/>
      <c r="C118" s="2948"/>
      <c r="D118" s="294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2948"/>
      <c r="C119" s="2948"/>
      <c r="D119" s="294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2948"/>
      <c r="C120" s="2948"/>
      <c r="D120" s="294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2948"/>
      <c r="C121" s="2948"/>
      <c r="D121" s="294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2948"/>
      <c r="C122" s="2948"/>
      <c r="D122" s="294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2948"/>
      <c r="C123" s="2948"/>
      <c r="D123" s="294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2948"/>
      <c r="C124" s="2948"/>
      <c r="D124" s="294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2948"/>
      <c r="C125" s="2948"/>
      <c r="D125" s="294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2948"/>
      <c r="C126" s="2948"/>
      <c r="D126" s="294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2948"/>
      <c r="C127" s="2948"/>
      <c r="D127" s="294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2948"/>
      <c r="C128" s="2948"/>
      <c r="D128" s="294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2948"/>
      <c r="C129" s="2948"/>
      <c r="D129" s="294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2948"/>
      <c r="C130" s="2948"/>
      <c r="D130" s="294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2948"/>
      <c r="C131" s="2948"/>
      <c r="D131" s="294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2948"/>
      <c r="C132" s="2948"/>
      <c r="D132" s="294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2948"/>
      <c r="C133" s="2948"/>
      <c r="D133" s="294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2948"/>
      <c r="C134" s="2948"/>
      <c r="D134" s="294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2948"/>
      <c r="C135" s="2948"/>
      <c r="D135" s="294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2948"/>
      <c r="C136" s="2948"/>
      <c r="D136" s="294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2948"/>
      <c r="C137" s="2948"/>
      <c r="D137" s="294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2948"/>
      <c r="C138" s="2948"/>
      <c r="D138" s="294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2948"/>
      <c r="C139" s="2948"/>
      <c r="D139" s="294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2948"/>
      <c r="C140" s="2948"/>
      <c r="D140" s="294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2948"/>
      <c r="C141" s="2948"/>
      <c r="D141" s="294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2948"/>
      <c r="C142" s="2948"/>
      <c r="D142" s="294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2948"/>
      <c r="C143" s="2948"/>
      <c r="D143" s="294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2948"/>
      <c r="C144" s="2948"/>
      <c r="D144" s="294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2948"/>
      <c r="C145" s="2948"/>
      <c r="D145" s="294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2948"/>
      <c r="C146" s="2948"/>
      <c r="D146" s="294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2948"/>
      <c r="C147" s="2948"/>
      <c r="D147" s="294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2948"/>
      <c r="C148" s="2948"/>
      <c r="D148" s="294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2948"/>
      <c r="C149" s="2948"/>
      <c r="D149" s="294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2948"/>
      <c r="C150" s="2948"/>
      <c r="D150" s="294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2948"/>
      <c r="C151" s="2948"/>
      <c r="D151" s="294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2948"/>
      <c r="C152" s="2948"/>
      <c r="D152" s="294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2948"/>
      <c r="C153" s="2948"/>
      <c r="D153" s="294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2948"/>
      <c r="C154" s="2948"/>
      <c r="D154" s="294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2948"/>
      <c r="C155" s="2948"/>
      <c r="D155" s="294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2948"/>
      <c r="C156" s="2948"/>
      <c r="D156" s="294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2948"/>
      <c r="C157" s="2948"/>
      <c r="D157" s="294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2948"/>
      <c r="C158" s="2948"/>
      <c r="D158" s="294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2948"/>
      <c r="C159" s="2948"/>
      <c r="D159" s="294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2948"/>
      <c r="C160" s="2948"/>
      <c r="D160" s="294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2948"/>
      <c r="C161" s="2948"/>
      <c r="D161" s="294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2948"/>
      <c r="C162" s="2948"/>
      <c r="D162" s="294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2948"/>
      <c r="C163" s="2948"/>
      <c r="D163" s="294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2948"/>
      <c r="C164" s="2948"/>
      <c r="D164" s="294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2948"/>
      <c r="C165" s="2948"/>
      <c r="D165" s="294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2948"/>
      <c r="C166" s="2948"/>
      <c r="D166" s="294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2948"/>
      <c r="C167" s="2948"/>
      <c r="D167" s="294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2948"/>
      <c r="C168" s="2948"/>
      <c r="D168" s="294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2948"/>
      <c r="C169" s="2948"/>
      <c r="D169" s="294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2948"/>
      <c r="C170" s="2948"/>
      <c r="D170" s="294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2948"/>
      <c r="C171" s="2948"/>
      <c r="D171" s="294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2948"/>
      <c r="C172" s="2948"/>
      <c r="D172" s="294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2948"/>
      <c r="C173" s="2948"/>
      <c r="D173" s="294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2948"/>
      <c r="C174" s="2948"/>
      <c r="D174" s="294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2948"/>
      <c r="C175" s="2948"/>
      <c r="D175" s="294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2948"/>
      <c r="C176" s="2948"/>
      <c r="D176" s="294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2948"/>
      <c r="C177" s="2948"/>
      <c r="D177" s="294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2948"/>
      <c r="C178" s="2948"/>
      <c r="D178" s="294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2948"/>
      <c r="C179" s="2948"/>
      <c r="D179" s="294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2948"/>
      <c r="C180" s="2948"/>
      <c r="D180" s="294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2948"/>
      <c r="C181" s="2948"/>
      <c r="D181" s="294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2948"/>
      <c r="C182" s="2948"/>
      <c r="D182" s="294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2948"/>
      <c r="C183" s="2948"/>
      <c r="D183" s="294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2948"/>
      <c r="C184" s="2948"/>
      <c r="D184" s="294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2948"/>
      <c r="C185" s="2948"/>
      <c r="D185" s="294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2948"/>
      <c r="C186" s="2948"/>
      <c r="D186" s="294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2948"/>
      <c r="C187" s="2948"/>
      <c r="D187" s="294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2948"/>
      <c r="C188" s="2948"/>
      <c r="D188" s="294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2948"/>
      <c r="C189" s="2948"/>
      <c r="D189" s="294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2948"/>
      <c r="C190" s="2948"/>
      <c r="D190" s="294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2948"/>
      <c r="C191" s="2948"/>
      <c r="D191" s="294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2948"/>
      <c r="C192" s="2948"/>
      <c r="D192" s="294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2948"/>
      <c r="C193" s="2948"/>
      <c r="D193" s="294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2948"/>
      <c r="C194" s="2948"/>
      <c r="D194" s="294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2948"/>
      <c r="C195" s="2948"/>
      <c r="D195" s="294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2948"/>
      <c r="C196" s="2948"/>
      <c r="D196" s="294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2948"/>
      <c r="C197" s="2948"/>
      <c r="D197" s="294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2948"/>
      <c r="C198" s="2948"/>
      <c r="D198" s="294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2948"/>
      <c r="C199" s="2948"/>
      <c r="D199" s="294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2948"/>
      <c r="C200" s="2948"/>
      <c r="D200" s="294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2948"/>
      <c r="C201" s="2948"/>
      <c r="D201" s="294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2948"/>
      <c r="C202" s="2948"/>
      <c r="D202" s="294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2948"/>
      <c r="C203" s="2948"/>
      <c r="D203" s="294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2948"/>
      <c r="C204" s="2948"/>
      <c r="D204" s="294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2952"/>
      <c r="C205" s="2952"/>
      <c r="D205" s="294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2952"/>
      <c r="C206" s="2952"/>
      <c r="D206" s="294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2952"/>
      <c r="C207" s="2952"/>
      <c r="D207" s="294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2948"/>
      <c r="C208" s="2948"/>
      <c r="D208" s="294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2948"/>
      <c r="C209" s="2948"/>
      <c r="D209" s="294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2948"/>
      <c r="C210" s="2948"/>
      <c r="D210" s="294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2948"/>
      <c r="C211" s="2948"/>
      <c r="D211" s="294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2948"/>
      <c r="C212" s="2948"/>
      <c r="D212" s="294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2948"/>
      <c r="C213" s="2948"/>
      <c r="D213" s="294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2948"/>
      <c r="C214" s="2948"/>
      <c r="D214" s="294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2948"/>
      <c r="C215" s="2948"/>
      <c r="D215" s="294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2948"/>
      <c r="C216" s="2948"/>
      <c r="D216" s="294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2948"/>
      <c r="C217" s="2948"/>
      <c r="D217" s="294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2948"/>
      <c r="C218" s="2948"/>
      <c r="D218" s="294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2948"/>
      <c r="C219" s="2948"/>
      <c r="D219" s="294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2948"/>
      <c r="C220" s="2948"/>
      <c r="D220" s="294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2948"/>
      <c r="C221" s="2948"/>
      <c r="D221" s="294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2948"/>
      <c r="C222" s="2948"/>
      <c r="D222" s="294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2948"/>
      <c r="C223" s="2948"/>
      <c r="D223" s="294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2948"/>
      <c r="C224" s="2948"/>
      <c r="D224" s="294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2948"/>
      <c r="C225" s="2948"/>
      <c r="D225" s="294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2948"/>
      <c r="C226" s="2948"/>
      <c r="D226" s="294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2948"/>
      <c r="C227" s="2948"/>
      <c r="D227" s="294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2948"/>
      <c r="C228" s="2948"/>
      <c r="D228" s="294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2948"/>
      <c r="C229" s="2948"/>
      <c r="D229" s="294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2948"/>
      <c r="C230" s="2948"/>
      <c r="D230" s="294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2948"/>
      <c r="C231" s="2948"/>
      <c r="D231" s="294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2948"/>
      <c r="C232" s="2948"/>
      <c r="D232" s="294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2948"/>
      <c r="C233" s="2948"/>
      <c r="D233" s="294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2948"/>
      <c r="C234" s="2948"/>
      <c r="D234" s="294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2948"/>
      <c r="C235" s="2948"/>
      <c r="D235" s="294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2948"/>
      <c r="C236" s="2948"/>
      <c r="D236" s="294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2948"/>
      <c r="C237" s="2948"/>
      <c r="D237" s="294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2948"/>
      <c r="C238" s="2948"/>
      <c r="D238" s="294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2948"/>
      <c r="C239" s="2948"/>
      <c r="D239" s="294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2948"/>
      <c r="C240" s="2948"/>
      <c r="D240" s="294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2948"/>
      <c r="C241" s="2948"/>
      <c r="D241" s="294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2948"/>
      <c r="C242" s="2948"/>
      <c r="D242" s="294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2948"/>
      <c r="C243" s="2948"/>
      <c r="D243" s="294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2948"/>
      <c r="C244" s="2948"/>
      <c r="D244" s="294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2948"/>
      <c r="C245" s="2948"/>
      <c r="D245" s="294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2948"/>
      <c r="C246" s="2948"/>
      <c r="D246" s="294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2948"/>
      <c r="C247" s="2948"/>
      <c r="D247" s="294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2948"/>
      <c r="C248" s="2948"/>
      <c r="D248" s="294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2948"/>
      <c r="C249" s="2948"/>
      <c r="D249" s="294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2948"/>
      <c r="C250" s="2948"/>
      <c r="D250" s="294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2948"/>
      <c r="C251" s="2948"/>
      <c r="D251" s="294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2948"/>
      <c r="C252" s="2948"/>
      <c r="D252" s="294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2948"/>
      <c r="C253" s="2948"/>
      <c r="D253" s="294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2948"/>
      <c r="C254" s="2948"/>
      <c r="D254" s="294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2948"/>
      <c r="C255" s="2948"/>
      <c r="D255" s="294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2948"/>
      <c r="C256" s="2948"/>
      <c r="D256" s="294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2948"/>
      <c r="C257" s="2948"/>
      <c r="D257" s="294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2948"/>
      <c r="C258" s="2948"/>
      <c r="D258" s="294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2948"/>
      <c r="C259" s="2948"/>
      <c r="D259" s="294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2948"/>
      <c r="C260" s="2948"/>
      <c r="D260" s="294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2948"/>
      <c r="C261" s="2948"/>
      <c r="D261" s="294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2948"/>
      <c r="C262" s="2948"/>
      <c r="D262" s="294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2948"/>
      <c r="C263" s="2948"/>
      <c r="D263" s="294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2948"/>
      <c r="C264" s="2948"/>
      <c r="D264" s="294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2948"/>
      <c r="C265" s="2948"/>
      <c r="D265" s="294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2948"/>
      <c r="C266" s="2948"/>
      <c r="D266" s="294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2948"/>
      <c r="C267" s="2948"/>
      <c r="D267" s="294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2948"/>
      <c r="C268" s="2948"/>
      <c r="D268" s="294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2948"/>
      <c r="C269" s="2948"/>
      <c r="D269" s="294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2948"/>
      <c r="C270" s="2948"/>
      <c r="D270" s="294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2948"/>
      <c r="C271" s="2948"/>
      <c r="D271" s="294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2948"/>
      <c r="C272" s="2948"/>
      <c r="D272" s="294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2948"/>
      <c r="C273" s="2948"/>
      <c r="D273" s="294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2948"/>
      <c r="C274" s="2948"/>
      <c r="D274" s="294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2948"/>
      <c r="C275" s="2948"/>
      <c r="D275" s="294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2948"/>
      <c r="C276" s="2948"/>
      <c r="D276" s="294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2948"/>
      <c r="C277" s="2948"/>
      <c r="D277" s="294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2948"/>
      <c r="C278" s="2948"/>
      <c r="D278" s="294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2948"/>
      <c r="C279" s="2948"/>
      <c r="D279" s="294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2948"/>
      <c r="C280" s="2948"/>
      <c r="D280" s="294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2948"/>
      <c r="C281" s="2948"/>
      <c r="D281" s="294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2948"/>
      <c r="C282" s="2948"/>
      <c r="D282" s="294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2948"/>
      <c r="C283" s="2948"/>
      <c r="D283" s="294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2948"/>
      <c r="C284" s="2948"/>
      <c r="D284" s="294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2948"/>
      <c r="C285" s="2948"/>
      <c r="D285" s="294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2948"/>
      <c r="C286" s="2948"/>
      <c r="D286" s="294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2948"/>
      <c r="C287" s="2948"/>
      <c r="D287" s="294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2948"/>
      <c r="C288" s="2948"/>
      <c r="D288" s="294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2948"/>
      <c r="C289" s="2948"/>
      <c r="D289" s="294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2948"/>
      <c r="C290" s="2948"/>
      <c r="D290" s="294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2948"/>
      <c r="C291" s="2948"/>
      <c r="D291" s="294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2948"/>
      <c r="C292" s="2948"/>
      <c r="D292" s="294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2948"/>
      <c r="C293" s="2948"/>
      <c r="D293" s="294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2948"/>
      <c r="C294" s="2948"/>
      <c r="D294" s="294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2948"/>
      <c r="C295" s="2948"/>
      <c r="D295" s="294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2948"/>
      <c r="C296" s="2948"/>
      <c r="D296" s="294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2948"/>
      <c r="C297" s="2948"/>
      <c r="D297" s="294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2948"/>
      <c r="C298" s="2948"/>
      <c r="D298" s="294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2948"/>
      <c r="C299" s="2948"/>
      <c r="D299" s="294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2952"/>
      <c r="C300" s="2952"/>
      <c r="D300" s="294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2952"/>
      <c r="C301" s="2952"/>
      <c r="D301" s="294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2952"/>
      <c r="C302" s="2952"/>
      <c r="D302" s="294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2948"/>
      <c r="C303" s="2948"/>
      <c r="D303" s="294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2948"/>
      <c r="C304" s="2948"/>
      <c r="D304" s="294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2948"/>
      <c r="C305" s="2948"/>
      <c r="D305" s="294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2948"/>
      <c r="C306" s="2948"/>
      <c r="D306" s="294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2948"/>
      <c r="C307" s="2948"/>
      <c r="D307" s="294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2948"/>
      <c r="C308" s="2948"/>
      <c r="D308" s="294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2948"/>
      <c r="C309" s="2948"/>
      <c r="D309" s="294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2948"/>
      <c r="C310" s="2948"/>
      <c r="D310" s="294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2948"/>
      <c r="C311" s="2948"/>
      <c r="D311" s="294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2948"/>
      <c r="C312" s="2948"/>
      <c r="D312" s="294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2948"/>
      <c r="C313" s="2948"/>
      <c r="D313" s="294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2948"/>
      <c r="C314" s="2948"/>
      <c r="D314" s="294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2948"/>
      <c r="C315" s="2948"/>
      <c r="D315" s="294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2948"/>
      <c r="C316" s="2948"/>
      <c r="D316" s="294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2948"/>
      <c r="C317" s="2948"/>
      <c r="D317" s="294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2948"/>
      <c r="C318" s="2948"/>
      <c r="D318" s="294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2948"/>
      <c r="C319" s="2948"/>
      <c r="D319" s="294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2948"/>
      <c r="C320" s="2948"/>
      <c r="D320" s="294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2948"/>
      <c r="C321" s="2948"/>
      <c r="D321" s="294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2948"/>
      <c r="C322" s="2948"/>
      <c r="D322" s="294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2948"/>
      <c r="C323" s="2948"/>
      <c r="D323" s="294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2948"/>
      <c r="C324" s="2948"/>
      <c r="D324" s="294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2948"/>
      <c r="C325" s="2948"/>
      <c r="D325" s="294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2948"/>
      <c r="C326" s="2948"/>
      <c r="D326" s="294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2948"/>
      <c r="C327" s="2948"/>
      <c r="D327" s="294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2948"/>
      <c r="C328" s="2948"/>
      <c r="D328" s="294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2948"/>
      <c r="C329" s="2948"/>
      <c r="D329" s="294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2948"/>
      <c r="C330" s="2948"/>
      <c r="D330" s="294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2948"/>
      <c r="C331" s="2948"/>
      <c r="D331" s="294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2948"/>
      <c r="C332" s="2948"/>
      <c r="D332" s="294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2948"/>
      <c r="C333" s="2948"/>
      <c r="D333" s="294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2948"/>
      <c r="C334" s="2948"/>
      <c r="D334" s="294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2948"/>
      <c r="C335" s="2948"/>
      <c r="D335" s="294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2948"/>
      <c r="C336" s="2948"/>
      <c r="D336" s="294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2948"/>
      <c r="C337" s="2948"/>
      <c r="D337" s="294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2948"/>
      <c r="C338" s="2948"/>
      <c r="D338" s="294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2948"/>
      <c r="C339" s="2948"/>
      <c r="D339" s="294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2948"/>
      <c r="C340" s="2948"/>
      <c r="D340" s="294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2948"/>
      <c r="C341" s="2948"/>
      <c r="D341" s="294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2948"/>
      <c r="C342" s="2948"/>
      <c r="D342" s="294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2948"/>
      <c r="C343" s="2948"/>
      <c r="D343" s="294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2948"/>
      <c r="C344" s="2948"/>
      <c r="D344" s="294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2948"/>
      <c r="C345" s="2948"/>
      <c r="D345" s="294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2948"/>
      <c r="C346" s="2948"/>
      <c r="D346" s="294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2948"/>
      <c r="C347" s="2948"/>
      <c r="D347" s="294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2948"/>
      <c r="C348" s="2948"/>
      <c r="D348" s="294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2948"/>
      <c r="C349" s="2948"/>
      <c r="D349" s="294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2948"/>
      <c r="C350" s="2948"/>
      <c r="D350" s="294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2948"/>
      <c r="C351" s="2948"/>
      <c r="D351" s="294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2948"/>
      <c r="C352" s="2948"/>
      <c r="D352" s="294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2948"/>
      <c r="C353" s="2948"/>
      <c r="D353" s="294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2948"/>
      <c r="C354" s="2948"/>
      <c r="D354" s="294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2948"/>
      <c r="C355" s="2948"/>
      <c r="D355" s="294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2948"/>
      <c r="C356" s="2948"/>
      <c r="D356" s="294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2948"/>
      <c r="C357" s="2948"/>
      <c r="D357" s="294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2948"/>
      <c r="C358" s="2948"/>
      <c r="D358" s="294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2948"/>
      <c r="C359" s="2948"/>
      <c r="D359" s="294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2948"/>
      <c r="C360" s="2948"/>
      <c r="D360" s="294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2948"/>
      <c r="C361" s="2948"/>
      <c r="D361" s="294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2948"/>
      <c r="C362" s="2948"/>
      <c r="D362" s="294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2948"/>
      <c r="C363" s="2948"/>
      <c r="D363" s="294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2948"/>
      <c r="C364" s="2948"/>
      <c r="D364" s="294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2948"/>
      <c r="C365" s="2948"/>
      <c r="D365" s="294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2948"/>
      <c r="C366" s="2948"/>
      <c r="D366" s="294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2948"/>
      <c r="C367" s="2948"/>
      <c r="D367" s="294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2948"/>
      <c r="C368" s="2948"/>
      <c r="D368" s="294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2948"/>
      <c r="C369" s="2948"/>
      <c r="D369" s="294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2948"/>
      <c r="C370" s="2948"/>
      <c r="D370" s="294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2948"/>
      <c r="C371" s="2948"/>
      <c r="D371" s="294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2948"/>
      <c r="C372" s="2948"/>
      <c r="D372" s="294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2948"/>
      <c r="C373" s="2948"/>
      <c r="D373" s="294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2948"/>
      <c r="C374" s="2948"/>
      <c r="D374" s="294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2948"/>
      <c r="C375" s="2948"/>
      <c r="D375" s="294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2948"/>
      <c r="C376" s="2948"/>
      <c r="D376" s="294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2948"/>
      <c r="C377" s="2948"/>
      <c r="D377" s="294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2948"/>
      <c r="C378" s="2948"/>
      <c r="D378" s="294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2948"/>
      <c r="C379" s="2948"/>
      <c r="D379" s="294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2948"/>
      <c r="C380" s="2948"/>
      <c r="D380" s="294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2948"/>
      <c r="C381" s="2948"/>
      <c r="D381" s="294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2948"/>
      <c r="C382" s="2948"/>
      <c r="D382" s="294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2948"/>
      <c r="C383" s="2948"/>
      <c r="D383" s="294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2948"/>
      <c r="C384" s="2948"/>
      <c r="D384" s="294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2948"/>
      <c r="C385" s="2948"/>
      <c r="D385" s="294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2948"/>
      <c r="C386" s="2948"/>
      <c r="D386" s="294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2948"/>
      <c r="C387" s="2948"/>
      <c r="D387" s="294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2948"/>
      <c r="C388" s="2948"/>
      <c r="D388" s="294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2948"/>
      <c r="C389" s="2948"/>
      <c r="D389" s="294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2948"/>
      <c r="C390" s="2948"/>
      <c r="D390" s="294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2948"/>
      <c r="C391" s="2948"/>
      <c r="D391" s="294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2948"/>
      <c r="C392" s="2948"/>
      <c r="D392" s="294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2948"/>
      <c r="C393" s="2948"/>
      <c r="D393" s="294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2948"/>
      <c r="C394" s="2948"/>
      <c r="D394" s="294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2952"/>
      <c r="C395" s="2952"/>
      <c r="D395" s="294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2952"/>
      <c r="C396" s="2952"/>
      <c r="D396" s="294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2952"/>
      <c r="C397" s="2952"/>
      <c r="D397" s="294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2948"/>
      <c r="C398" s="2948"/>
      <c r="D398" s="294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2948"/>
      <c r="C399" s="2948"/>
      <c r="D399" s="294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2948"/>
      <c r="C400" s="2948"/>
      <c r="D400" s="294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2948"/>
      <c r="C401" s="2948"/>
      <c r="D401" s="294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2948"/>
      <c r="C402" s="2948"/>
      <c r="D402" s="294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2948"/>
      <c r="C403" s="2948"/>
      <c r="D403" s="294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2948"/>
      <c r="C404" s="2948"/>
      <c r="D404" s="294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2948"/>
      <c r="C405" s="2948"/>
      <c r="D405" s="294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2948"/>
      <c r="C406" s="2948"/>
      <c r="D406" s="294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2948"/>
      <c r="C407" s="2948"/>
      <c r="D407" s="294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2948"/>
      <c r="C408" s="2948"/>
      <c r="D408" s="294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2948"/>
      <c r="C409" s="2948"/>
      <c r="D409" s="294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2948"/>
      <c r="C410" s="2948"/>
      <c r="D410" s="294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2948"/>
      <c r="C411" s="2948"/>
      <c r="D411" s="294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2948"/>
      <c r="C412" s="2948"/>
      <c r="D412" s="294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2948"/>
      <c r="C413" s="2948"/>
      <c r="D413" s="294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2948"/>
      <c r="C414" s="2948"/>
      <c r="D414" s="294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2948"/>
      <c r="C415" s="2948"/>
      <c r="D415" s="294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2948"/>
      <c r="C416" s="2948"/>
      <c r="D416" s="294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2948"/>
      <c r="C417" s="2948"/>
      <c r="D417" s="294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2948"/>
      <c r="C418" s="2948"/>
      <c r="D418" s="294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2948"/>
      <c r="C419" s="2948"/>
      <c r="D419" s="294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2948"/>
      <c r="C420" s="2948"/>
      <c r="D420" s="294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2948"/>
      <c r="C421" s="2948"/>
      <c r="D421" s="294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2948"/>
      <c r="C422" s="2948"/>
      <c r="D422" s="294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2948"/>
      <c r="C423" s="2948"/>
      <c r="D423" s="294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2948"/>
      <c r="C424" s="2948"/>
      <c r="D424" s="294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2948"/>
      <c r="C425" s="2948"/>
      <c r="D425" s="294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2948"/>
      <c r="C426" s="2948"/>
      <c r="D426" s="294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2948"/>
      <c r="C427" s="2948"/>
      <c r="D427" s="294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2948"/>
      <c r="C428" s="2948"/>
      <c r="D428" s="294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2948"/>
      <c r="C429" s="2948"/>
      <c r="D429" s="294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2948"/>
      <c r="C430" s="2948"/>
      <c r="D430" s="294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2948"/>
      <c r="C431" s="2948"/>
      <c r="D431" s="294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2948"/>
      <c r="C432" s="2948"/>
      <c r="D432" s="294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2948"/>
      <c r="C433" s="2948"/>
      <c r="D433" s="294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2948"/>
      <c r="C434" s="2948"/>
      <c r="D434" s="294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2948"/>
      <c r="C435" s="2948"/>
      <c r="D435" s="294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2948"/>
      <c r="C436" s="2948"/>
      <c r="D436" s="294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2948"/>
      <c r="C437" s="2948"/>
      <c r="D437" s="294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2948"/>
      <c r="C438" s="2948"/>
      <c r="D438" s="294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2948"/>
      <c r="C439" s="2948"/>
      <c r="D439" s="294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2948"/>
      <c r="C440" s="2948"/>
      <c r="D440" s="294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2948"/>
      <c r="C441" s="2948"/>
      <c r="D441" s="294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2948"/>
      <c r="C442" s="2948"/>
      <c r="D442" s="294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2948"/>
      <c r="C443" s="2948"/>
      <c r="D443" s="294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2948"/>
      <c r="C444" s="2948"/>
      <c r="D444" s="294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2948"/>
      <c r="C445" s="2948"/>
      <c r="D445" s="294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2948"/>
      <c r="C446" s="2948"/>
      <c r="D446" s="294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2948"/>
      <c r="C447" s="2948"/>
      <c r="D447" s="294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2948"/>
      <c r="C448" s="2948"/>
      <c r="D448" s="294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2948"/>
      <c r="C449" s="2948"/>
      <c r="D449" s="294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2948"/>
      <c r="C450" s="2948"/>
      <c r="D450" s="294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2948"/>
      <c r="C451" s="2948"/>
      <c r="D451" s="294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2948"/>
      <c r="C452" s="2948"/>
      <c r="D452" s="294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2948"/>
      <c r="C453" s="2948"/>
      <c r="D453" s="294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2948"/>
      <c r="C454" s="2948"/>
      <c r="D454" s="294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1" t="s">
        <v>0</v>
      </c>
      <c r="B1" s="3091" t="s">
        <v>4</v>
      </c>
      <c r="C1" s="3091" t="s">
        <v>5</v>
      </c>
      <c r="D1" s="3092" t="s">
        <v>53</v>
      </c>
      <c r="E1" s="3092" t="s">
        <v>54</v>
      </c>
      <c r="F1" s="3092"/>
      <c r="G1" s="3092"/>
      <c r="H1" s="3092"/>
      <c r="I1" s="3092"/>
      <c r="J1" s="3092"/>
      <c r="K1" s="3092"/>
      <c r="L1" s="3092"/>
      <c r="M1" s="3092"/>
    </row>
    <row r="2" spans="1:13" ht="27" customHeight="1">
      <c r="A2" s="3091"/>
      <c r="B2" s="3091"/>
      <c r="C2" s="3091"/>
      <c r="D2" s="3092"/>
      <c r="E2" s="3092" t="s">
        <v>37</v>
      </c>
      <c r="F2" s="3092" t="s">
        <v>38</v>
      </c>
      <c r="G2" s="3092"/>
      <c r="H2" s="3092"/>
      <c r="I2" s="3092"/>
      <c r="J2" s="3092" t="s">
        <v>39</v>
      </c>
      <c r="K2" s="3092"/>
      <c r="L2" s="3092"/>
      <c r="M2" s="3092"/>
    </row>
    <row r="3" spans="1:13" ht="28.5">
      <c r="A3" s="3091"/>
      <c r="B3" s="3091"/>
      <c r="C3" s="3091"/>
      <c r="D3" s="3092"/>
      <c r="E3" s="30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2" t="s">
        <v>55</v>
      </c>
      <c r="B9" s="3092"/>
      <c r="C9" s="30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100" zoomScaleSheetLayoutView="90" workbookViewId="0">
      <selection activeCell="F21" sqref="F2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1893</v>
      </c>
      <c r="B1" s="1391"/>
      <c r="C1" s="1391"/>
      <c r="D1" s="1391"/>
      <c r="E1" s="1391"/>
      <c r="F1" s="1391"/>
      <c r="G1" s="1391"/>
      <c r="H1" s="1391"/>
      <c r="I1" s="1391"/>
      <c r="J1" s="1391"/>
      <c r="K1" s="1391"/>
      <c r="L1" s="1391"/>
      <c r="M1" s="1391"/>
      <c r="N1" s="1391"/>
      <c r="O1" s="1391"/>
      <c r="P1" s="1391"/>
    </row>
    <row r="2" spans="1:16" ht="15">
      <c r="A2" s="3102" t="s">
        <v>1894</v>
      </c>
      <c r="B2" s="3102"/>
      <c r="C2" s="3102"/>
      <c r="D2" s="966" t="s">
        <v>1870</v>
      </c>
      <c r="E2" s="2222" t="s">
        <v>1871</v>
      </c>
      <c r="F2" s="1391"/>
      <c r="G2" s="2223"/>
      <c r="H2" s="2224"/>
      <c r="I2" s="2225" t="s">
        <v>1895</v>
      </c>
      <c r="J2" s="1391"/>
      <c r="K2" s="1391"/>
      <c r="L2" s="1391"/>
      <c r="M2" s="1391"/>
      <c r="N2" s="1426"/>
      <c r="O2" s="1391"/>
      <c r="P2" s="1391"/>
    </row>
    <row r="3" spans="1:16" ht="15.75" thickBot="1">
      <c r="A3" s="3103" t="s">
        <v>1868</v>
      </c>
      <c r="B3" s="3103"/>
      <c r="C3" s="3103"/>
      <c r="D3" s="46">
        <f>'数据-基础表'!AY6</f>
        <v>63529.08</v>
      </c>
      <c r="E3" s="46">
        <f>'数据-基础表'!AZ5</f>
        <v>167325.31000000003</v>
      </c>
      <c r="F3" s="1391"/>
      <c r="G3" s="1398"/>
      <c r="H3" s="1246" t="s">
        <v>1869</v>
      </c>
      <c r="I3" s="55">
        <f>ROUND('数据-基础表'!B3/'数据-基础表'!A3,2)</f>
        <v>2.63</v>
      </c>
      <c r="J3" s="1391"/>
      <c r="K3" s="1391"/>
      <c r="L3" s="1391"/>
      <c r="M3" s="1391"/>
      <c r="N3" s="1426"/>
      <c r="O3" s="1391"/>
      <c r="P3" s="1391"/>
    </row>
    <row r="4" spans="1:16" ht="15">
      <c r="A4" s="3104"/>
      <c r="B4" s="3105"/>
      <c r="C4" s="3106"/>
      <c r="D4" s="2226" t="s">
        <v>1870</v>
      </c>
      <c r="E4" s="2227" t="s">
        <v>1871</v>
      </c>
      <c r="F4" s="1391"/>
      <c r="G4" s="2228" t="s">
        <v>1896</v>
      </c>
      <c r="H4" s="1246" t="s">
        <v>1876</v>
      </c>
      <c r="I4" s="55">
        <f>ROUND(SUMIF('数据-基础表'!I9:AS9,"地上",'数据-基础表'!I5:AS5)/'数据-基础表'!A3,2)</f>
        <v>1.52</v>
      </c>
      <c r="J4" s="1391"/>
      <c r="K4" s="1391"/>
      <c r="L4" s="1391"/>
      <c r="M4" s="1391"/>
      <c r="N4" s="1426"/>
      <c r="O4" s="1391"/>
      <c r="P4" s="1391"/>
    </row>
    <row r="5" spans="1:16">
      <c r="A5" s="47" t="s">
        <v>1872</v>
      </c>
      <c r="B5" s="3107" t="s">
        <v>1873</v>
      </c>
      <c r="C5" s="3107"/>
      <c r="D5" s="48">
        <f>ROUND($D$3*E5/$E$3,2)</f>
        <v>49200.4</v>
      </c>
      <c r="E5" s="49">
        <f>SUMIF('数据-基础表'!$11:$11,"住宅",'数据-基础表'!$5:$5)</f>
        <v>129585.88999999998</v>
      </c>
      <c r="F5" s="1391"/>
      <c r="G5" s="1398"/>
      <c r="H5" s="1246" t="s">
        <v>1869</v>
      </c>
      <c r="I5" s="55">
        <f>ROUND(E31/D31,2)</f>
        <v>2.63</v>
      </c>
      <c r="J5" s="1391"/>
      <c r="K5" s="1391"/>
      <c r="L5" s="1391"/>
      <c r="M5" s="1391"/>
      <c r="N5" s="1391"/>
      <c r="O5" s="1391"/>
      <c r="P5" s="1391"/>
    </row>
    <row r="6" spans="1:16" ht="15" thickBot="1">
      <c r="A6" s="2229"/>
      <c r="B6" s="3107" t="s">
        <v>1874</v>
      </c>
      <c r="C6" s="3107"/>
      <c r="D6" s="48">
        <f>ROUND($D$3*E6/$E$3,2)</f>
        <v>14328.68</v>
      </c>
      <c r="E6" s="49">
        <f>E3-E5</f>
        <v>37739.420000000042</v>
      </c>
      <c r="F6" s="1391"/>
      <c r="G6" s="2230" t="s">
        <v>1875</v>
      </c>
      <c r="H6" s="1398" t="s">
        <v>1876</v>
      </c>
      <c r="I6" s="938">
        <f>ROUND(F31/D31,2)</f>
        <v>1.47</v>
      </c>
      <c r="J6" s="1391"/>
      <c r="K6" s="1391"/>
      <c r="L6" s="1391"/>
      <c r="M6" s="1391"/>
      <c r="N6" s="1391"/>
      <c r="O6" s="1391"/>
      <c r="P6" s="1391"/>
    </row>
    <row r="7" spans="1:16" ht="15">
      <c r="A7" s="3099"/>
      <c r="B7" s="3100"/>
      <c r="C7" s="3101"/>
      <c r="D7" s="2226" t="s">
        <v>1870</v>
      </c>
      <c r="E7" s="2231" t="s">
        <v>1877</v>
      </c>
      <c r="F7" s="1391"/>
      <c r="G7" s="2223" t="s">
        <v>1878</v>
      </c>
      <c r="H7" s="64"/>
      <c r="I7" s="419"/>
      <c r="J7" s="1391"/>
      <c r="K7" s="1391"/>
      <c r="L7" s="1391"/>
      <c r="M7" s="1391"/>
      <c r="N7" s="1391"/>
      <c r="O7" s="1391"/>
      <c r="P7" s="1391"/>
    </row>
    <row r="8" spans="1:16">
      <c r="A8" s="47" t="s">
        <v>1879</v>
      </c>
      <c r="B8" s="50" t="s">
        <v>1880</v>
      </c>
      <c r="C8" s="48" t="s">
        <v>1881</v>
      </c>
      <c r="D8" s="48">
        <f t="shared" ref="D8:D15" si="0">ROUND($D$3*E8/$E$3,2)</f>
        <v>35379.040000000001</v>
      </c>
      <c r="E8" s="51">
        <f>SUMIF('数据-基础表'!BB10:BK10,"地上",'数据-基础表'!BB5:BK5)</f>
        <v>93182.659999999989</v>
      </c>
      <c r="F8" s="1391"/>
      <c r="G8" s="2232"/>
      <c r="H8" s="2232"/>
      <c r="I8" s="1391"/>
      <c r="J8" s="1391"/>
      <c r="K8" s="1391"/>
      <c r="L8" s="1391"/>
      <c r="M8" s="1391"/>
      <c r="N8" s="1391"/>
      <c r="O8" s="1391"/>
      <c r="P8" s="1391"/>
    </row>
    <row r="9" spans="1:16">
      <c r="A9" s="2233"/>
      <c r="B9" s="2234"/>
      <c r="C9" s="48" t="s">
        <v>1882</v>
      </c>
      <c r="D9" s="48">
        <f t="shared" si="0"/>
        <v>0</v>
      </c>
      <c r="E9" s="52">
        <v>0</v>
      </c>
      <c r="F9" s="1391"/>
      <c r="G9" s="2232"/>
      <c r="H9" s="2232"/>
      <c r="I9" s="1391"/>
      <c r="J9" s="1391"/>
      <c r="K9" s="1391"/>
      <c r="L9" s="1391"/>
      <c r="M9" s="1391"/>
      <c r="N9" s="1391"/>
      <c r="O9" s="1391"/>
      <c r="P9" s="1391"/>
    </row>
    <row r="10" spans="1:16">
      <c r="A10" s="2233"/>
      <c r="B10" s="2234"/>
      <c r="C10" s="48" t="s">
        <v>1891</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c r="A11" s="2233"/>
      <c r="B11" s="2234"/>
      <c r="C11" s="48" t="s">
        <v>1883</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8" t="s">
        <v>1884</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1885</v>
      </c>
      <c r="D13" s="48">
        <f t="shared" si="0"/>
        <v>14328.68</v>
      </c>
      <c r="E13" s="51">
        <f>SUMPRODUCT(('数据-基础表'!BB10:BK10="地下")*('数据-基础表'!BB11:BK11="车库")*('数据-基础表'!BB5:BK5))</f>
        <v>37739.420000000006</v>
      </c>
      <c r="F13" s="1391"/>
      <c r="G13" s="2232"/>
      <c r="H13" s="2232"/>
      <c r="I13" s="1391"/>
      <c r="J13" s="1391"/>
      <c r="K13" s="1391"/>
      <c r="L13" s="1391"/>
      <c r="M13" s="1391"/>
      <c r="N13" s="1391"/>
      <c r="O13" s="1391"/>
      <c r="P13" s="1391"/>
    </row>
    <row r="14" spans="1:16">
      <c r="A14" s="2233"/>
      <c r="B14" s="2234"/>
      <c r="C14" s="48" t="s">
        <v>1897</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1892</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1886</v>
      </c>
      <c r="D16" s="50">
        <f>SUM(D8:D15)</f>
        <v>49707.72</v>
      </c>
      <c r="E16" s="53">
        <f>SUM(E8:E15)</f>
        <v>130922.07999999999</v>
      </c>
      <c r="F16" s="1391"/>
      <c r="G16" s="2232"/>
      <c r="H16" s="2235" t="s">
        <v>1898</v>
      </c>
      <c r="I16" s="2236"/>
      <c r="J16" s="1391"/>
      <c r="K16" s="3096" t="s">
        <v>1898</v>
      </c>
      <c r="L16" s="3097"/>
      <c r="M16" s="3097"/>
      <c r="N16" s="3097"/>
      <c r="O16" s="3097"/>
      <c r="P16" s="3098"/>
    </row>
    <row r="17" spans="1:19" ht="15">
      <c r="A17" s="2237" t="s">
        <v>1899</v>
      </c>
      <c r="B17" s="2238" t="s">
        <v>1900</v>
      </c>
      <c r="C17" s="2239" t="s">
        <v>1901</v>
      </c>
      <c r="D17" s="2240" t="s">
        <v>1889</v>
      </c>
      <c r="E17" s="2241" t="s">
        <v>1890</v>
      </c>
      <c r="F17" s="2242"/>
      <c r="G17" s="2243"/>
      <c r="H17" s="2244" t="s">
        <v>1902</v>
      </c>
      <c r="I17" s="2245" t="s">
        <v>1887</v>
      </c>
      <c r="J17" s="1391"/>
      <c r="K17" s="3093" t="s">
        <v>1903</v>
      </c>
      <c r="L17" s="3094"/>
      <c r="M17" s="3095"/>
      <c r="N17" s="3093" t="s">
        <v>1904</v>
      </c>
      <c r="O17" s="3094"/>
      <c r="P17" s="3095"/>
      <c r="R17" s="2223" t="s">
        <v>1905</v>
      </c>
      <c r="S17" s="64"/>
    </row>
    <row r="18" spans="1:19" ht="15">
      <c r="A18" s="2233"/>
      <c r="B18" s="2246"/>
      <c r="C18" s="2247"/>
      <c r="D18" s="2248"/>
      <c r="E18" s="2249" t="s">
        <v>1906</v>
      </c>
      <c r="F18" s="2250" t="s">
        <v>1907</v>
      </c>
      <c r="G18" s="2251" t="s">
        <v>1908</v>
      </c>
      <c r="H18" s="1261" t="s">
        <v>1909</v>
      </c>
      <c r="I18" s="2252" t="s">
        <v>1910</v>
      </c>
      <c r="J18" s="1391"/>
      <c r="K18" s="1261" t="s">
        <v>1911</v>
      </c>
      <c r="L18" s="2253" t="s">
        <v>1912</v>
      </c>
      <c r="M18" s="1045" t="s">
        <v>1913</v>
      </c>
      <c r="N18" s="1261" t="s">
        <v>1911</v>
      </c>
      <c r="O18" s="2253" t="s">
        <v>1912</v>
      </c>
      <c r="P18" s="1045" t="s">
        <v>1913</v>
      </c>
      <c r="R18" s="1246" t="s">
        <v>1914</v>
      </c>
      <c r="S18" s="1246" t="s">
        <v>1915</v>
      </c>
    </row>
    <row r="19" spans="1:19">
      <c r="A19" s="2254"/>
      <c r="B19" s="50" t="s">
        <v>1888</v>
      </c>
      <c r="C19" s="2936" t="str">
        <f>定义!A3</f>
        <v>高层含地下</v>
      </c>
      <c r="D19" s="48">
        <f>ROUND($D$3*E19/$E$3,2)</f>
        <v>17517.39</v>
      </c>
      <c r="E19" s="56">
        <f t="shared" ref="E19:E26" si="1">SUM(F19:G19)</f>
        <v>46137.96</v>
      </c>
      <c r="F19" s="57">
        <f>'数据-基础表'!I17-'数据-基础表'!J17</f>
        <v>19292.039999999997</v>
      </c>
      <c r="G19" s="58">
        <f>'数据-基础表'!K17-'数据-基础表'!L17</f>
        <v>26845.920000000002</v>
      </c>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5"/>
      <c r="O19" s="2256"/>
      <c r="P19" s="1402">
        <f>N19+O19</f>
        <v>0</v>
      </c>
      <c r="R19" s="1246">
        <f t="shared" ref="R19:S26" si="5">D19+H19</f>
        <v>17517.39</v>
      </c>
      <c r="S19" s="1247">
        <f t="shared" si="5"/>
        <v>46137.96</v>
      </c>
    </row>
    <row r="20" spans="1:19">
      <c r="A20" s="2257"/>
      <c r="B20" s="50" t="s">
        <v>1916</v>
      </c>
      <c r="C20" s="2936" t="str">
        <f>定义!A4</f>
        <v>高层不含</v>
      </c>
      <c r="D20" s="48">
        <f t="shared" ref="D20:D26" si="6">ROUND($D$3*E20/$E$3,2)</f>
        <v>18959.86</v>
      </c>
      <c r="E20" s="56">
        <f t="shared" si="1"/>
        <v>49937.2</v>
      </c>
      <c r="F20" s="57">
        <f>'数据-基础表'!I18-'数据-基础表'!J18</f>
        <v>49937.2</v>
      </c>
      <c r="G20" s="58"/>
      <c r="H20" s="722">
        <f t="shared" ref="H20:H26" si="7">ROUND($D$3*I20/$E$3,2)</f>
        <v>0</v>
      </c>
      <c r="I20" s="51">
        <f t="shared" si="2"/>
        <v>0</v>
      </c>
      <c r="J20" s="1391"/>
      <c r="K20" s="1390">
        <f t="shared" si="3"/>
        <v>0</v>
      </c>
      <c r="L20" s="1246">
        <f t="shared" si="4"/>
        <v>0</v>
      </c>
      <c r="M20" s="1402">
        <f t="shared" ref="M20:M26" si="8">K20+L20</f>
        <v>0</v>
      </c>
      <c r="N20" s="2255"/>
      <c r="O20" s="2256"/>
      <c r="P20" s="1402">
        <f t="shared" ref="P20:P26" si="9">N20+O20</f>
        <v>0</v>
      </c>
      <c r="R20" s="1246">
        <f t="shared" si="5"/>
        <v>18959.86</v>
      </c>
      <c r="S20" s="1247">
        <f t="shared" si="5"/>
        <v>49937.2</v>
      </c>
    </row>
    <row r="21" spans="1:19">
      <c r="A21" s="2257"/>
      <c r="B21" s="50" t="s">
        <v>1916</v>
      </c>
      <c r="C21" s="2936" t="str">
        <f>定义!A5</f>
        <v>高层含阁楼</v>
      </c>
      <c r="D21" s="48">
        <f t="shared" si="6"/>
        <v>5026.7</v>
      </c>
      <c r="E21" s="56">
        <f t="shared" si="1"/>
        <v>13239.509999999998</v>
      </c>
      <c r="F21" s="57">
        <f>'数据-基础表'!I19-'数据-基础表'!J19</f>
        <v>13239.509999999998</v>
      </c>
      <c r="G21" s="58"/>
      <c r="H21" s="722">
        <f t="shared" si="7"/>
        <v>0</v>
      </c>
      <c r="I21" s="51">
        <f t="shared" si="2"/>
        <v>0</v>
      </c>
      <c r="J21" s="1391"/>
      <c r="K21" s="1390">
        <f t="shared" si="3"/>
        <v>0</v>
      </c>
      <c r="L21" s="1246">
        <f t="shared" si="4"/>
        <v>0</v>
      </c>
      <c r="M21" s="1402">
        <f t="shared" si="8"/>
        <v>0</v>
      </c>
      <c r="N21" s="2255"/>
      <c r="O21" s="2256"/>
      <c r="P21" s="1402">
        <f t="shared" si="9"/>
        <v>0</v>
      </c>
      <c r="R21" s="1246">
        <f t="shared" si="5"/>
        <v>5026.7</v>
      </c>
      <c r="S21" s="1247">
        <f t="shared" si="5"/>
        <v>13239.509999999998</v>
      </c>
    </row>
    <row r="22" spans="1:19">
      <c r="A22" s="2257"/>
      <c r="B22" s="50" t="s">
        <v>1916</v>
      </c>
      <c r="C22" s="60" t="str">
        <f>定义!A6</f>
        <v>合院</v>
      </c>
      <c r="D22" s="48">
        <f t="shared" si="6"/>
        <v>7696.46</v>
      </c>
      <c r="E22" s="56">
        <f t="shared" si="1"/>
        <v>20271.22</v>
      </c>
      <c r="F22" s="61">
        <f>'数据-基础表'!I20-'数据-基础表'!J20</f>
        <v>10713.91</v>
      </c>
      <c r="G22" s="62">
        <f>'数据-基础表'!K20-'数据-基础表'!L20</f>
        <v>9557.31</v>
      </c>
      <c r="H22" s="722">
        <f t="shared" si="7"/>
        <v>0</v>
      </c>
      <c r="I22" s="51">
        <f t="shared" si="2"/>
        <v>0</v>
      </c>
      <c r="J22" s="1391"/>
      <c r="K22" s="1390">
        <f t="shared" si="3"/>
        <v>0</v>
      </c>
      <c r="L22" s="1246">
        <f t="shared" si="4"/>
        <v>0</v>
      </c>
      <c r="M22" s="1402">
        <f t="shared" si="8"/>
        <v>0</v>
      </c>
      <c r="N22" s="2255"/>
      <c r="O22" s="2256"/>
      <c r="P22" s="1402">
        <f t="shared" si="9"/>
        <v>0</v>
      </c>
      <c r="R22" s="1246">
        <f t="shared" si="5"/>
        <v>7696.46</v>
      </c>
      <c r="S22" s="1247">
        <f t="shared" si="5"/>
        <v>20271.22</v>
      </c>
    </row>
    <row r="23" spans="1:19">
      <c r="A23" s="2257"/>
      <c r="B23" s="50" t="s">
        <v>1916</v>
      </c>
      <c r="C23" s="60" t="str">
        <f>定义!A7</f>
        <v>地下车库用房</v>
      </c>
      <c r="D23" s="48">
        <f>ROUND($D$3*E23/$E$3,2)</f>
        <v>14328.68</v>
      </c>
      <c r="E23" s="56">
        <f>SUM(F23:G23)</f>
        <v>37739.420000000006</v>
      </c>
      <c r="F23" s="61"/>
      <c r="G23" s="62">
        <f>'数据-基础表'!M16</f>
        <v>37739.420000000006</v>
      </c>
      <c r="H23" s="722">
        <f>ROUND($D$3*I23/$E$3,2)</f>
        <v>0</v>
      </c>
      <c r="I23" s="51">
        <f t="shared" si="2"/>
        <v>0</v>
      </c>
      <c r="J23" s="1391"/>
      <c r="K23" s="1390">
        <f t="shared" si="3"/>
        <v>0</v>
      </c>
      <c r="L23" s="1246">
        <f t="shared" si="4"/>
        <v>0</v>
      </c>
      <c r="M23" s="1402">
        <f t="shared" si="8"/>
        <v>0</v>
      </c>
      <c r="N23" s="2255"/>
      <c r="O23" s="2256"/>
      <c r="P23" s="1402">
        <f t="shared" si="9"/>
        <v>0</v>
      </c>
      <c r="R23" s="1246">
        <f t="shared" si="5"/>
        <v>14328.68</v>
      </c>
      <c r="S23" s="1247">
        <f t="shared" si="5"/>
        <v>37739.420000000006</v>
      </c>
    </row>
    <row r="24" spans="1:19">
      <c r="A24" s="2257"/>
      <c r="B24" s="50" t="s">
        <v>1916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5"/>
      <c r="O24" s="2256"/>
      <c r="P24" s="1402">
        <f t="shared" si="9"/>
        <v>0</v>
      </c>
      <c r="R24" s="1246">
        <f t="shared" si="5"/>
        <v>0</v>
      </c>
      <c r="S24" s="1247">
        <f t="shared" si="5"/>
        <v>0</v>
      </c>
    </row>
    <row r="25" spans="1:19">
      <c r="A25" s="2257"/>
      <c r="B25" s="50" t="s">
        <v>1916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5"/>
      <c r="O25" s="2256"/>
      <c r="P25" s="1402">
        <f t="shared" si="9"/>
        <v>0</v>
      </c>
      <c r="R25" s="1246">
        <f t="shared" si="5"/>
        <v>0</v>
      </c>
      <c r="S25" s="1247">
        <f t="shared" si="5"/>
        <v>0</v>
      </c>
    </row>
    <row r="26" spans="1:19">
      <c r="A26" s="2257"/>
      <c r="B26" s="50" t="s">
        <v>1916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8"/>
      <c r="O26" s="2259"/>
      <c r="P26" s="67">
        <f t="shared" si="9"/>
        <v>0</v>
      </c>
      <c r="R26" s="1246">
        <f t="shared" si="5"/>
        <v>0</v>
      </c>
      <c r="S26" s="1247">
        <f t="shared" si="5"/>
        <v>0</v>
      </c>
    </row>
    <row r="27" spans="1:19" ht="29.25" thickBot="1">
      <c r="A27" s="2257"/>
      <c r="B27" s="48"/>
      <c r="C27" s="2260" t="s">
        <v>1917</v>
      </c>
      <c r="D27" s="1392">
        <f>SUM(D19:D26)</f>
        <v>63529.09</v>
      </c>
      <c r="E27" s="1393">
        <f>IF(SUM(E19:E26)='数据-基础表'!BA5,SUM(E19:E26),IF(F27="地上面积有误","面积有误","地下面积有误"))</f>
        <v>167325.31</v>
      </c>
      <c r="F27" s="1392">
        <f>IF(SUM(F19:F26)=E8,SUM(F19:F26),"地上面积有误")</f>
        <v>93182.659999999989</v>
      </c>
      <c r="G27" s="1394">
        <f>SUM(G19:G26)</f>
        <v>74142.650000000009</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t="str">
        <f>IF(SUM(R19:R26)=$D$3,SUM(R19:R26),SUM(R19:R26)&amp;"误差"&amp;ROUND(SUM(R19:R26)-$D$3,2))</f>
        <v>63529.09误差0.01</v>
      </c>
      <c r="S27" s="1246">
        <f>IF(SUM(S19:S26)=$E$3,SUM(S19:S26),SUM(S19:S26)&amp;"误差"&amp;ROUND(SUM(S19:S26)-E3,2))</f>
        <v>167325.31</v>
      </c>
    </row>
    <row r="28" spans="1:19">
      <c r="A28" s="2257"/>
      <c r="B28" s="50" t="s">
        <v>1918</v>
      </c>
      <c r="C28" s="1258" t="s">
        <v>1919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7"/>
      <c r="B29" s="50" t="s">
        <v>1918</v>
      </c>
      <c r="C29" s="2261" t="s">
        <v>1920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7"/>
      <c r="B30" s="50"/>
      <c r="C30" s="2262" t="s">
        <v>1917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3"/>
      <c r="B31" s="2264"/>
      <c r="C31" s="1006" t="s">
        <v>1921</v>
      </c>
      <c r="D31" s="728">
        <f>D27+D30</f>
        <v>63529.09</v>
      </c>
      <c r="E31" s="728">
        <f>E27+E30</f>
        <v>167325.31</v>
      </c>
      <c r="F31" s="729">
        <f>F27+F30</f>
        <v>93182.659999999989</v>
      </c>
      <c r="G31" s="730">
        <f>G27+G30</f>
        <v>74142.650000000009</v>
      </c>
      <c r="H31" s="1391"/>
      <c r="I31" s="1391"/>
      <c r="J31" s="1391"/>
      <c r="K31" s="1391"/>
      <c r="L31" s="1391"/>
      <c r="M31" s="1391"/>
      <c r="N31" s="1391"/>
      <c r="O31" s="1391"/>
      <c r="P31" s="1391"/>
    </row>
    <row r="32" spans="1:19">
      <c r="A32" s="2228"/>
      <c r="B32" s="2228" t="s">
        <v>1922</v>
      </c>
      <c r="C32" s="2228"/>
      <c r="D32" s="2228"/>
      <c r="E32" s="1273">
        <f>SUMIF(C19:C26,"*住宅*",E19:E26)</f>
        <v>0</v>
      </c>
      <c r="F32" s="2228"/>
      <c r="G32" s="2228"/>
      <c r="H32" s="1391"/>
      <c r="I32" s="1391"/>
      <c r="J32" s="1391"/>
      <c r="K32" s="1391"/>
      <c r="L32" s="1391"/>
      <c r="M32" s="1391"/>
      <c r="N32" s="1391"/>
      <c r="O32" s="1391"/>
      <c r="P32" s="1391"/>
    </row>
    <row r="33" spans="4:6">
      <c r="D33" s="2265"/>
    </row>
    <row r="34" spans="4:6">
      <c r="E34" s="2221">
        <f>'数据-基础表'!A3*1.5</f>
        <v>124634.02500000001</v>
      </c>
      <c r="F34" s="2937">
        <f>'数据-基础表'!G5-'数据-汇总表'!E34-G31-'数据-基础表'!AT5</f>
        <v>11214.595000000036</v>
      </c>
    </row>
    <row r="35" spans="4:6">
      <c r="E35" s="2265">
        <f>E34-F30</f>
        <v>124634.02500000001</v>
      </c>
      <c r="F35" s="2221">
        <f>F34/E35</f>
        <v>8.9980204041392675E-2</v>
      </c>
    </row>
    <row r="36" spans="4:6">
      <c r="F36" s="2221">
        <f>F27*(1-F35)</f>
        <v>84798.065240080279</v>
      </c>
    </row>
    <row r="37" spans="4:6">
      <c r="F37" s="2221">
        <f ca="1">结果表!G19/'数据-汇总表'!F36*10000</f>
        <v>24005.382602029669</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783" priority="1" stopIfTrue="1" operator="containsText" text="面积有误">
      <formula>NOT(ISERROR(SEARCH("面积有误",E27)))</formula>
    </cfRule>
    <cfRule type="cellIs" dxfId="782" priority="3" stopIfTrue="1" operator="equal">
      <formula>"地下面积有误"</formula>
    </cfRule>
  </conditionalFormatting>
  <conditionalFormatting sqref="F27">
    <cfRule type="cellIs" dxfId="7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H23" sqref="H23"/>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5"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1923</v>
      </c>
      <c r="B1" s="731"/>
      <c r="C1" s="1579"/>
      <c r="D1" s="2267"/>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0" t="s">
        <v>1924</v>
      </c>
      <c r="B2" s="1265">
        <f>项目基本情况!D3</f>
        <v>43452</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1925</v>
      </c>
      <c r="B4" s="2275"/>
      <c r="C4" s="2276"/>
      <c r="D4" s="2277"/>
      <c r="E4" s="2276" t="s">
        <v>1926</v>
      </c>
      <c r="F4" s="2276"/>
      <c r="G4" s="2276"/>
      <c r="H4" s="2276"/>
      <c r="I4" s="2276"/>
      <c r="J4" s="2278"/>
      <c r="K4" s="2279"/>
      <c r="L4" s="2280"/>
      <c r="M4" s="2276"/>
      <c r="N4" s="2276" t="s">
        <v>1927</v>
      </c>
      <c r="O4" s="2276"/>
      <c r="P4" s="2276"/>
      <c r="Q4" s="2276"/>
      <c r="R4" s="2276"/>
      <c r="S4" s="2278"/>
      <c r="T4" s="2281" t="str">
        <f>'数据-汇总表'!I17</f>
        <v>按面积比例</v>
      </c>
      <c r="U4" s="2275" t="s">
        <v>1928</v>
      </c>
      <c r="V4" s="2276"/>
      <c r="W4" s="2276"/>
      <c r="X4" s="2276"/>
      <c r="Y4" s="2278"/>
      <c r="Z4" s="2239" t="s">
        <v>1929</v>
      </c>
      <c r="AA4" s="2239"/>
      <c r="AB4" s="2239"/>
      <c r="AC4" s="2239"/>
      <c r="AD4" s="2239"/>
      <c r="AE4" s="2237" t="s">
        <v>1930</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1931</v>
      </c>
      <c r="B5" s="2284" t="s">
        <v>1932</v>
      </c>
      <c r="C5" s="2285" t="s">
        <v>1933</v>
      </c>
      <c r="D5" s="2286" t="s">
        <v>1934</v>
      </c>
      <c r="E5" s="1267" t="s">
        <v>1935</v>
      </c>
      <c r="F5" s="2287" t="s">
        <v>1936</v>
      </c>
      <c r="G5" s="1267" t="s">
        <v>1937</v>
      </c>
      <c r="H5" s="1267" t="s">
        <v>1938</v>
      </c>
      <c r="I5" s="1267" t="s">
        <v>1939</v>
      </c>
      <c r="J5" s="2288" t="s">
        <v>1940</v>
      </c>
      <c r="K5" s="2289" t="s">
        <v>1941</v>
      </c>
      <c r="L5" s="2290" t="s">
        <v>1942</v>
      </c>
      <c r="M5" s="2291" t="s">
        <v>1943</v>
      </c>
      <c r="N5" s="2292" t="s">
        <v>3007</v>
      </c>
      <c r="O5" s="2290" t="s">
        <v>1944</v>
      </c>
      <c r="P5" s="2293" t="s">
        <v>1945</v>
      </c>
      <c r="Q5" s="69" t="s">
        <v>1946</v>
      </c>
      <c r="R5" s="2294" t="s">
        <v>1947</v>
      </c>
      <c r="S5" s="2295" t="s">
        <v>1948</v>
      </c>
      <c r="T5" s="2296" t="s">
        <v>1949</v>
      </c>
      <c r="U5" s="1266" t="s">
        <v>1950</v>
      </c>
      <c r="V5" s="1267" t="s">
        <v>1951</v>
      </c>
      <c r="W5" s="1267" t="s">
        <v>1952</v>
      </c>
      <c r="X5" s="71"/>
      <c r="Y5" s="70" t="s">
        <v>1953</v>
      </c>
      <c r="Z5" s="2297" t="s">
        <v>1950</v>
      </c>
      <c r="AA5" s="1267" t="s">
        <v>1951</v>
      </c>
      <c r="AB5" s="1267" t="s">
        <v>1952</v>
      </c>
      <c r="AC5" s="71"/>
      <c r="AD5" s="71" t="s">
        <v>1953</v>
      </c>
      <c r="AE5" s="1266" t="s">
        <v>1954</v>
      </c>
      <c r="AF5" s="1267" t="s">
        <v>1955</v>
      </c>
      <c r="AG5" s="70" t="s">
        <v>1956</v>
      </c>
      <c r="AH5" s="1266" t="s">
        <v>1957</v>
      </c>
      <c r="AI5" s="2297" t="s">
        <v>1958</v>
      </c>
      <c r="AJ5" s="2297" t="s">
        <v>1959</v>
      </c>
      <c r="AK5" s="1267" t="s">
        <v>1960</v>
      </c>
      <c r="AL5" s="1267" t="s">
        <v>1961</v>
      </c>
      <c r="AM5" s="70" t="s">
        <v>1962</v>
      </c>
      <c r="AN5" s="2298" t="s">
        <v>1963</v>
      </c>
      <c r="AO5" s="2070" t="s">
        <v>1964</v>
      </c>
      <c r="AP5" s="1248" t="s">
        <v>1965</v>
      </c>
      <c r="AQ5" s="2299" t="s">
        <v>1966</v>
      </c>
      <c r="AR5" s="2299" t="s">
        <v>1967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0" t="str">
        <f>'数据-汇总表'!C19</f>
        <v>高层含地下</v>
      </c>
      <c r="B6" s="2301" t="str">
        <f>IF(A6=0,"","经营性")</f>
        <v>经营性</v>
      </c>
      <c r="C6" s="2302" t="s">
        <v>3003</v>
      </c>
      <c r="D6" s="1050">
        <f>SUMIF(项目基本情况!D$12:I$12,C6,项目基本情况!D$14:I$14)</f>
        <v>70</v>
      </c>
      <c r="E6" s="1047">
        <f>IF(B6="","",SUMIF(项目基本情况!D$12:I$12,C6,项目基本情况!D$13:I$13))</f>
        <v>68252</v>
      </c>
      <c r="F6" s="72">
        <f>SUMIF(项目基本情况!D$12:I$12,C6,项目基本情况!D$15:I$15)</f>
        <v>67.94</v>
      </c>
      <c r="G6" s="73">
        <f>IF(ISERROR(ROUND(POWER(1+H6,D6-F6)*(POWER(1+H6,F6)-1)/(POWER(1+H6,D6)-1),3)),0,ROUND(POWER(1+H6,D6-F6)*(POWER(1+H6,F6)-1)/(POWER(1+H6,D6)-1),3))</f>
        <v>0.99399999999999999</v>
      </c>
      <c r="H6" s="801">
        <v>0.04</v>
      </c>
      <c r="I6" s="801">
        <v>0.05</v>
      </c>
      <c r="J6" s="74">
        <v>8.5000000000000006E-2</v>
      </c>
      <c r="K6" s="1250">
        <f>SUMIF('数据-汇总表'!C$19:C$33,A6,'数据-汇总表'!E$19:E$33)</f>
        <v>46137.96</v>
      </c>
      <c r="L6" s="802">
        <v>1800</v>
      </c>
      <c r="M6" s="75">
        <f t="shared" ref="M6:M14" si="0">ROUND(K6*L6/10000,0)</f>
        <v>8305</v>
      </c>
      <c r="N6" s="800">
        <v>0.62</v>
      </c>
      <c r="O6" s="75">
        <f>IF($N$5="成新度","——",ROUND(M6*N6,0))</f>
        <v>5149</v>
      </c>
      <c r="P6" s="76">
        <f>IF($N$5="成新度","——",M6-O6)</f>
        <v>3156</v>
      </c>
      <c r="Q6" s="803">
        <v>0.08</v>
      </c>
      <c r="R6" s="77">
        <f ca="1">SUMIF('数据-汇总表'!C$19:C$33,A6,'数据-汇总表'!R$19:R$27)</f>
        <v>17517.39</v>
      </c>
      <c r="S6" s="54">
        <f>IF('数据-汇总表'!$I$17="按面积比例",SUMIF('数据-汇总表'!C$19:C$33,A6,'数据-汇总表'!K$19:K$33),SUMIF('数据-汇总表'!C$19:C$33,A6,'数据-汇总表'!N$19:N$33))</f>
        <v>0</v>
      </c>
      <c r="T6" s="1442">
        <f>ROUND($L$14*S6/10000,0)</f>
        <v>0</v>
      </c>
      <c r="U6" s="78"/>
      <c r="V6" s="79"/>
      <c r="W6" s="79"/>
      <c r="X6" s="1260"/>
      <c r="Y6" s="80"/>
      <c r="Z6" s="81"/>
      <c r="AA6" s="74"/>
      <c r="AB6" s="74"/>
      <c r="AC6" s="1260"/>
      <c r="AD6" s="82"/>
      <c r="AE6" s="1261">
        <f ca="1">IF(AN6="",0,SUMIF(INDIRECT("'"&amp;AN6&amp;"'"&amp;"!E:E"),$AE$5,INDIRECT("'"&amp;AN6&amp;"'"&amp;"!F:F")))</f>
        <v>0</v>
      </c>
      <c r="AF6" s="1802"/>
      <c r="AG6" s="146">
        <f>IF(AF6="",0,AE6-AF6)</f>
        <v>0</v>
      </c>
      <c r="AH6" s="83"/>
      <c r="AI6" s="85">
        <v>365</v>
      </c>
      <c r="AJ6" s="86"/>
      <c r="AK6" s="87">
        <v>0.02</v>
      </c>
      <c r="AL6" s="88">
        <v>2E-3</v>
      </c>
      <c r="AM6" s="89">
        <v>0.02</v>
      </c>
      <c r="AN6" s="2303"/>
      <c r="AO6" s="55" t="e">
        <f ca="1">SUMIF(INDIRECT("'"&amp;AN6&amp;"'"&amp;"!A:A"),"总价",INDIRECT("'"&amp;AN6&amp;"'"&amp;"!B:B"))</f>
        <v>#REF!</v>
      </c>
      <c r="AP6" s="2304">
        <f>IF(C6="住宅",K6*L6,0)</f>
        <v>83048328</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t="str">
        <f>'数据-汇总表'!C20</f>
        <v>高层不含</v>
      </c>
      <c r="B7" s="2301" t="str">
        <f t="shared" ref="B7:B13" si="1">IF(A7=0,"","经营性")</f>
        <v>经营性</v>
      </c>
      <c r="C7" s="2302" t="s">
        <v>3003</v>
      </c>
      <c r="D7" s="1050">
        <f>SUMIF(项目基本情况!D$12:I$12,C7,项目基本情况!D$14:I$14)</f>
        <v>70</v>
      </c>
      <c r="E7" s="1047">
        <f>IF(B7="","",SUMIF(项目基本情况!D$12:I$12,C7,项目基本情况!D$13:I$13))</f>
        <v>68252</v>
      </c>
      <c r="F7" s="72">
        <f>SUMIF(项目基本情况!D$12:I$12,C7,项目基本情况!D$15:I$15)</f>
        <v>67.94</v>
      </c>
      <c r="G7" s="73">
        <f t="shared" ref="G7:G11" si="2">IF(ISERROR(ROUND(POWER(1+H7,D7-F7)*(POWER(1+H7,F7)-1)/(POWER(1+H7,D7)-1),3)),0,ROUND(POWER(1+H7,D7-F7)*(POWER(1+H7,F7)-1)/(POWER(1+H7,D7)-1),3))</f>
        <v>0.99399999999999999</v>
      </c>
      <c r="H7" s="801">
        <v>0.04</v>
      </c>
      <c r="I7" s="801">
        <v>0.05</v>
      </c>
      <c r="J7" s="74">
        <v>8.5000000000000006E-2</v>
      </c>
      <c r="K7" s="1250">
        <f>SUMIF('数据-汇总表'!C$19:C$33,A7,'数据-汇总表'!E$19:E$33)</f>
        <v>49937.2</v>
      </c>
      <c r="L7" s="802">
        <f>L6</f>
        <v>1800</v>
      </c>
      <c r="M7" s="75">
        <f t="shared" si="0"/>
        <v>8989</v>
      </c>
      <c r="N7" s="800">
        <f>N6</f>
        <v>0.62</v>
      </c>
      <c r="O7" s="75">
        <f t="shared" ref="O7:O14" si="3">IF($N$5="成新度","——",ROUND(M7*N7,0))</f>
        <v>5573</v>
      </c>
      <c r="P7" s="76">
        <f t="shared" ref="P7:P14" si="4">IF($N$5="成新度","——",M7-O7)</f>
        <v>3416</v>
      </c>
      <c r="Q7" s="803">
        <v>0.08</v>
      </c>
      <c r="R7" s="77">
        <f ca="1">SUMIF('数据-汇总表'!C$19:C$33,A7,'数据-汇总表'!R$19:R$27)</f>
        <v>18959.86</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2"/>
      <c r="AG7" s="146">
        <f t="shared" ref="AG7:AG13" si="7">IF(AF7="",0,AE7-AF7)</f>
        <v>0</v>
      </c>
      <c r="AH7" s="83"/>
      <c r="AI7" s="85">
        <v>365</v>
      </c>
      <c r="AJ7" s="86"/>
      <c r="AK7" s="87">
        <v>0.02</v>
      </c>
      <c r="AL7" s="88">
        <v>2E-3</v>
      </c>
      <c r="AM7" s="89">
        <v>0.02</v>
      </c>
      <c r="AN7" s="2303"/>
      <c r="AO7" s="55" t="e">
        <f t="shared" ref="AO7:AO13" ca="1" si="8">SUMIF(INDIRECT("'"&amp;AN7&amp;"'"&amp;"!A:A"),"总价",INDIRECT("'"&amp;AN7&amp;"'"&amp;"!B:B"))</f>
        <v>#REF!</v>
      </c>
      <c r="AP7" s="2304">
        <f t="shared" ref="AP7:AP13" si="9">IF(C7="住宅",K7*L7,0)</f>
        <v>89886960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t="str">
        <f>'数据-汇总表'!C21</f>
        <v>高层含阁楼</v>
      </c>
      <c r="B8" s="2301" t="str">
        <f t="shared" si="1"/>
        <v>经营性</v>
      </c>
      <c r="C8" s="2302" t="s">
        <v>3003</v>
      </c>
      <c r="D8" s="1050">
        <f>SUMIF(项目基本情况!D$12:I$12,C8,项目基本情况!D$14:I$14)</f>
        <v>70</v>
      </c>
      <c r="E8" s="1047">
        <f>IF(B8="","",SUMIF(项目基本情况!D$12:I$12,C8,项目基本情况!D$13:I$13))</f>
        <v>68252</v>
      </c>
      <c r="F8" s="72">
        <f>SUMIF(项目基本情况!D$12:I$12,C8,项目基本情况!D$15:I$15)</f>
        <v>67.94</v>
      </c>
      <c r="G8" s="73">
        <f t="shared" si="2"/>
        <v>0.99399999999999999</v>
      </c>
      <c r="H8" s="801">
        <v>0.04</v>
      </c>
      <c r="I8" s="801">
        <v>0.05</v>
      </c>
      <c r="J8" s="74">
        <v>8.5000000000000006E-2</v>
      </c>
      <c r="K8" s="1250">
        <f>SUMIF('数据-汇总表'!C$19:C$33,A8,'数据-汇总表'!E$19:E$33)</f>
        <v>13239.509999999998</v>
      </c>
      <c r="L8" s="802">
        <f>L6</f>
        <v>1800</v>
      </c>
      <c r="M8" s="75">
        <f>ROUND(K8*L8/10000,0)</f>
        <v>2383</v>
      </c>
      <c r="N8" s="800">
        <f>N6</f>
        <v>0.62</v>
      </c>
      <c r="O8" s="75">
        <f t="shared" si="3"/>
        <v>1477</v>
      </c>
      <c r="P8" s="76">
        <f t="shared" si="4"/>
        <v>906</v>
      </c>
      <c r="Q8" s="803">
        <v>0.08</v>
      </c>
      <c r="R8" s="77">
        <f ca="1">SUMIF('数据-汇总表'!C$19:C$33,A8,'数据-汇总表'!R$19:R$27)</f>
        <v>5026.7</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2"/>
      <c r="AG8" s="146">
        <f t="shared" si="7"/>
        <v>0</v>
      </c>
      <c r="AH8" s="807"/>
      <c r="AI8" s="85">
        <v>365</v>
      </c>
      <c r="AJ8" s="86"/>
      <c r="AK8" s="87">
        <v>0.02</v>
      </c>
      <c r="AL8" s="88">
        <v>2E-3</v>
      </c>
      <c r="AM8" s="89">
        <v>0.02</v>
      </c>
      <c r="AN8" s="2303"/>
      <c r="AO8" s="55" t="e">
        <f t="shared" ca="1" si="8"/>
        <v>#REF!</v>
      </c>
      <c r="AP8" s="2304">
        <f t="shared" si="9"/>
        <v>23831117.999999996</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t="str">
        <f>'数据-汇总表'!C22</f>
        <v>合院</v>
      </c>
      <c r="B9" s="2301" t="str">
        <f t="shared" si="1"/>
        <v>经营性</v>
      </c>
      <c r="C9" s="2302" t="s">
        <v>3003</v>
      </c>
      <c r="D9" s="1050">
        <f>SUMIF(项目基本情况!D$12:I$12,C9,项目基本情况!D$14:I$14)</f>
        <v>70</v>
      </c>
      <c r="E9" s="1047">
        <f>IF(B9="","",SUMIF(项目基本情况!D$12:I$12,C9,项目基本情况!D$13:I$13))</f>
        <v>68252</v>
      </c>
      <c r="F9" s="72">
        <f>SUMIF(项目基本情况!D$12:I$12,C9,项目基本情况!D$15:I$15)</f>
        <v>67.94</v>
      </c>
      <c r="G9" s="73">
        <f t="shared" si="2"/>
        <v>0.99399999999999999</v>
      </c>
      <c r="H9" s="801">
        <v>0.04</v>
      </c>
      <c r="I9" s="801">
        <v>0.05</v>
      </c>
      <c r="J9" s="74">
        <v>8.5000000000000006E-2</v>
      </c>
      <c r="K9" s="1250">
        <f>SUMIF('数据-汇总表'!C$19:C$33,A9,'数据-汇总表'!E$19:E$33)</f>
        <v>20271.22</v>
      </c>
      <c r="L9" s="802">
        <v>2200</v>
      </c>
      <c r="M9" s="75">
        <f t="shared" si="0"/>
        <v>4460</v>
      </c>
      <c r="N9" s="800">
        <f>N6</f>
        <v>0.62</v>
      </c>
      <c r="O9" s="75">
        <f t="shared" si="3"/>
        <v>2765</v>
      </c>
      <c r="P9" s="76">
        <f t="shared" si="4"/>
        <v>1695</v>
      </c>
      <c r="Q9" s="90">
        <v>0.15</v>
      </c>
      <c r="R9" s="77">
        <f ca="1">SUMIF('数据-汇总表'!C$19:C$33,A9,'数据-汇总表'!R$19:R$27)</f>
        <v>7696.46</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6">
        <f t="shared" si="7"/>
        <v>0</v>
      </c>
      <c r="AH9" s="83"/>
      <c r="AI9" s="85">
        <v>365</v>
      </c>
      <c r="AJ9" s="86"/>
      <c r="AK9" s="87">
        <v>0.02</v>
      </c>
      <c r="AL9" s="88">
        <v>2E-3</v>
      </c>
      <c r="AM9" s="89">
        <v>0.02</v>
      </c>
      <c r="AN9" s="2303"/>
      <c r="AO9" s="55" t="e">
        <f t="shared" ca="1" si="8"/>
        <v>#REF!</v>
      </c>
      <c r="AP9" s="2304">
        <f t="shared" si="9"/>
        <v>44596684</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t="str">
        <f>'数据-汇总表'!C23</f>
        <v>地下车库用房</v>
      </c>
      <c r="B10" s="2301" t="str">
        <f t="shared" si="1"/>
        <v>经营性</v>
      </c>
      <c r="C10" s="2302" t="s">
        <v>3005</v>
      </c>
      <c r="D10" s="1050">
        <f>SUMIF(项目基本情况!D$12:I$12,C10,项目基本情况!D$14:I$14)</f>
        <v>50</v>
      </c>
      <c r="E10" s="1047">
        <f>IF(B10="","",SUMIF(项目基本情况!D$12:I$12,C10,项目基本情况!D$13:I$13))</f>
        <v>60947</v>
      </c>
      <c r="F10" s="72">
        <f>SUMIF(项目基本情况!D$12:I$12,C10,项目基本情况!D$15:I$15)</f>
        <v>47.93</v>
      </c>
      <c r="G10" s="73">
        <f t="shared" si="2"/>
        <v>0.98799999999999999</v>
      </c>
      <c r="H10" s="74">
        <v>4.4999999999999998E-2</v>
      </c>
      <c r="I10" s="74">
        <v>5.5E-2</v>
      </c>
      <c r="J10" s="74">
        <v>8.5000000000000006E-2</v>
      </c>
      <c r="K10" s="1250">
        <f>SUMIF('数据-汇总表'!C$19:C$33,A10,'数据-汇总表'!E$19:E$33)</f>
        <v>37739.420000000006</v>
      </c>
      <c r="L10" s="802">
        <v>2000</v>
      </c>
      <c r="M10" s="75">
        <f t="shared" si="0"/>
        <v>7548</v>
      </c>
      <c r="N10" s="800">
        <f>N6</f>
        <v>0.62</v>
      </c>
      <c r="O10" s="75">
        <f t="shared" si="3"/>
        <v>4680</v>
      </c>
      <c r="P10" s="76">
        <f t="shared" si="4"/>
        <v>2868</v>
      </c>
      <c r="Q10" s="90">
        <v>0.05</v>
      </c>
      <c r="R10" s="77">
        <f ca="1">SUMIF('数据-汇总表'!C$19:C$33,A10,'数据-汇总表'!R$19:R$27)</f>
        <v>14328.68</v>
      </c>
      <c r="S10" s="54">
        <f>IF('数据-汇总表'!$I$17="按面积比例",SUMIF('数据-汇总表'!C$19:C$33,A10,'数据-汇总表'!K$19:K$33),SUMIF('数据-汇总表'!C$19:C$33,A10,'数据-汇总表'!N$19:N$33))</f>
        <v>0</v>
      </c>
      <c r="T10" s="1442">
        <f t="shared" si="5"/>
        <v>0</v>
      </c>
      <c r="U10" s="3011">
        <v>700</v>
      </c>
      <c r="V10" s="79">
        <v>0.02</v>
      </c>
      <c r="W10" s="79">
        <v>0.1</v>
      </c>
      <c r="X10" s="1260"/>
      <c r="Y10" s="80">
        <v>1</v>
      </c>
      <c r="Z10" s="81"/>
      <c r="AA10" s="74"/>
      <c r="AB10" s="74"/>
      <c r="AC10" s="1260"/>
      <c r="AD10" s="82"/>
      <c r="AE10" s="1261">
        <f t="shared" ca="1" si="6"/>
        <v>47.23</v>
      </c>
      <c r="AF10" s="1802"/>
      <c r="AG10" s="146">
        <f t="shared" si="7"/>
        <v>0</v>
      </c>
      <c r="AH10" s="83">
        <v>1161</v>
      </c>
      <c r="AI10" s="85">
        <v>12</v>
      </c>
      <c r="AJ10" s="86"/>
      <c r="AK10" s="87">
        <v>1.4999999999999999E-2</v>
      </c>
      <c r="AL10" s="88">
        <v>1.5E-3</v>
      </c>
      <c r="AM10" s="89">
        <v>0.01</v>
      </c>
      <c r="AN10" s="2303" t="s">
        <v>3324</v>
      </c>
      <c r="AO10" s="55">
        <f t="shared" ca="1" si="8"/>
        <v>11997</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6">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6">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6">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1968</v>
      </c>
      <c r="B14" s="2301" t="s">
        <v>1969</v>
      </c>
      <c r="C14" s="2306" t="s">
        <v>1968</v>
      </c>
      <c r="D14" s="1050"/>
      <c r="E14" s="1047"/>
      <c r="F14" s="72"/>
      <c r="G14" s="73"/>
      <c r="H14" s="1249"/>
      <c r="I14" s="1249"/>
      <c r="J14" s="1249"/>
      <c r="K14" s="1250">
        <f>SUMIF('数据-汇总表'!C$19:C$33,A14,'数据-汇总表'!E$19:E$33)</f>
        <v>0</v>
      </c>
      <c r="L14" s="91">
        <v>2000</v>
      </c>
      <c r="M14" s="75">
        <f t="shared" si="0"/>
        <v>0</v>
      </c>
      <c r="N14" s="92">
        <f>N6</f>
        <v>0.62</v>
      </c>
      <c r="O14" s="75">
        <f t="shared" si="3"/>
        <v>0</v>
      </c>
      <c r="P14" s="76">
        <f t="shared" si="4"/>
        <v>0</v>
      </c>
      <c r="Q14" s="1253"/>
      <c r="R14" s="77"/>
      <c r="S14" s="54"/>
      <c r="T14" s="1442"/>
      <c r="U14" s="722"/>
      <c r="V14" s="1255"/>
      <c r="W14" s="1255"/>
      <c r="X14" s="1256"/>
      <c r="Y14" s="1257"/>
      <c r="Z14" s="1258"/>
      <c r="AA14" s="1259"/>
      <c r="AB14" s="1259"/>
      <c r="AC14" s="1260"/>
      <c r="AD14" s="1256"/>
      <c r="AE14" s="1261"/>
      <c r="AF14" s="55"/>
      <c r="AG14" s="146"/>
      <c r="AH14" s="1261"/>
      <c r="AI14" s="1813"/>
      <c r="AJ14" s="772"/>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1970</v>
      </c>
      <c r="B15" s="2301" t="s">
        <v>1969</v>
      </c>
      <c r="C15" s="2306" t="s">
        <v>1971</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3"/>
      <c r="AJ15" s="772"/>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1972</v>
      </c>
      <c r="B16" s="97"/>
      <c r="C16" s="1004"/>
      <c r="D16" s="2308"/>
      <c r="E16" s="97"/>
      <c r="F16" s="97"/>
      <c r="G16" s="98">
        <f>ROUND(SUMPRODUCT(G6:G13,K6:K13)/SUMPRODUCT((G6:G13&gt;0)*(K6:K13)),3)</f>
        <v>0.99299999999999999</v>
      </c>
      <c r="H16" s="99">
        <f>ROUND(SUMPRODUCT(H6:H13,K6:K13)/SUMPRODUCT((H6:H13&gt;0)*(K6:K13)),3)</f>
        <v>4.1000000000000002E-2</v>
      </c>
      <c r="I16" s="100"/>
      <c r="J16" s="100"/>
      <c r="K16" s="101">
        <f>SUM(K6:K15)</f>
        <v>167325.31</v>
      </c>
      <c r="L16" s="102">
        <f>ROUND(M16*10000/SUM(K6:K14),0)</f>
        <v>1894</v>
      </c>
      <c r="M16" s="102">
        <f>SUM(M6:M14)</f>
        <v>31685</v>
      </c>
      <c r="N16" s="103">
        <f>ROUND(SUMPRODUCT(M6:M14,N6:N14)/M16,3)</f>
        <v>0.62</v>
      </c>
      <c r="O16" s="102">
        <f>SUM(O6:O14)</f>
        <v>19644</v>
      </c>
      <c r="P16" s="102">
        <f>SUM(P6:P14)</f>
        <v>12041</v>
      </c>
      <c r="Q16" s="104">
        <f>ROUND(SUMPRODUCT(Q6:Q13,K6:K13)/SUMPRODUCT((Q6:Q13&gt;0)*(K6:K13)),2)</f>
        <v>0.08</v>
      </c>
      <c r="R16" s="1254">
        <f ca="1">SUM(R6:R13)</f>
        <v>63529.09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79"/>
      <c r="D17" s="2267"/>
      <c r="E17" s="2267"/>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1973</v>
      </c>
      <c r="B18" s="2274"/>
      <c r="C18" s="2271"/>
      <c r="D18" s="2272"/>
      <c r="E18" s="2271"/>
      <c r="F18" s="2271"/>
      <c r="G18" s="2271"/>
      <c r="H18" s="2271"/>
      <c r="I18" s="2271"/>
      <c r="J18" s="2271"/>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1974</v>
      </c>
      <c r="B19" s="112">
        <v>0</v>
      </c>
      <c r="C19" s="2271" t="s">
        <v>1975</v>
      </c>
      <c r="D19" s="2272"/>
      <c r="E19" s="2271"/>
      <c r="F19" s="2271"/>
      <c r="G19" s="2271"/>
      <c r="H19" s="2271"/>
      <c r="I19" s="2271"/>
      <c r="J19" s="2271"/>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1976</v>
      </c>
      <c r="B20" s="113">
        <v>2</v>
      </c>
      <c r="C20" s="2271" t="s">
        <v>1977</v>
      </c>
      <c r="D20" s="2272"/>
      <c r="E20" s="2271"/>
      <c r="F20" s="2271"/>
      <c r="G20" s="2271"/>
      <c r="H20" s="2271"/>
      <c r="I20" s="2271"/>
      <c r="J20" s="2271"/>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1978</v>
      </c>
      <c r="B21" s="113">
        <v>1.3</v>
      </c>
      <c r="C21" s="2271"/>
      <c r="D21" s="2272"/>
      <c r="E21" s="2271"/>
      <c r="F21" s="2271"/>
      <c r="G21" s="2271"/>
      <c r="H21" s="2271"/>
      <c r="I21" s="2271"/>
      <c r="J21" s="2271"/>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1979</v>
      </c>
      <c r="B22" s="114">
        <f>B19+B20</f>
        <v>2</v>
      </c>
      <c r="C22" s="2271"/>
      <c r="D22" s="2272"/>
      <c r="E22" s="2271"/>
      <c r="F22" s="2271"/>
      <c r="G22" s="2271"/>
      <c r="H22" s="2271"/>
      <c r="I22" s="2271"/>
      <c r="J22" s="2271"/>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1980</v>
      </c>
      <c r="B23" s="114">
        <f>B19+B21</f>
        <v>1.3</v>
      </c>
      <c r="C23" s="2271"/>
      <c r="D23" s="2272"/>
      <c r="E23" s="2271"/>
      <c r="F23" s="2271"/>
      <c r="G23" s="2271"/>
      <c r="H23" s="2271"/>
      <c r="I23" s="2271"/>
      <c r="J23" s="2271"/>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1981</v>
      </c>
      <c r="B24" s="115">
        <f>B20-B21</f>
        <v>0.7</v>
      </c>
      <c r="C24" s="2271"/>
      <c r="D24" s="2272"/>
      <c r="E24" s="2271"/>
      <c r="F24" s="2271"/>
      <c r="G24" s="2271"/>
      <c r="H24" s="2271"/>
      <c r="I24" s="2271"/>
      <c r="J24" s="2271"/>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4"/>
      <c r="C25" s="2271"/>
      <c r="D25" s="2272"/>
      <c r="E25" s="2271"/>
      <c r="F25" s="2271"/>
      <c r="G25" s="2271"/>
      <c r="H25" s="2271"/>
      <c r="I25" s="2271"/>
      <c r="J25" s="2271"/>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1982</v>
      </c>
      <c r="B26" s="2314" t="s">
        <v>1983</v>
      </c>
      <c r="C26" s="2315" t="s">
        <v>1984</v>
      </c>
      <c r="D26" s="2272"/>
      <c r="E26" s="2271"/>
      <c r="F26" s="2271"/>
      <c r="G26" s="2271"/>
      <c r="H26" s="2271"/>
      <c r="I26" s="2271"/>
      <c r="J26" s="2271"/>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1985</v>
      </c>
      <c r="B27" s="116">
        <v>70</v>
      </c>
      <c r="C27" s="1762" t="s">
        <v>1986</v>
      </c>
      <c r="D27" s="2317"/>
      <c r="E27" s="1426"/>
      <c r="F27" s="1426"/>
      <c r="G27" s="2271"/>
      <c r="H27" s="2271"/>
      <c r="I27" s="2271"/>
      <c r="J27" s="2271"/>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1987</v>
      </c>
      <c r="B28" s="119">
        <v>110</v>
      </c>
      <c r="C28" s="2320"/>
      <c r="D28" s="2317"/>
      <c r="E28" s="1426"/>
      <c r="F28" s="1426"/>
      <c r="G28" s="2271"/>
      <c r="H28" s="2271"/>
      <c r="I28" s="2271"/>
      <c r="J28" s="2271"/>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1988</v>
      </c>
      <c r="B29" s="121">
        <v>0</v>
      </c>
      <c r="C29" s="1762" t="s">
        <v>1989</v>
      </c>
      <c r="D29" s="2317"/>
      <c r="E29" s="1426"/>
      <c r="F29" s="1426"/>
      <c r="G29" s="2271"/>
      <c r="H29" s="2271"/>
      <c r="I29" s="2271"/>
      <c r="J29" s="2271"/>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1990</v>
      </c>
      <c r="B30" s="723">
        <v>200</v>
      </c>
      <c r="C30" s="2320"/>
      <c r="D30" s="2317"/>
      <c r="E30" s="1426"/>
      <c r="F30" s="1426"/>
      <c r="G30" s="2271"/>
      <c r="H30" s="2271"/>
      <c r="I30" s="2271"/>
      <c r="J30" s="2271"/>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1991</v>
      </c>
      <c r="B31" s="120">
        <f>B30-B32</f>
        <v>200</v>
      </c>
      <c r="C31" s="1762"/>
      <c r="D31" s="2317"/>
      <c r="E31" s="1426"/>
      <c r="F31" s="1426"/>
      <c r="G31" s="2271"/>
      <c r="H31" s="2271"/>
      <c r="I31" s="2271"/>
      <c r="J31" s="2271"/>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1992</v>
      </c>
      <c r="B32" s="724">
        <v>0</v>
      </c>
      <c r="C32" s="2320"/>
      <c r="D32" s="2272"/>
      <c r="E32" s="2271"/>
      <c r="F32" s="2271"/>
      <c r="G32" s="2271"/>
      <c r="H32" s="2271"/>
      <c r="I32" s="2271"/>
      <c r="J32" s="2271"/>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1993</v>
      </c>
      <c r="B33" s="725">
        <v>0.03</v>
      </c>
      <c r="C33" s="1761" t="s">
        <v>1994</v>
      </c>
      <c r="D33" s="2272"/>
      <c r="E33" s="2271"/>
      <c r="F33" s="2271"/>
      <c r="G33" s="2271"/>
      <c r="H33" s="2271"/>
      <c r="I33" s="2271"/>
      <c r="J33" s="2271"/>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1995</v>
      </c>
      <c r="B34" s="122">
        <v>0.03</v>
      </c>
      <c r="C34" s="1761" t="s">
        <v>1996</v>
      </c>
      <c r="D34" s="2272" t="s">
        <v>1997</v>
      </c>
      <c r="E34" s="731"/>
      <c r="F34" s="2271"/>
      <c r="G34" s="2271"/>
      <c r="H34" s="2271"/>
      <c r="I34" s="2271"/>
      <c r="J34" s="2271"/>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1998</v>
      </c>
      <c r="B35" s="119">
        <v>200</v>
      </c>
      <c r="C35" s="1761" t="s">
        <v>1999</v>
      </c>
      <c r="D35" s="2317"/>
      <c r="E35" s="1426"/>
      <c r="F35" s="1426"/>
      <c r="G35" s="2271"/>
      <c r="H35" s="2271"/>
      <c r="I35" s="2271"/>
      <c r="J35" s="2271"/>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2000</v>
      </c>
      <c r="B36" s="123">
        <v>1.4999999999999999E-2</v>
      </c>
      <c r="C36" s="1761" t="s">
        <v>2001</v>
      </c>
      <c r="D36" s="2272"/>
      <c r="E36" s="2271"/>
      <c r="F36" s="2271"/>
      <c r="G36" s="2271"/>
      <c r="H36" s="2271"/>
      <c r="I36" s="2271"/>
      <c r="J36" s="2271"/>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2002</v>
      </c>
      <c r="B37" s="124">
        <v>0.03</v>
      </c>
      <c r="C37" s="1761" t="s">
        <v>2003</v>
      </c>
      <c r="D37" s="2272"/>
      <c r="E37" s="2271"/>
      <c r="F37" s="2271"/>
      <c r="G37" s="2271"/>
      <c r="H37" s="2271"/>
      <c r="I37" s="2271"/>
      <c r="J37" s="2271"/>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2004</v>
      </c>
      <c r="B38" s="122">
        <v>0.03</v>
      </c>
      <c r="C38" s="1761" t="s">
        <v>2003</v>
      </c>
      <c r="D38" s="2272"/>
      <c r="E38" s="2271"/>
      <c r="F38" s="2271"/>
      <c r="G38" s="2271"/>
      <c r="H38" s="2271"/>
      <c r="I38" s="2271"/>
      <c r="J38" s="2271"/>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2005</v>
      </c>
      <c r="B39" s="361">
        <f ca="1">存贷款利率!I1</f>
        <v>1.4999999999999999E-2</v>
      </c>
      <c r="C39" s="1761"/>
      <c r="D39" s="2272"/>
      <c r="E39" s="2271"/>
      <c r="F39" s="2271"/>
      <c r="G39" s="2271"/>
      <c r="H39" s="2271"/>
      <c r="I39" s="2271"/>
      <c r="J39" s="2271"/>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2006</v>
      </c>
      <c r="B40" s="1299">
        <f ca="1">存贷款利率!G1</f>
        <v>4.7500000000000001E-2</v>
      </c>
      <c r="C40" s="1761" t="s">
        <v>2007</v>
      </c>
      <c r="D40" s="1579"/>
      <c r="E40" s="2272"/>
      <c r="F40" s="2271"/>
      <c r="G40" s="2271"/>
      <c r="H40" s="2271"/>
      <c r="I40" s="2271"/>
      <c r="J40" s="2271"/>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2008</v>
      </c>
      <c r="B41" s="125">
        <f>B42+B43</f>
        <v>5.6000000000000001E-2</v>
      </c>
      <c r="C41" s="1762"/>
      <c r="D41" s="1579"/>
      <c r="E41" s="2272"/>
      <c r="F41" s="2271"/>
      <c r="G41" s="2271"/>
      <c r="H41" s="2271"/>
      <c r="I41" s="2271"/>
      <c r="J41" s="2271"/>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2009</v>
      </c>
      <c r="B42" s="126">
        <v>0.05</v>
      </c>
      <c r="C42" s="2325">
        <f>IF(B2&lt;DATE(2016,5,1),0,B42)</f>
        <v>0.05</v>
      </c>
      <c r="D42" s="2272"/>
      <c r="E42" s="2271"/>
      <c r="F42" s="2271"/>
      <c r="G42" s="2271"/>
      <c r="H42" s="2271"/>
      <c r="I42" s="2271"/>
      <c r="J42" s="2271"/>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2010</v>
      </c>
      <c r="B43" s="127">
        <f>B42*(B44+B45+B46)+B47</f>
        <v>6.000000000000001E-3</v>
      </c>
      <c r="C43" s="1762"/>
      <c r="D43" s="2272"/>
      <c r="E43" s="2271"/>
      <c r="F43" s="2271"/>
      <c r="G43" s="2271"/>
      <c r="H43" s="2271"/>
      <c r="I43" s="2271"/>
      <c r="J43" s="2271"/>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2011</v>
      </c>
      <c r="B44" s="128">
        <v>7.0000000000000007E-2</v>
      </c>
      <c r="C44" s="1761" t="s">
        <v>2012</v>
      </c>
      <c r="D44" s="2272"/>
      <c r="E44" s="2271"/>
      <c r="F44" s="2271"/>
      <c r="G44" s="2271"/>
      <c r="H44" s="2271"/>
      <c r="I44" s="2271"/>
      <c r="J44" s="2271"/>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2013</v>
      </c>
      <c r="B45" s="126">
        <v>0.03</v>
      </c>
      <c r="C45" s="1762" t="s">
        <v>2014</v>
      </c>
      <c r="D45" s="2272"/>
      <c r="E45" s="2271"/>
      <c r="F45" s="2271"/>
      <c r="G45" s="2271"/>
      <c r="H45" s="2271"/>
      <c r="I45" s="2271"/>
      <c r="J45" s="2271"/>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2015</v>
      </c>
      <c r="B46" s="126">
        <v>0.02</v>
      </c>
      <c r="C46" s="1762" t="s">
        <v>2016</v>
      </c>
      <c r="D46" s="2272"/>
      <c r="E46" s="2271"/>
      <c r="F46" s="2271"/>
      <c r="G46" s="2271"/>
      <c r="H46" s="2271"/>
      <c r="I46" s="2271"/>
      <c r="J46" s="2271"/>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2017</v>
      </c>
      <c r="B47" s="129">
        <v>0</v>
      </c>
      <c r="C47" s="1762" t="s">
        <v>2018</v>
      </c>
      <c r="D47" s="2272"/>
      <c r="E47" s="2271"/>
      <c r="F47" s="2271"/>
      <c r="G47" s="2271"/>
      <c r="H47" s="2271"/>
      <c r="I47" s="2271"/>
      <c r="J47" s="2271"/>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2019</v>
      </c>
      <c r="B48" s="3012">
        <v>0.04</v>
      </c>
      <c r="C48" s="1769" t="s">
        <v>2020</v>
      </c>
      <c r="D48" s="2272"/>
      <c r="E48" s="2271"/>
      <c r="F48" s="2271"/>
      <c r="G48" s="2271"/>
      <c r="H48" s="2271"/>
      <c r="I48" s="2271"/>
      <c r="J48" s="2271"/>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2021</v>
      </c>
      <c r="B49" s="126">
        <v>5.0000000000000001E-4</v>
      </c>
      <c r="C49" s="1769" t="s">
        <v>2022</v>
      </c>
      <c r="D49" s="2272"/>
      <c r="E49" s="2271"/>
      <c r="F49" s="2271"/>
      <c r="G49" s="2271"/>
      <c r="H49" s="2271"/>
      <c r="I49" s="2271"/>
      <c r="J49" s="2271"/>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2023</v>
      </c>
      <c r="B50" s="130">
        <v>1.2E-2</v>
      </c>
      <c r="C50" s="1426"/>
      <c r="D50" s="2272"/>
      <c r="E50" s="2271"/>
      <c r="F50" s="2271"/>
      <c r="G50" s="2271"/>
      <c r="H50" s="2271"/>
      <c r="I50" s="2271"/>
      <c r="J50" s="2271"/>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2024</v>
      </c>
      <c r="B51" s="131">
        <v>0.12</v>
      </c>
      <c r="C51" s="1426"/>
      <c r="D51" s="2272"/>
      <c r="E51" s="2271"/>
      <c r="F51" s="2271"/>
      <c r="G51" s="2271"/>
      <c r="H51" s="2271"/>
      <c r="I51" s="2271"/>
      <c r="J51" s="2271"/>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2025</v>
      </c>
      <c r="B52" s="132">
        <f>SUMIF(A54:A63,B53,B54:B63)</f>
        <v>10</v>
      </c>
      <c r="C52" s="1426"/>
      <c r="D52" s="2272"/>
      <c r="E52" s="2271"/>
      <c r="F52" s="2271"/>
      <c r="G52" s="2271"/>
      <c r="H52" s="2271"/>
      <c r="I52" s="2271"/>
      <c r="J52" s="2271"/>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2026</v>
      </c>
      <c r="B53" s="2330" t="s">
        <v>442</v>
      </c>
      <c r="C53" s="1426" t="s">
        <v>2027</v>
      </c>
      <c r="D53" s="2331" t="s">
        <v>2028</v>
      </c>
      <c r="E53" s="2271"/>
      <c r="F53" s="2271"/>
      <c r="G53" s="2271"/>
      <c r="H53" s="2271"/>
      <c r="I53" s="2271"/>
      <c r="J53" s="2271"/>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2029</v>
      </c>
      <c r="B54" s="84"/>
      <c r="C54" s="1426">
        <v>30</v>
      </c>
      <c r="D54" s="2272"/>
      <c r="E54" s="2271"/>
      <c r="F54" s="2271"/>
      <c r="G54" s="2271"/>
      <c r="H54" s="2271"/>
      <c r="I54" s="2271"/>
      <c r="J54" s="2271"/>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2030</v>
      </c>
      <c r="B55" s="84"/>
      <c r="C55" s="1426">
        <v>24</v>
      </c>
      <c r="D55" s="2272"/>
      <c r="E55" s="2271"/>
      <c r="F55" s="2271"/>
      <c r="G55" s="2271"/>
      <c r="H55" s="2271"/>
      <c r="I55" s="2333"/>
      <c r="J55" s="2271"/>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2031</v>
      </c>
      <c r="B56" s="84">
        <v>10</v>
      </c>
      <c r="C56" s="1426">
        <v>18</v>
      </c>
      <c r="D56" s="2272"/>
      <c r="E56" s="2271"/>
      <c r="F56" s="2271"/>
      <c r="G56" s="2271"/>
      <c r="H56" s="2271"/>
      <c r="I56" s="2271"/>
      <c r="J56" s="2271"/>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2032</v>
      </c>
      <c r="B57" s="84"/>
      <c r="C57" s="1426">
        <v>12</v>
      </c>
      <c r="D57" s="2272"/>
      <c r="E57" s="2271"/>
      <c r="F57" s="2271"/>
      <c r="G57" s="2271"/>
      <c r="H57" s="2271"/>
      <c r="I57" s="2271"/>
      <c r="J57" s="2271"/>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2033</v>
      </c>
      <c r="B58" s="84"/>
      <c r="C58" s="1426">
        <v>3</v>
      </c>
      <c r="D58" s="2272"/>
      <c r="E58" s="2271"/>
      <c r="F58" s="2271"/>
      <c r="G58" s="2271"/>
      <c r="H58" s="2271"/>
      <c r="I58" s="2271"/>
      <c r="J58" s="2271"/>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2034</v>
      </c>
      <c r="B59" s="84"/>
      <c r="C59" s="1426">
        <v>1.5</v>
      </c>
      <c r="D59" s="2272"/>
      <c r="E59" s="2271"/>
      <c r="F59" s="2271"/>
      <c r="G59" s="2271"/>
      <c r="H59" s="2271"/>
      <c r="I59" s="2271"/>
      <c r="J59" s="2271"/>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2035</v>
      </c>
      <c r="B60" s="84"/>
      <c r="C60" s="2271"/>
      <c r="D60" s="2272"/>
      <c r="E60" s="2271"/>
      <c r="F60" s="2271"/>
      <c r="G60" s="2271"/>
      <c r="H60" s="2271"/>
      <c r="I60" s="2271"/>
      <c r="J60" s="2271"/>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2036</v>
      </c>
      <c r="B61" s="84"/>
      <c r="C61" s="2271"/>
      <c r="D61" s="2272"/>
      <c r="E61" s="2271"/>
      <c r="F61" s="2271"/>
      <c r="G61" s="2271"/>
      <c r="H61" s="2271"/>
      <c r="I61" s="2271"/>
      <c r="J61" s="2271"/>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2037</v>
      </c>
      <c r="B62" s="84"/>
      <c r="C62" s="2271"/>
      <c r="D62" s="2272"/>
      <c r="E62" s="2271"/>
      <c r="F62" s="2271"/>
      <c r="G62" s="2271"/>
      <c r="H62" s="2271"/>
      <c r="I62" s="2271"/>
      <c r="J62" s="2271"/>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2038</v>
      </c>
      <c r="B63" s="133"/>
      <c r="C63" s="2271"/>
      <c r="D63" s="2272"/>
      <c r="E63" s="2271"/>
      <c r="F63" s="2271"/>
      <c r="G63" s="2271"/>
      <c r="H63" s="2271"/>
      <c r="I63" s="2271"/>
      <c r="J63" s="2271"/>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5"/>
      <c r="D64" s="2336"/>
      <c r="K64" s="797"/>
      <c r="L64" s="797"/>
    </row>
    <row r="65" spans="1:12" s="963" customFormat="1">
      <c r="A65" s="2335"/>
      <c r="D65" s="2336"/>
      <c r="K65" s="797"/>
      <c r="L65" s="797"/>
    </row>
    <row r="66" spans="1:12" s="963" customFormat="1">
      <c r="A66" s="2335"/>
      <c r="D66" s="2336"/>
      <c r="K66" s="797"/>
      <c r="L66" s="797"/>
    </row>
    <row r="67" spans="1:12" s="963" customFormat="1">
      <c r="A67" s="2335"/>
      <c r="D67" s="2336"/>
      <c r="K67" s="797"/>
      <c r="L67" s="797"/>
    </row>
    <row r="68" spans="1:12" s="963" customFormat="1">
      <c r="A68" s="2335"/>
      <c r="D68" s="2336"/>
      <c r="K68" s="797"/>
      <c r="L68" s="797"/>
    </row>
    <row r="69" spans="1:12" s="963" customFormat="1">
      <c r="A69" s="2335"/>
      <c r="D69" s="2336"/>
      <c r="K69" s="797"/>
      <c r="L69" s="797"/>
    </row>
    <row r="70" spans="1:12" s="963" customFormat="1">
      <c r="A70" s="2335"/>
      <c r="D70" s="2336"/>
      <c r="K70" s="797"/>
      <c r="L70" s="797"/>
    </row>
    <row r="71" spans="1:12" s="963" customFormat="1">
      <c r="A71" s="2335"/>
      <c r="D71" s="2336"/>
      <c r="K71" s="797"/>
      <c r="L71" s="797"/>
    </row>
    <row r="72" spans="1:12" s="963" customFormat="1">
      <c r="A72" s="2335"/>
      <c r="D72" s="2336"/>
      <c r="K72" s="797"/>
      <c r="L72" s="797"/>
    </row>
    <row r="73" spans="1:12" s="963" customFormat="1">
      <c r="A73" s="2335"/>
      <c r="D73" s="2336"/>
      <c r="K73" s="797"/>
      <c r="L73" s="797"/>
    </row>
    <row r="74" spans="1:12" s="963" customFormat="1">
      <c r="A74" s="2335"/>
      <c r="D74" s="2336"/>
      <c r="K74" s="797"/>
      <c r="L74" s="797"/>
    </row>
    <row r="75" spans="1:12" s="963" customFormat="1">
      <c r="A75" s="2335"/>
      <c r="D75" s="2336"/>
      <c r="K75" s="797"/>
      <c r="L75" s="797"/>
    </row>
    <row r="76" spans="1:12" s="963" customFormat="1">
      <c r="A76" s="2335"/>
      <c r="D76" s="2336"/>
      <c r="K76" s="797"/>
      <c r="L76" s="797"/>
    </row>
    <row r="77" spans="1:12" s="963" customFormat="1">
      <c r="A77" s="2335"/>
      <c r="D77" s="2336"/>
      <c r="K77" s="797"/>
      <c r="L77" s="797"/>
    </row>
    <row r="78" spans="1:12" s="963" customFormat="1">
      <c r="A78" s="2335"/>
      <c r="D78" s="2336"/>
      <c r="K78" s="797"/>
      <c r="L78" s="797"/>
    </row>
    <row r="79" spans="1:12" s="963" customFormat="1">
      <c r="A79" s="2335"/>
      <c r="D79" s="2336"/>
      <c r="K79" s="797"/>
      <c r="L79" s="797"/>
    </row>
    <row r="80" spans="1:12" s="963" customFormat="1">
      <c r="A80" s="2335"/>
      <c r="D80" s="2336"/>
      <c r="K80" s="797"/>
      <c r="L80" s="797"/>
    </row>
    <row r="81" spans="1:12" s="963" customFormat="1">
      <c r="A81" s="2335"/>
      <c r="D81" s="2336"/>
      <c r="K81" s="797"/>
      <c r="L81" s="797"/>
    </row>
    <row r="82" spans="1:12" s="963" customFormat="1">
      <c r="A82" s="2335"/>
      <c r="D82" s="2336"/>
      <c r="K82" s="797"/>
      <c r="L82" s="797"/>
    </row>
    <row r="83" spans="1:12" s="963" customFormat="1">
      <c r="A83" s="2335"/>
      <c r="D83" s="2336"/>
      <c r="K83" s="797"/>
      <c r="L83" s="797"/>
    </row>
    <row r="84" spans="1:12" s="963" customFormat="1">
      <c r="A84" s="2335"/>
      <c r="D84" s="2336"/>
      <c r="K84" s="797"/>
      <c r="L84" s="797"/>
    </row>
    <row r="85" spans="1:12" s="963" customFormat="1">
      <c r="A85" s="2335"/>
      <c r="D85" s="2336"/>
      <c r="K85" s="797"/>
      <c r="L85" s="797"/>
    </row>
    <row r="86" spans="1:12" s="963" customFormat="1">
      <c r="A86" s="2335"/>
      <c r="D86" s="2336"/>
      <c r="K86" s="797"/>
      <c r="L86" s="797"/>
    </row>
    <row r="87" spans="1:12" s="963" customFormat="1">
      <c r="A87" s="2335"/>
      <c r="D87" s="2336"/>
      <c r="K87" s="797"/>
      <c r="L87" s="797"/>
    </row>
    <row r="88" spans="1:12" s="963" customFormat="1">
      <c r="A88" s="2335"/>
      <c r="D88" s="2336"/>
      <c r="K88" s="797"/>
      <c r="L88" s="797"/>
    </row>
    <row r="89" spans="1:12" s="963" customFormat="1">
      <c r="A89" s="2335"/>
      <c r="D89" s="2336"/>
      <c r="K89" s="797"/>
      <c r="L89" s="797"/>
    </row>
    <row r="90" spans="1:12" s="963" customFormat="1">
      <c r="A90" s="2335"/>
      <c r="D90" s="2336"/>
      <c r="K90" s="797"/>
      <c r="L90" s="797"/>
    </row>
    <row r="91" spans="1:12" s="963" customFormat="1">
      <c r="A91" s="2335"/>
      <c r="D91" s="2336"/>
      <c r="K91" s="797"/>
      <c r="L91" s="797"/>
    </row>
    <row r="92" spans="1:12" s="963" customFormat="1">
      <c r="A92" s="2335"/>
      <c r="D92" s="2336"/>
      <c r="K92" s="797"/>
      <c r="L92" s="797"/>
    </row>
    <row r="93" spans="1:12" s="963" customFormat="1">
      <c r="A93" s="2335"/>
      <c r="D93" s="2336"/>
      <c r="K93" s="797"/>
      <c r="L93" s="797"/>
    </row>
    <row r="94" spans="1:12" s="963" customFormat="1">
      <c r="A94" s="2335"/>
      <c r="D94" s="2336"/>
      <c r="K94" s="797"/>
      <c r="L94" s="797"/>
    </row>
    <row r="95" spans="1:12" s="963" customFormat="1">
      <c r="A95" s="2335"/>
      <c r="D95" s="2336"/>
      <c r="K95" s="797"/>
      <c r="L95" s="797"/>
    </row>
    <row r="96" spans="1:12" s="963" customFormat="1">
      <c r="A96" s="2335"/>
      <c r="D96" s="2336"/>
      <c r="K96" s="797"/>
      <c r="L96" s="797"/>
    </row>
    <row r="97" spans="1:12" s="963" customFormat="1">
      <c r="A97" s="2335"/>
      <c r="D97" s="2336"/>
      <c r="K97" s="797"/>
      <c r="L97" s="797"/>
    </row>
    <row r="98" spans="1:12" s="963" customFormat="1">
      <c r="A98" s="2335"/>
      <c r="D98" s="2336"/>
      <c r="K98" s="797"/>
      <c r="L98" s="797"/>
    </row>
    <row r="99" spans="1:12" s="963" customFormat="1">
      <c r="A99" s="2335"/>
      <c r="D99" s="2336"/>
      <c r="K99" s="797"/>
      <c r="L99" s="797"/>
    </row>
    <row r="100" spans="1:12" s="963" customFormat="1">
      <c r="A100" s="2335"/>
      <c r="D100" s="2336"/>
      <c r="K100" s="797"/>
      <c r="L100" s="797"/>
    </row>
    <row r="101" spans="1:12" s="963" customFormat="1">
      <c r="A101" s="2335"/>
      <c r="D101" s="2336"/>
      <c r="K101" s="797"/>
      <c r="L101" s="797"/>
    </row>
    <row r="102" spans="1:12" s="963" customFormat="1">
      <c r="A102" s="2335"/>
      <c r="D102" s="2336"/>
      <c r="K102" s="797"/>
      <c r="L102" s="797"/>
    </row>
    <row r="103" spans="1:12" s="963" customFormat="1">
      <c r="A103" s="2335"/>
      <c r="D103" s="2336"/>
      <c r="K103" s="797"/>
      <c r="L103" s="797"/>
    </row>
    <row r="104" spans="1:12" s="963" customFormat="1">
      <c r="A104" s="2335"/>
      <c r="D104" s="2336"/>
      <c r="K104" s="797"/>
      <c r="L104" s="797"/>
    </row>
    <row r="105" spans="1:12" s="963" customFormat="1">
      <c r="A105" s="2335"/>
      <c r="D105" s="2336"/>
      <c r="K105" s="797"/>
      <c r="L105" s="797"/>
    </row>
    <row r="106" spans="1:12" s="963" customFormat="1">
      <c r="A106" s="2335"/>
      <c r="D106" s="2336"/>
      <c r="K106" s="797"/>
      <c r="L106" s="797"/>
    </row>
    <row r="107" spans="1:12" s="963" customFormat="1">
      <c r="A107" s="2335"/>
      <c r="D107" s="2336"/>
      <c r="K107" s="797"/>
      <c r="L107" s="797"/>
    </row>
    <row r="108" spans="1:12" s="963" customFormat="1">
      <c r="A108" s="2335"/>
      <c r="D108" s="2336"/>
      <c r="K108" s="797"/>
      <c r="L108" s="797"/>
    </row>
    <row r="109" spans="1:12" s="963" customFormat="1">
      <c r="A109" s="2335"/>
      <c r="D109" s="2336"/>
      <c r="K109" s="797"/>
      <c r="L109" s="797"/>
    </row>
    <row r="110" spans="1:12" s="963" customFormat="1">
      <c r="A110" s="2335"/>
      <c r="D110" s="2336"/>
      <c r="K110" s="797"/>
      <c r="L110" s="797"/>
    </row>
    <row r="111" spans="1:12" s="963" customFormat="1">
      <c r="A111" s="2335"/>
      <c r="D111" s="2336"/>
      <c r="K111" s="797"/>
      <c r="L111" s="797"/>
    </row>
    <row r="112" spans="1:12" s="963" customFormat="1">
      <c r="A112" s="2335"/>
      <c r="D112" s="2336"/>
      <c r="K112" s="797"/>
      <c r="L112" s="797"/>
    </row>
    <row r="113" spans="1:12" s="963" customFormat="1">
      <c r="A113" s="2335"/>
      <c r="D113" s="2336"/>
      <c r="K113" s="797"/>
      <c r="L113" s="797"/>
    </row>
    <row r="114" spans="1:12" s="963" customFormat="1">
      <c r="A114" s="2335"/>
      <c r="D114" s="2336"/>
      <c r="K114" s="797"/>
      <c r="L114" s="797"/>
    </row>
    <row r="115" spans="1:12" s="963" customFormat="1">
      <c r="A115" s="2335"/>
      <c r="D115" s="2336"/>
      <c r="K115" s="797"/>
      <c r="L115" s="797"/>
    </row>
    <row r="116" spans="1:12" s="963" customFormat="1">
      <c r="A116" s="2335"/>
      <c r="D116" s="2336"/>
      <c r="K116" s="797"/>
      <c r="L116" s="797"/>
    </row>
    <row r="117" spans="1:12" s="963" customFormat="1">
      <c r="A117" s="2335"/>
      <c r="D117" s="2336"/>
      <c r="K117" s="797"/>
      <c r="L117" s="797"/>
    </row>
    <row r="118" spans="1:12" s="963" customFormat="1">
      <c r="A118" s="2335"/>
      <c r="D118" s="2336"/>
      <c r="K118" s="797"/>
      <c r="L118" s="797"/>
    </row>
    <row r="119" spans="1:12" s="963" customFormat="1">
      <c r="A119" s="2335"/>
      <c r="D119" s="2336"/>
      <c r="K119" s="797"/>
      <c r="L119" s="797"/>
    </row>
    <row r="120" spans="1:12" s="963" customFormat="1">
      <c r="A120" s="2335"/>
      <c r="D120" s="2336"/>
      <c r="K120" s="797"/>
      <c r="L120" s="797"/>
    </row>
    <row r="121" spans="1:12" s="963" customFormat="1">
      <c r="A121" s="2335"/>
      <c r="D121" s="2336"/>
      <c r="K121" s="797"/>
      <c r="L121" s="797"/>
    </row>
    <row r="122" spans="1:12" s="963" customFormat="1">
      <c r="A122" s="2335"/>
      <c r="D122" s="2336"/>
      <c r="K122" s="797"/>
      <c r="L122" s="797"/>
    </row>
    <row r="123" spans="1:12" s="963" customFormat="1">
      <c r="A123" s="2335"/>
      <c r="D123" s="2336"/>
      <c r="K123" s="797"/>
      <c r="L123" s="797"/>
    </row>
    <row r="124" spans="1:12" s="963" customFormat="1">
      <c r="A124" s="2335"/>
      <c r="D124" s="2336"/>
      <c r="K124" s="797"/>
      <c r="L124" s="797"/>
    </row>
    <row r="125" spans="1:12" s="963" customFormat="1">
      <c r="A125" s="2335"/>
      <c r="D125" s="2336"/>
      <c r="K125" s="797"/>
      <c r="L125" s="797"/>
    </row>
    <row r="126" spans="1:12" s="963" customFormat="1">
      <c r="A126" s="2335"/>
      <c r="D126" s="2336"/>
      <c r="K126" s="797"/>
      <c r="L126" s="797"/>
    </row>
    <row r="127" spans="1:12" s="963" customFormat="1">
      <c r="A127" s="2335"/>
      <c r="D127" s="2336"/>
      <c r="K127" s="797"/>
      <c r="L127" s="797"/>
    </row>
    <row r="128" spans="1:12" s="963" customFormat="1">
      <c r="A128" s="2335"/>
      <c r="D128" s="2336"/>
      <c r="K128" s="797"/>
      <c r="L128" s="797"/>
    </row>
    <row r="129" spans="1:12" s="963" customFormat="1">
      <c r="A129" s="2335"/>
      <c r="D129" s="2336"/>
      <c r="K129" s="797"/>
      <c r="L129" s="797"/>
    </row>
    <row r="130" spans="1:12" s="963" customFormat="1">
      <c r="A130" s="2335"/>
      <c r="D130" s="2336"/>
      <c r="K130" s="797"/>
      <c r="L130" s="797"/>
    </row>
    <row r="131" spans="1:12" s="963" customFormat="1">
      <c r="A131" s="2335"/>
      <c r="D131" s="2336"/>
      <c r="K131" s="797"/>
      <c r="L131" s="797"/>
    </row>
    <row r="132" spans="1:12" s="963" customFormat="1">
      <c r="A132" s="2335"/>
      <c r="D132" s="2336"/>
      <c r="K132" s="797"/>
      <c r="L132" s="797"/>
    </row>
    <row r="133" spans="1:12" s="963"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9" sqref="L9"/>
    </sheetView>
  </sheetViews>
  <sheetFormatPr defaultRowHeight="14.25"/>
  <cols>
    <col min="1" max="1" width="9.5" style="2363"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2"/>
    <col min="30" max="16384" width="9" style="2363"/>
  </cols>
  <sheetData>
    <row r="1" spans="1:29" s="2356" customFormat="1" ht="19.5" thickBot="1">
      <c r="A1" s="3108" t="s">
        <v>2039</v>
      </c>
      <c r="B1" s="3109"/>
      <c r="C1" s="3109"/>
      <c r="D1" s="3109"/>
      <c r="E1" s="3109"/>
      <c r="F1" s="3109"/>
      <c r="G1" s="3109"/>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2040</v>
      </c>
      <c r="D2" s="2360"/>
      <c r="E2" s="2361"/>
      <c r="F2" s="2280"/>
      <c r="G2" s="2359" t="s">
        <v>2041</v>
      </c>
      <c r="H2" s="2362"/>
      <c r="I2" s="2362"/>
      <c r="J2" s="2362"/>
      <c r="K2" s="2362"/>
      <c r="L2" s="2362"/>
      <c r="M2" s="2362"/>
      <c r="N2" s="2362"/>
      <c r="O2" s="2362"/>
      <c r="P2" s="2362"/>
      <c r="Q2" s="2362"/>
      <c r="R2" s="2362"/>
    </row>
    <row r="3" spans="1:29" ht="81">
      <c r="A3" s="414" t="s">
        <v>2042</v>
      </c>
      <c r="B3" s="1267" t="s">
        <v>2043</v>
      </c>
      <c r="C3" s="2985" t="s">
        <v>3087</v>
      </c>
      <c r="D3" s="2364"/>
      <c r="E3" s="430" t="s">
        <v>2042</v>
      </c>
      <c r="F3" s="2365" t="s">
        <v>2044</v>
      </c>
      <c r="G3" s="2366"/>
      <c r="H3" s="2362"/>
      <c r="I3" s="2362"/>
      <c r="J3" s="2362"/>
      <c r="K3" s="2362"/>
      <c r="L3" s="2362"/>
      <c r="M3" s="2362"/>
      <c r="N3" s="2362"/>
      <c r="O3" s="2362"/>
      <c r="P3" s="2362"/>
      <c r="Q3" s="2362"/>
      <c r="R3" s="2362"/>
    </row>
    <row r="4" spans="1:29" ht="15">
      <c r="A4" s="430"/>
      <c r="B4" s="1793" t="s">
        <v>2045</v>
      </c>
      <c r="C4" s="2367" t="s">
        <v>3088</v>
      </c>
      <c r="D4" s="2364"/>
      <c r="E4" s="2368"/>
      <c r="F4" s="42" t="s">
        <v>2046</v>
      </c>
      <c r="G4" s="2369"/>
      <c r="H4" s="2362"/>
      <c r="I4" s="2362"/>
      <c r="J4" s="2362"/>
      <c r="K4" s="2362"/>
      <c r="L4" s="2362"/>
      <c r="M4" s="2362"/>
      <c r="N4" s="2362"/>
      <c r="O4" s="2362"/>
      <c r="P4" s="2362"/>
      <c r="Q4" s="2362"/>
      <c r="R4" s="2362"/>
    </row>
    <row r="5" spans="1:29" ht="15">
      <c r="A5" s="430"/>
      <c r="B5" s="1793" t="s">
        <v>2047</v>
      </c>
      <c r="C5" s="2367" t="s">
        <v>3088</v>
      </c>
      <c r="D5" s="2364"/>
      <c r="E5" s="2368"/>
      <c r="F5" s="1793" t="s">
        <v>2048</v>
      </c>
      <c r="G5" s="2369"/>
      <c r="H5" s="2362"/>
      <c r="I5" s="2362"/>
      <c r="J5" s="2362"/>
      <c r="K5" s="2362"/>
      <c r="L5" s="2362"/>
      <c r="M5" s="2362"/>
      <c r="N5" s="2362"/>
      <c r="O5" s="2362"/>
      <c r="P5" s="2362"/>
      <c r="Q5" s="2362"/>
      <c r="R5" s="2362"/>
    </row>
    <row r="6" spans="1:29" ht="67.5">
      <c r="A6" s="430"/>
      <c r="B6" s="1793" t="s">
        <v>2049</v>
      </c>
      <c r="C6" s="2984" t="s">
        <v>3383</v>
      </c>
      <c r="D6" s="2364"/>
      <c r="E6" s="2368"/>
      <c r="F6" s="1793" t="s">
        <v>2050</v>
      </c>
      <c r="G6" s="2369"/>
      <c r="H6" s="2362"/>
      <c r="I6" s="2362"/>
      <c r="J6" s="2362"/>
      <c r="K6" s="2362"/>
      <c r="L6" s="2362"/>
      <c r="M6" s="2362"/>
      <c r="N6" s="2362"/>
      <c r="O6" s="2362"/>
      <c r="P6" s="2362"/>
      <c r="Q6" s="2362"/>
      <c r="R6" s="2362"/>
    </row>
    <row r="7" spans="1:29" ht="27.75" thickBot="1">
      <c r="A7" s="430"/>
      <c r="B7" s="1793" t="s">
        <v>2048</v>
      </c>
      <c r="C7" s="2984" t="s">
        <v>3086</v>
      </c>
      <c r="D7" s="2370"/>
      <c r="E7" s="2371"/>
      <c r="F7" s="2372" t="s">
        <v>2051</v>
      </c>
      <c r="G7" s="2373"/>
      <c r="H7" s="2362"/>
      <c r="I7" s="2362"/>
      <c r="J7" s="2362"/>
      <c r="K7" s="2362"/>
      <c r="L7" s="2362"/>
      <c r="M7" s="2362"/>
      <c r="N7" s="2362"/>
      <c r="O7" s="2362"/>
      <c r="P7" s="2362"/>
      <c r="Q7" s="2362"/>
      <c r="R7" s="2362"/>
    </row>
    <row r="8" spans="1:29" ht="27">
      <c r="A8" s="430"/>
      <c r="B8" s="1793" t="s">
        <v>2050</v>
      </c>
      <c r="C8" s="2984" t="s">
        <v>3084</v>
      </c>
      <c r="D8" s="2370"/>
      <c r="E8" s="2370"/>
      <c r="F8" s="1132"/>
      <c r="G8" s="1132"/>
      <c r="H8" s="2362"/>
      <c r="I8" s="2362"/>
      <c r="J8" s="2362"/>
      <c r="K8" s="2362"/>
      <c r="L8" s="2362"/>
      <c r="M8" s="2362"/>
      <c r="N8" s="2362"/>
      <c r="O8" s="2362"/>
      <c r="P8" s="2362"/>
      <c r="Q8" s="2362"/>
      <c r="R8" s="2362"/>
    </row>
    <row r="9" spans="1:29" ht="67.5">
      <c r="A9" s="430"/>
      <c r="B9" s="1793" t="s">
        <v>2052</v>
      </c>
      <c r="C9" s="2983" t="s">
        <v>3082</v>
      </c>
      <c r="D9" s="2364"/>
      <c r="E9" s="2370"/>
      <c r="F9" s="1132"/>
      <c r="G9" s="1132"/>
      <c r="H9" s="2362"/>
      <c r="I9" s="2362"/>
      <c r="J9" s="2362"/>
      <c r="K9" s="2362"/>
      <c r="L9" s="2362"/>
      <c r="M9" s="2362"/>
      <c r="N9" s="2362"/>
      <c r="O9" s="2362"/>
      <c r="P9" s="2362"/>
      <c r="Q9" s="2362"/>
      <c r="R9" s="2362"/>
    </row>
    <row r="10" spans="1:29" s="117" customFormat="1" ht="15.75" thickBot="1">
      <c r="A10" s="2374"/>
      <c r="B10" s="2375" t="s">
        <v>2053</v>
      </c>
      <c r="C10" s="2981" t="s">
        <v>3078</v>
      </c>
      <c r="D10" s="2364"/>
      <c r="E10" s="2364"/>
      <c r="F10" s="1132"/>
      <c r="G10" s="1132"/>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7" customFormat="1" ht="15">
      <c r="A11" s="2379"/>
      <c r="B11" s="2370"/>
      <c r="C11" s="2364"/>
      <c r="D11" s="2364"/>
      <c r="E11" s="2364"/>
      <c r="F11" s="2370"/>
      <c r="G11" s="1150"/>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8">
      <c r="A12" s="2379"/>
      <c r="B12" s="2370"/>
      <c r="C12" s="2364"/>
      <c r="D12" s="2380"/>
      <c r="E12" s="2364"/>
      <c r="F12" s="2370"/>
      <c r="G12" s="1150"/>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9.5" thickBot="1">
      <c r="A13" s="2386" t="s">
        <v>2054</v>
      </c>
      <c r="B13" s="2380"/>
      <c r="C13" s="2380"/>
      <c r="D13" s="2387"/>
      <c r="E13" s="2380"/>
      <c r="F13" s="2380"/>
      <c r="G13" s="2380"/>
    </row>
    <row r="14" spans="1:29" ht="15.75" thickBot="1">
      <c r="A14" s="2391"/>
      <c r="B14" s="2392"/>
      <c r="C14" s="2393" t="s">
        <v>2055</v>
      </c>
      <c r="D14" s="2364"/>
      <c r="E14" s="2394"/>
      <c r="F14" s="2394"/>
      <c r="G14" s="2359" t="s">
        <v>2056</v>
      </c>
    </row>
    <row r="15" spans="1:29" ht="85.5">
      <c r="A15" s="68" t="s">
        <v>2057</v>
      </c>
      <c r="B15" s="1266" t="s">
        <v>2043</v>
      </c>
      <c r="C15" s="2395" t="str">
        <f>C3</f>
        <v>估价对象周边居住用地比例较好、居住小区规模和社区发展完善程度较好，周边有碧桂园时代倾城、江山庐州印等，综合评价居住社区成熟度较好</v>
      </c>
      <c r="D15" s="2364"/>
      <c r="E15" s="2396" t="s">
        <v>2058</v>
      </c>
      <c r="F15" s="1266" t="s">
        <v>2059</v>
      </c>
      <c r="G15" s="134">
        <f>G3</f>
        <v>0</v>
      </c>
    </row>
    <row r="16" spans="1:29" ht="15">
      <c r="A16" s="644"/>
      <c r="B16" s="2397" t="s">
        <v>2045</v>
      </c>
      <c r="C16" s="2398" t="str">
        <f>C4</f>
        <v>——</v>
      </c>
      <c r="D16" s="2364"/>
      <c r="E16" s="2399"/>
      <c r="F16" s="2400" t="s">
        <v>2046</v>
      </c>
      <c r="G16" s="135">
        <f>G4</f>
        <v>0</v>
      </c>
    </row>
    <row r="17" spans="1:18" ht="15">
      <c r="A17" s="644"/>
      <c r="B17" s="2397" t="s">
        <v>2047</v>
      </c>
      <c r="C17" s="2398" t="str">
        <f>C5</f>
        <v>——</v>
      </c>
      <c r="D17" s="2370"/>
      <c r="E17" s="2399"/>
      <c r="F17" s="2400" t="s">
        <v>2060</v>
      </c>
      <c r="G17" s="1567"/>
    </row>
    <row r="18" spans="1:18" ht="71.25">
      <c r="A18" s="644"/>
      <c r="B18" s="2400" t="s">
        <v>2049</v>
      </c>
      <c r="C18" s="135" t="str">
        <f>C6</f>
        <v>估价对象周边道路状况一般、公共交通通达情况一般、停车便捷程度较好，周边有143、300路等公交线路，综合评价交通便捷度一般</v>
      </c>
      <c r="D18" s="2370"/>
      <c r="E18" s="2399"/>
      <c r="F18" s="2400" t="s">
        <v>2051</v>
      </c>
      <c r="G18" s="135">
        <f>G7</f>
        <v>0</v>
      </c>
    </row>
    <row r="19" spans="1:18" ht="15">
      <c r="A19" s="644"/>
      <c r="B19" s="2400" t="s">
        <v>2061</v>
      </c>
      <c r="C19" s="2982" t="s">
        <v>3080</v>
      </c>
      <c r="D19" s="2364"/>
      <c r="E19" s="2399"/>
      <c r="F19" s="1793" t="s">
        <v>2048</v>
      </c>
      <c r="G19" s="135">
        <f>G5</f>
        <v>0</v>
      </c>
    </row>
    <row r="20" spans="1:18" ht="71.25">
      <c r="A20" s="644"/>
      <c r="B20" s="2400" t="s">
        <v>2062</v>
      </c>
      <c r="C20" s="2398" t="str">
        <f>C9</f>
        <v>区域自然环境及人文环境好；周边有合肥半岛花博园、大房郢水库、合肥经济技术职业学院等，综合评价环境状况好</v>
      </c>
      <c r="D20" s="2370"/>
      <c r="E20" s="2399"/>
      <c r="F20" s="1793" t="s">
        <v>2063</v>
      </c>
      <c r="G20" s="135">
        <f>G6</f>
        <v>0</v>
      </c>
    </row>
    <row r="21" spans="1:18" ht="28.5">
      <c r="A21" s="644"/>
      <c r="B21" s="1793" t="s">
        <v>2048</v>
      </c>
      <c r="C21" s="135" t="str">
        <f>C7</f>
        <v>估价对象所在区域公共配套设施齐备情况一般</v>
      </c>
      <c r="D21" s="2364"/>
      <c r="E21" s="2399"/>
      <c r="F21" s="2400" t="s">
        <v>2064</v>
      </c>
      <c r="G21" s="2401"/>
    </row>
    <row r="22" spans="1:18" ht="13.5" customHeight="1">
      <c r="A22" s="644"/>
      <c r="B22" s="1793" t="s">
        <v>2050</v>
      </c>
      <c r="C22" s="135" t="str">
        <f>C8</f>
        <v>估价对象所在区域基础设施水平较好</v>
      </c>
      <c r="D22" s="2364"/>
      <c r="E22" s="2399"/>
      <c r="F22" s="2400" t="s">
        <v>2053</v>
      </c>
      <c r="G22" s="1567"/>
    </row>
    <row r="23" spans="1:18" s="2362" customFormat="1" ht="15.75" thickBot="1">
      <c r="A23" s="644"/>
      <c r="B23" s="2400" t="s">
        <v>2064</v>
      </c>
      <c r="C23" s="2401" t="s">
        <v>3081</v>
      </c>
      <c r="D23" s="2388"/>
      <c r="E23" s="2402"/>
      <c r="F23" s="2403" t="s">
        <v>2065</v>
      </c>
      <c r="G23" s="2404"/>
      <c r="H23" s="2388"/>
      <c r="I23" s="2389"/>
      <c r="J23" s="2388"/>
      <c r="K23" s="2388"/>
      <c r="L23" s="2389"/>
      <c r="M23" s="2388"/>
      <c r="N23" s="2388"/>
      <c r="O23" s="2389"/>
      <c r="P23" s="2388"/>
      <c r="Q23" s="2388"/>
      <c r="R23" s="2390"/>
    </row>
    <row r="24" spans="1:18" s="2362" customFormat="1" ht="15.75" thickBot="1">
      <c r="A24" s="2405"/>
      <c r="B24" s="2403" t="s">
        <v>2066</v>
      </c>
      <c r="C24" s="136" t="str">
        <f>C10</f>
        <v>城市主干道-合淮路</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8" sqref="E28"/>
    </sheetView>
  </sheetViews>
  <sheetFormatPr defaultRowHeight="13.5"/>
  <cols>
    <col min="1" max="1" width="23.375" style="1736" customWidth="1"/>
    <col min="2" max="9" width="15.75" style="1736" customWidth="1"/>
    <col min="10" max="16384" width="9" style="1736"/>
  </cols>
  <sheetData>
    <row r="1" spans="1:10" ht="16.5">
      <c r="A1" s="1741" t="s">
        <v>1357</v>
      </c>
      <c r="B1" s="1741">
        <f>SUM(B14:B23)</f>
        <v>167325.31000000003</v>
      </c>
      <c r="C1" s="1740"/>
      <c r="D1" s="1740"/>
      <c r="E1" s="1740"/>
      <c r="F1" s="1740"/>
      <c r="G1" s="1738"/>
    </row>
    <row r="2" spans="1:10" ht="16.5">
      <c r="A2" s="1741" t="s">
        <v>1345</v>
      </c>
      <c r="B2" s="1741">
        <f>SUM(C14:C23)</f>
        <v>63529.08</v>
      </c>
      <c r="C2" s="1740"/>
      <c r="D2" s="1740"/>
      <c r="E2" s="1740"/>
      <c r="F2" s="1740"/>
      <c r="G2" s="1738"/>
    </row>
    <row r="3" spans="1:10" ht="16.5">
      <c r="A3" s="1741" t="s">
        <v>1354</v>
      </c>
      <c r="B3" s="1742">
        <f>项目基本情况!D3</f>
        <v>43452</v>
      </c>
      <c r="C3" s="1740"/>
      <c r="D3" s="1740"/>
      <c r="E3" s="1740"/>
      <c r="F3" s="1740"/>
      <c r="G3" s="1738"/>
    </row>
    <row r="4" spans="1:10" ht="33">
      <c r="A4" s="1741" t="s">
        <v>1353</v>
      </c>
      <c r="B4" s="1741" t="s">
        <v>1352</v>
      </c>
      <c r="C4" s="1741" t="s">
        <v>1351</v>
      </c>
      <c r="D4" s="1741" t="s">
        <v>1350</v>
      </c>
      <c r="E4" s="1740"/>
      <c r="F4" s="1738"/>
      <c r="G4" s="1738"/>
    </row>
    <row r="5" spans="1:10" ht="16.5">
      <c r="A5" s="1741" t="s">
        <v>1349</v>
      </c>
      <c r="B5" s="1741">
        <f ca="1">SUM(D14:D23)</f>
        <v>203561</v>
      </c>
      <c r="C5" s="1741">
        <f ca="1">ROUND(B5*10000/$B$1,0)</f>
        <v>12166</v>
      </c>
      <c r="D5" s="1741">
        <f ca="1">ROUND(B5*10000/$B$2,0)</f>
        <v>32042</v>
      </c>
      <c r="E5" s="1740"/>
      <c r="F5" s="1738"/>
      <c r="G5" s="1738"/>
    </row>
    <row r="6" spans="1:10" ht="16.5">
      <c r="A6" s="1741" t="s">
        <v>1348</v>
      </c>
      <c r="B6" s="1741">
        <f ca="1">SUM(G14:G23)</f>
        <v>203561</v>
      </c>
      <c r="C6" s="1741">
        <f ca="1">ROUND(B6*10000/$B$1,0)</f>
        <v>12166</v>
      </c>
      <c r="D6" s="1741">
        <f ca="1">ROUND(B6*10000/$B$2,0)</f>
        <v>32042</v>
      </c>
      <c r="E6" s="1740"/>
      <c r="F6" s="1738"/>
      <c r="G6" s="1738"/>
    </row>
    <row r="7" spans="1:10" ht="16.5">
      <c r="A7" s="1741" t="s">
        <v>1356</v>
      </c>
      <c r="B7" s="1741">
        <f>SUM(H14:H23)</f>
        <v>0</v>
      </c>
      <c r="C7" s="1741">
        <f>ROUND(B7*10000/$B$1,0)</f>
        <v>0</v>
      </c>
      <c r="D7" s="1741">
        <f>ROUND(B7*10000/$B$2,0)</f>
        <v>0</v>
      </c>
      <c r="E7" s="1740"/>
      <c r="F7" s="1738"/>
      <c r="G7" s="1738"/>
    </row>
    <row r="8" spans="1:10" ht="16.5">
      <c r="A8" s="1741" t="s">
        <v>1277</v>
      </c>
      <c r="B8" s="1741">
        <f>SUM(I14:I23)</f>
        <v>0</v>
      </c>
      <c r="C8" s="1741">
        <f>ROUND(B8*10000/$B$1,0)</f>
        <v>0</v>
      </c>
      <c r="D8" s="1741">
        <f>ROUND(B8*10000/$B$2,0)</f>
        <v>0</v>
      </c>
      <c r="E8" s="1740"/>
      <c r="F8" s="1738"/>
      <c r="G8" s="1738"/>
    </row>
    <row r="9" spans="1:10" ht="16.5">
      <c r="A9" s="1741" t="s">
        <v>1347</v>
      </c>
      <c r="B9" s="1743"/>
      <c r="C9" s="1740"/>
      <c r="D9" s="1740"/>
      <c r="E9" s="1740"/>
      <c r="F9" s="1738"/>
      <c r="G9" s="1738"/>
    </row>
    <row r="10" spans="1:10" ht="16.5">
      <c r="A10" s="1741" t="s">
        <v>1346</v>
      </c>
      <c r="B10" s="1743"/>
      <c r="C10" s="1740"/>
      <c r="D10" s="1740"/>
      <c r="E10" s="1740"/>
      <c r="F10" s="1738"/>
      <c r="G10" s="1738"/>
    </row>
    <row r="11" spans="1:10" ht="16.5">
      <c r="A11" s="1741" t="s">
        <v>1362</v>
      </c>
      <c r="B11" s="1743"/>
      <c r="C11" s="1740"/>
      <c r="D11" s="1740"/>
      <c r="E11" s="1740"/>
      <c r="F11" s="1738"/>
      <c r="G11" s="1738"/>
    </row>
    <row r="12" spans="1:10" ht="16.5">
      <c r="A12" s="1740"/>
      <c r="B12" s="1740"/>
      <c r="C12" s="1740"/>
      <c r="D12" s="1740"/>
      <c r="E12" s="1740"/>
      <c r="F12" s="1738"/>
      <c r="G12" s="1738"/>
    </row>
    <row r="13" spans="1:10" ht="33">
      <c r="A13" s="1746" t="s">
        <v>1361</v>
      </c>
      <c r="B13" s="1739" t="s">
        <v>1358</v>
      </c>
      <c r="C13" s="1739" t="s">
        <v>1360</v>
      </c>
      <c r="D13" s="1739" t="s">
        <v>1359</v>
      </c>
      <c r="E13" s="1741" t="s">
        <v>1351</v>
      </c>
      <c r="F13" s="1741" t="s">
        <v>1350</v>
      </c>
      <c r="G13" s="1739" t="s">
        <v>1344</v>
      </c>
      <c r="H13" s="1739" t="s">
        <v>1355</v>
      </c>
      <c r="I13" s="1739" t="s">
        <v>1343</v>
      </c>
      <c r="J13" s="1738"/>
    </row>
    <row r="14" spans="1:10" ht="16.5">
      <c r="A14" s="1737" t="s">
        <v>1342</v>
      </c>
      <c r="B14" s="1739">
        <f>结果表!B118</f>
        <v>167325.31000000003</v>
      </c>
      <c r="C14" s="1739">
        <f>结果表!C118</f>
        <v>63529.08</v>
      </c>
      <c r="D14" s="1739">
        <f ca="1">结果表!H118</f>
        <v>203561</v>
      </c>
      <c r="E14" s="1739">
        <f ca="1">ROUND(D14*10000/B14,0)</f>
        <v>12166</v>
      </c>
      <c r="F14" s="1739">
        <f ca="1">ROUND(D14*10000/C14,0)</f>
        <v>32042</v>
      </c>
      <c r="G14" s="1739">
        <f ca="1">结果表!D122</f>
        <v>203561</v>
      </c>
      <c r="H14" s="1739" t="str">
        <f>结果表!D124</f>
        <v>——</v>
      </c>
      <c r="I14" s="1739" t="str">
        <f>结果表!D126</f>
        <v>——</v>
      </c>
      <c r="J14" s="1738"/>
    </row>
    <row r="15" spans="1:10" ht="16.5">
      <c r="A15" s="1737" t="s">
        <v>1341</v>
      </c>
      <c r="B15" s="1744"/>
      <c r="C15" s="1744"/>
      <c r="D15" s="1744"/>
      <c r="E15" s="1739" t="e">
        <f t="shared" ref="E15:E23" si="0">ROUND(D15*10000/B15,0)</f>
        <v>#DIV/0!</v>
      </c>
      <c r="F15" s="1739" t="e">
        <f t="shared" ref="F15:F23" si="1">ROUND(D15*10000/C15,0)</f>
        <v>#DIV/0!</v>
      </c>
      <c r="G15" s="1745"/>
      <c r="H15" s="1745"/>
      <c r="I15" s="1744"/>
      <c r="J15" s="1738"/>
    </row>
    <row r="16" spans="1:10" ht="16.5">
      <c r="A16" s="1737" t="s">
        <v>1340</v>
      </c>
      <c r="B16" s="1744"/>
      <c r="C16" s="1744"/>
      <c r="D16" s="1744"/>
      <c r="E16" s="1739" t="e">
        <f t="shared" si="0"/>
        <v>#DIV/0!</v>
      </c>
      <c r="F16" s="1739" t="e">
        <f t="shared" si="1"/>
        <v>#DIV/0!</v>
      </c>
      <c r="G16" s="1745"/>
      <c r="H16" s="1745"/>
      <c r="I16" s="1744"/>
    </row>
    <row r="17" spans="1:9" ht="16.5">
      <c r="A17" s="1737" t="s">
        <v>1339</v>
      </c>
      <c r="B17" s="1744"/>
      <c r="C17" s="1744"/>
      <c r="D17" s="1744"/>
      <c r="E17" s="1739" t="e">
        <f t="shared" si="0"/>
        <v>#DIV/0!</v>
      </c>
      <c r="F17" s="1739" t="e">
        <f t="shared" si="1"/>
        <v>#DIV/0!</v>
      </c>
      <c r="G17" s="1745"/>
      <c r="H17" s="1745"/>
      <c r="I17" s="1744"/>
    </row>
    <row r="18" spans="1:9" ht="16.5">
      <c r="A18" s="1737" t="s">
        <v>1338</v>
      </c>
      <c r="B18" s="1744"/>
      <c r="C18" s="1744"/>
      <c r="D18" s="1744"/>
      <c r="E18" s="1739" t="e">
        <f t="shared" si="0"/>
        <v>#DIV/0!</v>
      </c>
      <c r="F18" s="1739" t="e">
        <f t="shared" si="1"/>
        <v>#DIV/0!</v>
      </c>
      <c r="G18" s="1744"/>
      <c r="H18" s="1744"/>
      <c r="I18" s="1744"/>
    </row>
    <row r="19" spans="1:9" ht="16.5">
      <c r="A19" s="1737" t="s">
        <v>1337</v>
      </c>
      <c r="B19" s="1744"/>
      <c r="C19" s="1744"/>
      <c r="D19" s="1744"/>
      <c r="E19" s="1739" t="e">
        <f t="shared" si="0"/>
        <v>#DIV/0!</v>
      </c>
      <c r="F19" s="1739" t="e">
        <f t="shared" si="1"/>
        <v>#DIV/0!</v>
      </c>
      <c r="G19" s="1744"/>
      <c r="H19" s="1744"/>
      <c r="I19" s="1744"/>
    </row>
    <row r="20" spans="1:9" ht="16.5">
      <c r="A20" s="1737" t="s">
        <v>1336</v>
      </c>
      <c r="B20" s="1744"/>
      <c r="C20" s="1744"/>
      <c r="D20" s="1744"/>
      <c r="E20" s="1739" t="e">
        <f t="shared" si="0"/>
        <v>#DIV/0!</v>
      </c>
      <c r="F20" s="1739" t="e">
        <f t="shared" si="1"/>
        <v>#DIV/0!</v>
      </c>
      <c r="G20" s="1744"/>
      <c r="H20" s="1744"/>
      <c r="I20" s="1744"/>
    </row>
    <row r="21" spans="1:9" ht="16.5">
      <c r="A21" s="1737" t="s">
        <v>1335</v>
      </c>
      <c r="B21" s="1744"/>
      <c r="C21" s="1744"/>
      <c r="D21" s="1744"/>
      <c r="E21" s="1739" t="e">
        <f t="shared" si="0"/>
        <v>#DIV/0!</v>
      </c>
      <c r="F21" s="1739" t="e">
        <f t="shared" si="1"/>
        <v>#DIV/0!</v>
      </c>
      <c r="G21" s="1744"/>
      <c r="H21" s="1744"/>
      <c r="I21" s="1744"/>
    </row>
    <row r="22" spans="1:9" ht="16.5">
      <c r="A22" s="1737" t="s">
        <v>1334</v>
      </c>
      <c r="B22" s="1744"/>
      <c r="C22" s="1744"/>
      <c r="D22" s="1744"/>
      <c r="E22" s="1739" t="e">
        <f t="shared" si="0"/>
        <v>#DIV/0!</v>
      </c>
      <c r="F22" s="1739" t="e">
        <f t="shared" si="1"/>
        <v>#DIV/0!</v>
      </c>
      <c r="G22" s="1744"/>
      <c r="H22" s="1744"/>
      <c r="I22" s="1744"/>
    </row>
    <row r="23" spans="1:9" ht="16.5">
      <c r="A23" s="1737" t="s">
        <v>1333</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6" zoomScaleNormal="100" zoomScaleSheetLayoutView="100" zoomScalePageLayoutView="80" workbookViewId="0">
      <selection activeCell="H119" sqref="H119:I119"/>
    </sheetView>
  </sheetViews>
  <sheetFormatPr defaultColWidth="12.625" defaultRowHeight="21.75" customHeight="1"/>
  <cols>
    <col min="1" max="2" width="12.625" style="2417"/>
    <col min="3" max="4" width="12.625" style="2417" customWidth="1"/>
    <col min="5" max="5" width="15.375" style="2417" customWidth="1"/>
    <col min="6" max="8" width="12.625" style="2417"/>
    <col min="9" max="9" width="15.125" style="2417" customWidth="1"/>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20" t="s">
        <v>2067</v>
      </c>
      <c r="B1" s="2411"/>
      <c r="C1" s="2412"/>
      <c r="D1" s="2411"/>
      <c r="E1" s="2411"/>
      <c r="F1" s="2413" t="s">
        <v>2068</v>
      </c>
      <c r="G1" s="2066" t="s">
        <v>2069</v>
      </c>
      <c r="H1" s="2414" t="str">
        <f>IF(G1="现房","——","估价对象范围")</f>
        <v>估价对象范围</v>
      </c>
      <c r="I1" s="2415" t="s">
        <v>3033</v>
      </c>
    </row>
    <row r="2" spans="1:12" ht="21.75" customHeight="1" thickBot="1">
      <c r="A2" s="3182" t="str">
        <f>项目基本情况!S2</f>
        <v>安徽省庐阳区合淮路以西、市十九中学以南出让国有建设用地使用权及在建建筑物房地产</v>
      </c>
      <c r="B2" s="3183"/>
      <c r="C2" s="3183"/>
      <c r="D2" s="3183"/>
      <c r="E2" s="3183"/>
      <c r="F2" s="3183"/>
      <c r="G2" s="3183"/>
      <c r="H2" s="3183"/>
      <c r="I2" s="3184"/>
    </row>
    <row r="3" spans="1:12" ht="12.75">
      <c r="A3" s="3185" t="s">
        <v>2070</v>
      </c>
      <c r="B3" s="3186"/>
      <c r="C3" s="3186"/>
      <c r="D3" s="3186"/>
      <c r="E3" s="3186"/>
      <c r="F3" s="3186"/>
      <c r="G3" s="3186"/>
      <c r="H3" s="3186"/>
      <c r="I3" s="3186"/>
    </row>
    <row r="4" spans="1:12" ht="14.25">
      <c r="A4" s="2418" t="s">
        <v>2071</v>
      </c>
      <c r="B4" s="2419" t="s">
        <v>2072</v>
      </c>
      <c r="C4" s="2420" t="s">
        <v>3034</v>
      </c>
      <c r="D4" s="2420" t="s">
        <v>3035</v>
      </c>
      <c r="E4" s="3166" t="s">
        <v>2073</v>
      </c>
      <c r="F4" s="3179"/>
      <c r="G4" s="3179"/>
      <c r="H4" s="3179"/>
      <c r="I4" s="3167"/>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157" t="s">
        <v>2074</v>
      </c>
      <c r="B5" s="3083">
        <v>25</v>
      </c>
      <c r="C5" s="3187"/>
      <c r="D5" s="3175"/>
      <c r="E5" s="139" t="s">
        <v>2075</v>
      </c>
      <c r="F5" s="2422"/>
      <c r="G5" s="2422"/>
      <c r="H5" s="2422"/>
      <c r="I5" s="1829"/>
    </row>
    <row r="6" spans="1:12" ht="12.75">
      <c r="A6" s="3157"/>
      <c r="B6" s="3083"/>
      <c r="C6" s="3189"/>
      <c r="D6" s="3175"/>
      <c r="E6" s="139" t="s">
        <v>2076</v>
      </c>
      <c r="F6" s="2422"/>
      <c r="G6" s="2422"/>
      <c r="H6" s="2422"/>
      <c r="I6" s="1829"/>
    </row>
    <row r="7" spans="1:12" ht="12.75">
      <c r="A7" s="3157"/>
      <c r="B7" s="3083"/>
      <c r="C7" s="3188"/>
      <c r="D7" s="3175"/>
      <c r="E7" s="139" t="s">
        <v>2077</v>
      </c>
      <c r="F7" s="2422"/>
      <c r="G7" s="2422"/>
      <c r="H7" s="2422"/>
      <c r="I7" s="1829"/>
    </row>
    <row r="8" spans="1:12" ht="12.75">
      <c r="A8" s="3157" t="s">
        <v>2078</v>
      </c>
      <c r="B8" s="3083">
        <v>15</v>
      </c>
      <c r="C8" s="3187"/>
      <c r="D8" s="3175"/>
      <c r="E8" s="139" t="s">
        <v>2079</v>
      </c>
      <c r="F8" s="2422"/>
      <c r="G8" s="2422"/>
      <c r="H8" s="2422"/>
      <c r="I8" s="1829"/>
    </row>
    <row r="9" spans="1:12" ht="12.75">
      <c r="A9" s="3157"/>
      <c r="B9" s="3083"/>
      <c r="C9" s="3188"/>
      <c r="D9" s="3175"/>
      <c r="E9" s="139" t="s">
        <v>2080</v>
      </c>
      <c r="F9" s="2422"/>
      <c r="G9" s="2422"/>
      <c r="H9" s="2422"/>
      <c r="I9" s="1829"/>
    </row>
    <row r="10" spans="1:12" ht="12.75">
      <c r="A10" s="3157" t="s">
        <v>2081</v>
      </c>
      <c r="B10" s="3083">
        <v>15</v>
      </c>
      <c r="C10" s="3187"/>
      <c r="D10" s="3175"/>
      <c r="E10" s="139" t="s">
        <v>2082</v>
      </c>
      <c r="F10" s="2422"/>
      <c r="G10" s="2422"/>
      <c r="H10" s="2422"/>
      <c r="I10" s="1829"/>
    </row>
    <row r="11" spans="1:12" ht="12.75">
      <c r="A11" s="3157"/>
      <c r="B11" s="3083"/>
      <c r="C11" s="3188"/>
      <c r="D11" s="3175"/>
      <c r="E11" s="139" t="s">
        <v>2083</v>
      </c>
      <c r="F11" s="2422"/>
      <c r="G11" s="2422"/>
      <c r="H11" s="2422"/>
      <c r="I11" s="1829"/>
    </row>
    <row r="12" spans="1:12" ht="12.75">
      <c r="A12" s="3157" t="s">
        <v>2084</v>
      </c>
      <c r="B12" s="3083">
        <v>15</v>
      </c>
      <c r="C12" s="3187"/>
      <c r="D12" s="3175"/>
      <c r="E12" s="139" t="s">
        <v>2085</v>
      </c>
      <c r="F12" s="2422"/>
      <c r="G12" s="2422"/>
      <c r="H12" s="2422"/>
      <c r="I12" s="1829"/>
    </row>
    <row r="13" spans="1:12" ht="12.75">
      <c r="A13" s="3157"/>
      <c r="B13" s="3083"/>
      <c r="C13" s="3188"/>
      <c r="D13" s="3175"/>
      <c r="E13" s="139" t="s">
        <v>2086</v>
      </c>
      <c r="F13" s="2422"/>
      <c r="G13" s="2422"/>
      <c r="H13" s="2422"/>
      <c r="I13" s="1829"/>
    </row>
    <row r="14" spans="1:12" ht="12.75">
      <c r="A14" s="3157" t="s">
        <v>2087</v>
      </c>
      <c r="B14" s="3083">
        <v>30</v>
      </c>
      <c r="C14" s="3187">
        <v>3</v>
      </c>
      <c r="D14" s="3175">
        <v>7</v>
      </c>
      <c r="E14" s="139" t="s">
        <v>2088</v>
      </c>
      <c r="F14" s="2422"/>
      <c r="G14" s="2422"/>
      <c r="H14" s="2422"/>
      <c r="I14" s="1829"/>
    </row>
    <row r="15" spans="1:12" ht="12.75">
      <c r="A15" s="3157"/>
      <c r="B15" s="3083"/>
      <c r="C15" s="3189"/>
      <c r="D15" s="3175"/>
      <c r="E15" s="139" t="s">
        <v>2089</v>
      </c>
      <c r="F15" s="2422"/>
      <c r="G15" s="2422"/>
      <c r="H15" s="2422"/>
      <c r="I15" s="1829"/>
    </row>
    <row r="16" spans="1:12" ht="12.75">
      <c r="A16" s="3157"/>
      <c r="B16" s="3083"/>
      <c r="C16" s="3188"/>
      <c r="D16" s="3175"/>
      <c r="E16" s="139" t="s">
        <v>2090</v>
      </c>
      <c r="F16" s="2422"/>
      <c r="G16" s="2422"/>
      <c r="H16" s="2422"/>
      <c r="I16" s="1829"/>
    </row>
    <row r="17" spans="1:35" ht="15">
      <c r="A17" s="2423" t="s">
        <v>2091</v>
      </c>
      <c r="B17" s="64"/>
      <c r="C17" s="140">
        <f>SUM(C5:C16)</f>
        <v>3</v>
      </c>
      <c r="D17" s="140">
        <f>SUM(D5:D16)</f>
        <v>7</v>
      </c>
      <c r="E17" s="137"/>
      <c r="F17" s="137"/>
      <c r="G17" s="137"/>
      <c r="H17" s="137"/>
      <c r="I17" s="137"/>
      <c r="K17" s="2421"/>
      <c r="L17" s="2424" t="s">
        <v>2092</v>
      </c>
      <c r="M17" s="2424" t="s">
        <v>2093</v>
      </c>
    </row>
    <row r="18" spans="1:35" ht="15.75" thickBot="1">
      <c r="A18" s="2425" t="s">
        <v>2094</v>
      </c>
      <c r="B18" s="2426"/>
      <c r="C18" s="141">
        <f>ROUND(C17/SUM(C17:D17),2)</f>
        <v>0.3</v>
      </c>
      <c r="D18" s="141">
        <f>1-C18</f>
        <v>0.7</v>
      </c>
      <c r="E18" s="137"/>
      <c r="F18" s="137"/>
      <c r="G18" s="137"/>
      <c r="H18" s="137"/>
      <c r="I18" s="137"/>
      <c r="K18" s="2421" t="s">
        <v>2095</v>
      </c>
      <c r="L18" s="2421">
        <f>IF(C1="",'数据-汇总表'!E3,SUMIF(项目类型,C1,'数据-汇总表'!E17:E26)+SUMIF(项目类型,C1,'数据-汇总表'!I17:I26))</f>
        <v>167325.31000000003</v>
      </c>
      <c r="M18" s="2421">
        <f>IF(C1="",'数据-汇总表'!E3,SUMIF(项目类型,C1,'数据-汇总表'!E17:E26))</f>
        <v>167325.31000000003</v>
      </c>
    </row>
    <row r="19" spans="1:35" ht="15">
      <c r="A19" s="2427" t="s">
        <v>2096</v>
      </c>
      <c r="B19" s="2428" t="s">
        <v>2097</v>
      </c>
      <c r="C19" s="142">
        <f ca="1">SUMIF(INDIRECT("'"&amp;C4&amp;"'"&amp;"!A:A"),结果表!B19,INDIRECT("'"&amp;C4&amp;"'"&amp;"!B:B"))</f>
        <v>159992</v>
      </c>
      <c r="D19" s="143">
        <f ca="1">SUMIF(INDIRECT("'"&amp;D4&amp;"'"&amp;"!A:A"),结果表!B19,INDIRECT("'"&amp;D4&amp;"'"&amp;"!B:B"))</f>
        <v>222233</v>
      </c>
      <c r="E19" s="2427" t="s">
        <v>2098</v>
      </c>
      <c r="F19" s="2428" t="s">
        <v>2097</v>
      </c>
      <c r="G19" s="144">
        <f ca="1">ROUND(C19*$C$18+D19*$D$18,0)</f>
        <v>203561</v>
      </c>
      <c r="H19" s="2429" t="s">
        <v>2099</v>
      </c>
      <c r="I19" s="137"/>
      <c r="K19" s="2421" t="s">
        <v>2100</v>
      </c>
      <c r="L19" s="2421">
        <f>IF(C1="",'数据-汇总表'!D3,SUMIF(项目类型,C1,'数据-汇总表'!D17:D26)+SUMIF(项目类型,C1,'数据-汇总表'!H17:H27))</f>
        <v>63529.08</v>
      </c>
      <c r="M19" s="2421">
        <f>IF(C1="",'数据-汇总表'!D3,SUMIF(项目类型,C1,'数据-汇总表'!D17:D26))</f>
        <v>63529.08</v>
      </c>
    </row>
    <row r="20" spans="1:35" ht="15">
      <c r="A20" s="2430"/>
      <c r="B20" s="1246" t="s">
        <v>2101</v>
      </c>
      <c r="C20" s="145">
        <f ca="1">SUMIF(INDIRECT("'"&amp;C4&amp;"'"&amp;"!A:A"),结果表!B20,INDIRECT("'"&amp;C4&amp;"'"&amp;"!B:B"))</f>
        <v>9562</v>
      </c>
      <c r="D20" s="146">
        <f ca="1">SUMIF(INDIRECT("'"&amp;D4&amp;"'"&amp;"!A:A"),结果表!B20,INDIRECT("'"&amp;D4&amp;"'"&amp;"!B:B"))</f>
        <v>13281</v>
      </c>
      <c r="E20" s="2430"/>
      <c r="F20" s="1246" t="s">
        <v>2101</v>
      </c>
      <c r="G20" s="147">
        <f ca="1">ROUND(C20*$C$18+D20*$D$18,0)</f>
        <v>12165</v>
      </c>
      <c r="H20" s="979" t="s">
        <v>2102</v>
      </c>
      <c r="I20" s="137"/>
    </row>
    <row r="21" spans="1:35" ht="15" customHeight="1" thickBot="1">
      <c r="A21" s="999"/>
      <c r="B21" s="2431" t="s">
        <v>2103</v>
      </c>
      <c r="C21" s="788">
        <f ca="1">ROUND(C19*10000/L19,0)</f>
        <v>25184</v>
      </c>
      <c r="D21" s="789">
        <f ca="1">ROUND(D19*10000/L19,0)</f>
        <v>34981</v>
      </c>
      <c r="E21" s="999"/>
      <c r="F21" s="2431" t="s">
        <v>2103</v>
      </c>
      <c r="G21" s="148">
        <f ca="1">ROUND(G19*10000/L19,0)</f>
        <v>32042</v>
      </c>
      <c r="H21" s="2432" t="s">
        <v>2102</v>
      </c>
      <c r="I21" s="137"/>
      <c r="K21" s="794">
        <v>208700</v>
      </c>
    </row>
    <row r="22" spans="1:35" ht="15" thickBot="1">
      <c r="A22" s="2275" t="s">
        <v>2104</v>
      </c>
      <c r="B22" s="2433"/>
      <c r="C22" s="2434"/>
      <c r="D22" s="790">
        <f ca="1">IF(C19&lt;D19,D19/C19-1,C19/D19-1)</f>
        <v>0.3890257012850642</v>
      </c>
      <c r="E22" s="137"/>
      <c r="F22" s="137"/>
      <c r="G22" s="137"/>
      <c r="H22" s="137"/>
      <c r="I22" s="137"/>
    </row>
    <row r="23" spans="1:35" ht="13.5" thickBot="1">
      <c r="A23" s="2411"/>
      <c r="B23" s="2411"/>
      <c r="C23" s="2411"/>
      <c r="D23" s="2411"/>
      <c r="E23" s="137"/>
      <c r="F23" s="137"/>
      <c r="G23" s="137"/>
      <c r="H23" s="137"/>
      <c r="I23" s="137"/>
    </row>
    <row r="24" spans="1:35" ht="14.25">
      <c r="A24" s="3196" t="s">
        <v>2105</v>
      </c>
      <c r="B24" s="2428" t="s">
        <v>2097</v>
      </c>
      <c r="C24" s="144">
        <f>IF(B30=0,0,D30)</f>
        <v>0</v>
      </c>
      <c r="D24" s="2435"/>
      <c r="E24" s="137"/>
      <c r="F24" s="137"/>
      <c r="G24" s="137"/>
      <c r="H24" s="137"/>
      <c r="I24" s="137"/>
    </row>
    <row r="25" spans="1:35" ht="14.25">
      <c r="A25" s="3197"/>
      <c r="B25" s="1246" t="s">
        <v>2101</v>
      </c>
      <c r="C25" s="149">
        <f>IF(B30=0,0,C30)</f>
        <v>0</v>
      </c>
      <c r="D25" s="2436"/>
      <c r="E25" s="137"/>
      <c r="F25" s="137"/>
      <c r="G25" s="137"/>
      <c r="H25" s="137"/>
      <c r="I25" s="137"/>
    </row>
    <row r="26" spans="1:35" ht="13.5" customHeight="1">
      <c r="A26" s="2437" t="s">
        <v>2106</v>
      </c>
      <c r="B26" s="150" t="s">
        <v>2107</v>
      </c>
      <c r="C26" s="150" t="s">
        <v>2108</v>
      </c>
      <c r="D26" s="151" t="s">
        <v>2109</v>
      </c>
      <c r="E26" s="137"/>
      <c r="F26" s="137"/>
      <c r="G26" s="137"/>
      <c r="H26" s="137"/>
      <c r="I26" s="137"/>
    </row>
    <row r="27" spans="1:35" ht="14.25">
      <c r="A27" s="2437"/>
      <c r="B27" s="150">
        <v>0</v>
      </c>
      <c r="C27" s="150">
        <v>0</v>
      </c>
      <c r="D27" s="151">
        <f ca="1">G19/'数据-汇总表'!F27</f>
        <v>2.1845373377407342</v>
      </c>
      <c r="E27" s="137"/>
      <c r="F27" s="137"/>
      <c r="G27" s="137"/>
      <c r="H27" s="137"/>
      <c r="I27" s="137"/>
    </row>
    <row r="28" spans="1:35" ht="14.25">
      <c r="A28" s="2437"/>
      <c r="B28" s="150"/>
      <c r="C28" s="150"/>
      <c r="D28" s="151"/>
      <c r="E28" s="137"/>
      <c r="F28" s="137"/>
      <c r="G28" s="137"/>
      <c r="H28" s="137"/>
      <c r="I28" s="137"/>
    </row>
    <row r="29" spans="1:35" ht="14.25">
      <c r="A29" s="2437"/>
      <c r="B29" s="150"/>
      <c r="C29" s="150"/>
      <c r="D29" s="151"/>
      <c r="E29" s="137"/>
      <c r="F29" s="137"/>
      <c r="G29" s="137"/>
      <c r="H29" s="137"/>
      <c r="I29" s="137"/>
    </row>
    <row r="30" spans="1:35" ht="14.25">
      <c r="A30" s="150" t="s">
        <v>2110</v>
      </c>
      <c r="B30" s="150"/>
      <c r="C30" s="150"/>
      <c r="D30" s="150"/>
      <c r="E30" s="2919" t="s">
        <v>2983</v>
      </c>
      <c r="F30" s="137"/>
      <c r="G30" s="137"/>
      <c r="H30" s="137"/>
      <c r="I30" s="137"/>
    </row>
    <row r="31" spans="1:35" s="2439" customFormat="1" ht="15" thickBot="1">
      <c r="A31" s="2438"/>
      <c r="B31" s="2438"/>
      <c r="C31" s="2438"/>
      <c r="D31" s="2438"/>
      <c r="E31" s="137"/>
      <c r="F31" s="137"/>
      <c r="G31" s="137"/>
      <c r="H31" s="137"/>
      <c r="I31" s="137"/>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2111</v>
      </c>
      <c r="B32" s="2441"/>
      <c r="C32" s="152">
        <f ca="1">IF(D32="总价",G19-C24,G20-C25)</f>
        <v>203561</v>
      </c>
      <c r="D32" s="2442" t="s">
        <v>2112</v>
      </c>
      <c r="E32" s="137"/>
      <c r="F32" s="137"/>
      <c r="G32" s="137"/>
      <c r="H32" s="137"/>
      <c r="I32" s="137"/>
    </row>
    <row r="33" spans="1:15" ht="15">
      <c r="A33" s="956" t="s">
        <v>2113</v>
      </c>
      <c r="B33" s="2443"/>
      <c r="C33" s="2444" t="s">
        <v>3036</v>
      </c>
      <c r="D33" s="2445" t="s">
        <v>3034</v>
      </c>
      <c r="E33" s="2446" t="s">
        <v>2114</v>
      </c>
      <c r="F33" s="2447" t="str">
        <f>IF(D32="楼面单价","取值（单价）","取值（总价）")</f>
        <v>取值（总价）</v>
      </c>
      <c r="G33" s="137"/>
      <c r="H33" s="137"/>
      <c r="I33" s="137"/>
    </row>
    <row r="34" spans="1:15" ht="15">
      <c r="A34" s="2448"/>
      <c r="B34" s="2449" t="s">
        <v>2115</v>
      </c>
      <c r="C34" s="156">
        <f ca="1">IF(C33="自定义",F34,C32-C35)</f>
        <v>166920</v>
      </c>
      <c r="D34" s="1054">
        <f ca="1">IF(C33="自定义",ROUND(C34/C32,3),IF(C33="收益比率",SUMIF(INDIRECT("'"&amp;D33&amp;"'"&amp;"!b:b"),"土地收益比率",INDIRECT("'"&amp;D33&amp;"'"&amp;"!c:c")),SUMIF(INDIRECT("'"&amp;D33&amp;"'"&amp;"!b:b"),"土地成本比率",INDIRECT("'"&amp;D33&amp;"'"&amp;"!c:c"))))</f>
        <v>0.82000000000000006</v>
      </c>
      <c r="E34" s="2450" t="s">
        <v>2116</v>
      </c>
      <c r="F34" s="1734"/>
      <c r="G34" s="137"/>
      <c r="H34" s="137"/>
      <c r="I34" s="137"/>
    </row>
    <row r="35" spans="1:15" ht="15.75" thickBot="1">
      <c r="A35" s="2451"/>
      <c r="B35" s="2452" t="s">
        <v>2117</v>
      </c>
      <c r="C35" s="1440">
        <f ca="1">IF(C33="自定义",F35,ROUND(C32*D35,0))</f>
        <v>36641</v>
      </c>
      <c r="D35" s="1441">
        <f ca="1">IF(C33="自定义",ROUND(C35/C32,3),IF(C33="收益比率",SUMIF(INDIRECT("'"&amp;D33&amp;"'"&amp;"!b:b"),"建筑物收益比率",INDIRECT("'"&amp;D33&amp;"'"&amp;"!c:c")),SUMIF(INDIRECT("'"&amp;D33&amp;"'"&amp;"!b:b"),"建筑物成本比率",INDIRECT("'"&amp;D33&amp;"'"&amp;"!c:c"))))</f>
        <v>0.18</v>
      </c>
      <c r="E35" s="2453" t="s">
        <v>2118</v>
      </c>
      <c r="F35" s="162"/>
      <c r="G35" s="137"/>
      <c r="H35" s="137"/>
      <c r="I35" s="137"/>
    </row>
    <row r="36" spans="1:15" ht="15.75" thickBot="1">
      <c r="A36" s="3176" t="s">
        <v>2119</v>
      </c>
      <c r="B36" s="2454" t="s">
        <v>2120</v>
      </c>
      <c r="C36" s="153"/>
      <c r="D36" s="2455"/>
      <c r="E36" s="2456"/>
      <c r="F36" s="2457"/>
      <c r="G36" s="137"/>
      <c r="H36" s="137"/>
      <c r="I36" s="137"/>
    </row>
    <row r="37" spans="1:15" ht="15.75" thickBot="1">
      <c r="A37" s="3177"/>
      <c r="B37" s="2261" t="s">
        <v>2121</v>
      </c>
      <c r="C37" s="155"/>
      <c r="D37" s="1391"/>
      <c r="E37" s="1391"/>
      <c r="F37" s="2457"/>
      <c r="G37" s="137"/>
      <c r="H37" s="137"/>
      <c r="I37" s="137"/>
    </row>
    <row r="38" spans="1:15" ht="15.75" thickBot="1">
      <c r="A38" s="3178"/>
      <c r="B38" s="2458" t="s">
        <v>2122</v>
      </c>
      <c r="C38" s="726"/>
      <c r="D38" s="2459" t="s">
        <v>2123</v>
      </c>
      <c r="E38" s="1391"/>
      <c r="F38" s="2457"/>
      <c r="G38" s="137"/>
      <c r="H38" s="137"/>
      <c r="I38" s="137"/>
    </row>
    <row r="39" spans="1:15" ht="15">
      <c r="A39" s="2430" t="s">
        <v>2124</v>
      </c>
      <c r="B39" s="2460" t="s">
        <v>2125</v>
      </c>
      <c r="C39" s="2461" t="s">
        <v>2126</v>
      </c>
      <c r="D39" s="2461" t="s">
        <v>2127</v>
      </c>
      <c r="E39" s="2462" t="s">
        <v>2128</v>
      </c>
      <c r="F39" s="2457"/>
      <c r="G39" s="137"/>
      <c r="H39" s="137"/>
      <c r="I39" s="137"/>
    </row>
    <row r="40" spans="1:15" ht="14.25">
      <c r="A40" s="2463" t="s">
        <v>2129</v>
      </c>
      <c r="B40" s="157"/>
      <c r="C40" s="158"/>
      <c r="D40" s="158"/>
      <c r="E40" s="159"/>
      <c r="F40" s="2457"/>
      <c r="G40" s="137"/>
      <c r="H40" s="137"/>
      <c r="I40" s="137"/>
    </row>
    <row r="41" spans="1:15" ht="14.25">
      <c r="A41" s="2463" t="s">
        <v>2130</v>
      </c>
      <c r="B41" s="157"/>
      <c r="C41" s="158"/>
      <c r="D41" s="158"/>
      <c r="E41" s="159"/>
      <c r="F41" s="2457"/>
      <c r="G41" s="137"/>
      <c r="H41" s="137"/>
      <c r="I41" s="137"/>
    </row>
    <row r="42" spans="1:15" ht="15" thickBot="1">
      <c r="A42" s="2464"/>
      <c r="B42" s="160"/>
      <c r="C42" s="161"/>
      <c r="D42" s="161"/>
      <c r="E42" s="162"/>
      <c r="F42" s="2457"/>
      <c r="G42" s="137"/>
      <c r="H42" s="137"/>
      <c r="I42" s="137"/>
    </row>
    <row r="43" spans="1:15" ht="12.75">
      <c r="A43" s="2161"/>
      <c r="B43" s="2161"/>
      <c r="C43" s="2161"/>
      <c r="D43" s="2161"/>
      <c r="E43" s="2161"/>
      <c r="F43" s="2465"/>
      <c r="G43" s="2465"/>
      <c r="H43" s="2465"/>
      <c r="I43" s="2466"/>
    </row>
    <row r="44" spans="1:15" ht="18.75">
      <c r="A44" s="2467" t="s">
        <v>2131</v>
      </c>
      <c r="B44" s="2468"/>
      <c r="C44" s="2468"/>
      <c r="D44" s="2469"/>
      <c r="E44" s="2469"/>
      <c r="F44" s="2470"/>
      <c r="G44" s="2470"/>
      <c r="H44" s="2470"/>
      <c r="I44" s="2470"/>
      <c r="J44" s="2471" t="s">
        <v>2132</v>
      </c>
      <c r="K44" s="2472"/>
      <c r="L44" s="2472"/>
      <c r="M44" s="2472"/>
      <c r="N44" s="2472"/>
      <c r="O44" s="2472"/>
    </row>
    <row r="45" spans="1:15" ht="14.25" customHeight="1" thickBot="1">
      <c r="A45" s="3193" t="s">
        <v>2133</v>
      </c>
      <c r="B45" s="3194"/>
      <c r="C45" s="3195"/>
      <c r="D45" s="163">
        <f ca="1">ROUND(H101*F45,0)</f>
        <v>203561</v>
      </c>
      <c r="E45" s="164" t="s">
        <v>2134</v>
      </c>
      <c r="F45" s="165">
        <v>1</v>
      </c>
      <c r="G45" s="166" t="s">
        <v>2135</v>
      </c>
      <c r="H45" s="137"/>
      <c r="I45" s="137"/>
      <c r="J45" s="3112" t="s">
        <v>2136</v>
      </c>
      <c r="K45" s="3112"/>
      <c r="L45" s="3112"/>
      <c r="M45" s="3112"/>
      <c r="N45" s="3112"/>
      <c r="O45" s="3112"/>
    </row>
    <row r="46" spans="1:15" ht="14.25" customHeight="1">
      <c r="A46" s="3190" t="s">
        <v>2137</v>
      </c>
      <c r="B46" s="3191"/>
      <c r="C46" s="3191"/>
      <c r="D46" s="3191"/>
      <c r="E46" s="3191"/>
      <c r="F46" s="3191"/>
      <c r="G46" s="3192"/>
      <c r="H46" s="2473"/>
      <c r="I46" s="167"/>
      <c r="J46" s="1807">
        <v>1</v>
      </c>
      <c r="K46" s="3112" t="s">
        <v>2138</v>
      </c>
      <c r="L46" s="3112"/>
      <c r="M46" s="3113"/>
      <c r="N46" s="3113"/>
      <c r="O46" s="3113"/>
    </row>
    <row r="47" spans="1:15" ht="12" customHeight="1">
      <c r="A47" s="168" t="s">
        <v>2139</v>
      </c>
      <c r="B47" s="169"/>
      <c r="C47" s="170"/>
      <c r="D47" s="171" t="s">
        <v>2140</v>
      </c>
      <c r="E47" s="24" t="s">
        <v>2141</v>
      </c>
      <c r="F47" s="172" t="s">
        <v>2142</v>
      </c>
      <c r="G47" s="173" t="s">
        <v>2143</v>
      </c>
      <c r="H47" s="2473"/>
      <c r="I47" s="167"/>
      <c r="J47" s="1807">
        <v>2</v>
      </c>
      <c r="K47" s="3112" t="s">
        <v>2144</v>
      </c>
      <c r="L47" s="3112"/>
      <c r="M47" s="3114">
        <f>'数据-取费表'!B2</f>
        <v>43452</v>
      </c>
      <c r="N47" s="3114"/>
      <c r="O47" s="3114"/>
    </row>
    <row r="48" spans="1:15" ht="24">
      <c r="A48" s="3180" t="s">
        <v>2145</v>
      </c>
      <c r="B48" s="3181"/>
      <c r="C48" s="3181"/>
      <c r="D48" s="139">
        <f>IF(H48="情况1",0,IF(H48="情况2",D52,IF(H48="情况3",D53,IF(H48="情况4",D54))))</f>
        <v>0</v>
      </c>
      <c r="E48" s="1796" t="str">
        <f>IF(H48="情况4","(销售额-原购置价)×税（费）率","销售额×税（费）率")</f>
        <v>销售额×税（费）率</v>
      </c>
      <c r="F48" s="174" t="str">
        <f>IF(H48="情况1","免征",'数据-取费表'!B41)</f>
        <v>免征</v>
      </c>
      <c r="G48" s="2474" t="s">
        <v>2146</v>
      </c>
      <c r="H48" s="2475" t="s">
        <v>2147</v>
      </c>
      <c r="I48" s="2473"/>
      <c r="J48" s="1807">
        <v>3</v>
      </c>
      <c r="K48" s="3112" t="s">
        <v>2148</v>
      </c>
      <c r="L48" s="3112"/>
      <c r="M48" s="3115">
        <f ca="1">H101</f>
        <v>203561</v>
      </c>
      <c r="N48" s="3115"/>
      <c r="O48" s="3115"/>
    </row>
    <row r="49" spans="1:35" ht="25.5" customHeight="1">
      <c r="A49" s="175" t="s">
        <v>2149</v>
      </c>
      <c r="B49" s="3160" t="s">
        <v>2150</v>
      </c>
      <c r="C49" s="3160"/>
      <c r="D49" s="176">
        <v>0</v>
      </c>
      <c r="E49" s="23" t="s">
        <v>2151</v>
      </c>
      <c r="F49" s="28" t="s">
        <v>34</v>
      </c>
      <c r="G49" s="3141"/>
      <c r="H49" s="137"/>
      <c r="I49" s="2476"/>
      <c r="J49" s="1807">
        <v>4</v>
      </c>
      <c r="K49" s="3112" t="str">
        <f>IF(项目基本情况!E8="房地产抵押价值","房地产抵押价值","抵押担保权已注销时的房地产抵押价值")</f>
        <v>房地产抵押价值</v>
      </c>
      <c r="L49" s="3112"/>
      <c r="M49" s="3115">
        <f ca="1">IF(项目基本情况!E8="房地产抵押价值",H107,H109)</f>
        <v>203561</v>
      </c>
      <c r="N49" s="3115"/>
      <c r="O49" s="3115"/>
    </row>
    <row r="50" spans="1:35" ht="25.5" customHeight="1">
      <c r="A50" s="177"/>
      <c r="B50" s="3160" t="s">
        <v>2152</v>
      </c>
      <c r="C50" s="3160"/>
      <c r="D50" s="178"/>
      <c r="E50" s="31"/>
      <c r="F50" s="179"/>
      <c r="G50" s="3142"/>
      <c r="H50" s="137"/>
      <c r="I50" s="2476"/>
      <c r="J50" s="3112" t="s">
        <v>2153</v>
      </c>
      <c r="K50" s="3112"/>
      <c r="L50" s="3112"/>
      <c r="M50" s="3112"/>
      <c r="N50" s="3112"/>
      <c r="O50" s="3112"/>
    </row>
    <row r="51" spans="1:35" ht="12" customHeight="1">
      <c r="A51" s="180"/>
      <c r="B51" s="3160" t="s">
        <v>2154</v>
      </c>
      <c r="C51" s="3160"/>
      <c r="D51" s="181"/>
      <c r="E51" s="30"/>
      <c r="F51" s="179"/>
      <c r="G51" s="3143"/>
      <c r="H51" s="137"/>
      <c r="I51" s="2476"/>
      <c r="J51" s="2477" t="s">
        <v>2155</v>
      </c>
      <c r="K51" s="3112" t="s">
        <v>2156</v>
      </c>
      <c r="L51" s="3112"/>
      <c r="M51" s="2477" t="s">
        <v>2157</v>
      </c>
      <c r="N51" s="2477" t="s">
        <v>2158</v>
      </c>
      <c r="O51" s="2477" t="s">
        <v>2159</v>
      </c>
    </row>
    <row r="52" spans="1:35" ht="24" customHeight="1">
      <c r="A52" s="182" t="s">
        <v>2160</v>
      </c>
      <c r="B52" s="3160" t="s">
        <v>2161</v>
      </c>
      <c r="C52" s="3160"/>
      <c r="D52" s="181">
        <f ca="1">ROUND(D45*'数据-取费表'!B41/(1+'数据-取费表'!C42),0)</f>
        <v>10857</v>
      </c>
      <c r="E52" s="11" t="s">
        <v>2162</v>
      </c>
      <c r="F52" s="183">
        <f>'数据-取费表'!B41</f>
        <v>5.6000000000000001E-2</v>
      </c>
      <c r="G52" s="2478"/>
      <c r="H52" s="137"/>
      <c r="I52" s="2476"/>
      <c r="J52" s="1807">
        <v>1</v>
      </c>
      <c r="K52" s="3135" t="s">
        <v>2163</v>
      </c>
      <c r="L52" s="3135"/>
      <c r="M52" s="1749">
        <f>D48</f>
        <v>0</v>
      </c>
      <c r="N52" s="1807" t="str">
        <f>E48</f>
        <v>销售额×税（费）率</v>
      </c>
      <c r="O52" s="1750" t="str">
        <f>F48</f>
        <v>免征</v>
      </c>
    </row>
    <row r="53" spans="1:35" ht="12" customHeight="1">
      <c r="A53" s="182" t="s">
        <v>2164</v>
      </c>
      <c r="B53" s="3161" t="s">
        <v>2165</v>
      </c>
      <c r="C53" s="3162"/>
      <c r="D53" s="181">
        <f ca="1">ROUND(D45*'数据-取费表'!B41/(1+'数据-取费表'!C42),0)</f>
        <v>10857</v>
      </c>
      <c r="E53" s="11" t="s">
        <v>2162</v>
      </c>
      <c r="F53" s="183">
        <f>'数据-取费表'!B41</f>
        <v>5.6000000000000001E-2</v>
      </c>
      <c r="G53" s="2478"/>
      <c r="H53" s="137"/>
      <c r="I53" s="2476"/>
      <c r="J53" s="1807">
        <v>2</v>
      </c>
      <c r="K53" s="3135" t="s">
        <v>2166</v>
      </c>
      <c r="L53" s="3135"/>
      <c r="M53" s="1749">
        <f t="shared" ref="M53:O54" ca="1" si="0">D55</f>
        <v>102</v>
      </c>
      <c r="N53" s="1807" t="str">
        <f t="shared" si="0"/>
        <v>销售额×税（费）率</v>
      </c>
      <c r="O53" s="1750">
        <f t="shared" si="0"/>
        <v>5.0000000000000001E-4</v>
      </c>
    </row>
    <row r="54" spans="1:35" ht="12" customHeight="1">
      <c r="A54" s="182" t="s">
        <v>2167</v>
      </c>
      <c r="B54" s="3161" t="s">
        <v>2168</v>
      </c>
      <c r="C54" s="3162"/>
      <c r="D54" s="181">
        <f ca="1">C68</f>
        <v>10857</v>
      </c>
      <c r="E54" s="30" t="s">
        <v>2169</v>
      </c>
      <c r="F54" s="183">
        <f>'数据-取费表'!B41</f>
        <v>5.6000000000000001E-2</v>
      </c>
      <c r="G54" s="2478"/>
      <c r="H54" s="2479"/>
      <c r="I54" s="2476"/>
      <c r="J54" s="1807">
        <v>3</v>
      </c>
      <c r="K54" s="3135" t="s">
        <v>2170</v>
      </c>
      <c r="L54" s="3135"/>
      <c r="M54" s="1749">
        <f t="shared" ca="1" si="0"/>
        <v>115216</v>
      </c>
      <c r="N54" s="1807" t="str">
        <f t="shared" si="0"/>
        <v>增值额×税（费）率</v>
      </c>
      <c r="O54" s="1751" t="str">
        <f t="shared" si="0"/>
        <v>——</v>
      </c>
    </row>
    <row r="55" spans="1:35" ht="24" customHeight="1">
      <c r="A55" s="3199" t="s">
        <v>2171</v>
      </c>
      <c r="B55" s="3181"/>
      <c r="C55" s="3181"/>
      <c r="D55" s="184">
        <f ca="1">IF(H55="个人住宅",0,ROUND(D45*I55,0))</f>
        <v>102</v>
      </c>
      <c r="E55" s="11" t="s">
        <v>2172</v>
      </c>
      <c r="F55" s="183">
        <f>IF(H55="正常",I55,"免征")</f>
        <v>5.0000000000000001E-4</v>
      </c>
      <c r="G55" s="2478"/>
      <c r="H55" s="2475" t="s">
        <v>2173</v>
      </c>
      <c r="I55" s="185">
        <f>'数据-取费表'!B49</f>
        <v>5.0000000000000001E-4</v>
      </c>
      <c r="J55" s="1807" t="str">
        <f>IF(H59="非个人房产","",4)</f>
        <v/>
      </c>
      <c r="K55" s="3135" t="str">
        <f>IF(H59="非个人房产","——","个人所得税")</f>
        <v>——</v>
      </c>
      <c r="L55" s="3135"/>
      <c r="M55" s="1752" t="str">
        <f>D59</f>
        <v>——</v>
      </c>
      <c r="N55" s="1805" t="str">
        <f>E59</f>
        <v>——</v>
      </c>
      <c r="O55" s="1753" t="str">
        <f>F59</f>
        <v>——</v>
      </c>
    </row>
    <row r="56" spans="1:35" ht="24">
      <c r="A56" s="3199" t="s">
        <v>2174</v>
      </c>
      <c r="B56" s="3181"/>
      <c r="C56" s="3181"/>
      <c r="D56" s="184">
        <f ca="1">IF(H56="个人住宅",D57,D58)</f>
        <v>115216</v>
      </c>
      <c r="E56" s="11" t="s">
        <v>2175</v>
      </c>
      <c r="F56" s="183" t="str">
        <f>IF(H56="正常",F58,"免征")</f>
        <v>——</v>
      </c>
      <c r="G56" s="2480" t="s">
        <v>2176</v>
      </c>
      <c r="H56" s="2481" t="s">
        <v>2173</v>
      </c>
      <c r="I56" s="2482"/>
      <c r="J56" s="1807" t="str">
        <f>IF(项目基本情况!K6="上海银行",IF(J55="",4,J55+1),"")</f>
        <v/>
      </c>
      <c r="K56" s="3118" t="str">
        <f>IF(项目基本情况!K6="上海银行","其他处置费用","")</f>
        <v/>
      </c>
      <c r="L56" s="3119"/>
      <c r="M56" s="1749" t="str">
        <f>IF(项目基本情况!K6="上海银行",M69,"")</f>
        <v/>
      </c>
      <c r="N56" s="3121" t="str">
        <f>IF(项目基本情况!K6="上海银行","包含处置中涉及的律师、诉讼、拍卖、评估等费用","")</f>
        <v/>
      </c>
      <c r="O56" s="3122"/>
    </row>
    <row r="57" spans="1:35" ht="12.75">
      <c r="A57" s="182" t="s">
        <v>2149</v>
      </c>
      <c r="B57" s="3166" t="s">
        <v>2177</v>
      </c>
      <c r="C57" s="3167"/>
      <c r="D57" s="186">
        <v>0</v>
      </c>
      <c r="E57" s="23" t="s">
        <v>2151</v>
      </c>
      <c r="F57" s="154"/>
      <c r="G57" s="2478"/>
      <c r="H57" s="2482"/>
      <c r="I57" s="2482"/>
      <c r="J57" s="3135">
        <f>IF(AND(J55="",J56=""),4,IF(项目基本情况!K6="上海银行",结果表!J56+1,结果表!J55+1))</f>
        <v>4</v>
      </c>
      <c r="K57" s="3135" t="s">
        <v>2178</v>
      </c>
      <c r="L57" s="2483" t="s">
        <v>2179</v>
      </c>
      <c r="M57" s="1754"/>
      <c r="N57" s="1755">
        <f ca="1">SUMIF(M52:M56,"&lt;9e307")</f>
        <v>115318</v>
      </c>
      <c r="O57" s="2484"/>
      <c r="P57" s="1748">
        <f ca="1">N57/M49</f>
        <v>0.5665034068411926</v>
      </c>
    </row>
    <row r="58" spans="1:35" ht="12.75">
      <c r="A58" s="182" t="s">
        <v>2160</v>
      </c>
      <c r="B58" s="3166" t="s">
        <v>2180</v>
      </c>
      <c r="C58" s="3179"/>
      <c r="D58" s="184">
        <f ca="1">IF(H58="转让取得",C81,C97)</f>
        <v>115216</v>
      </c>
      <c r="E58" s="11" t="s">
        <v>2175</v>
      </c>
      <c r="F58" s="24" t="s">
        <v>34</v>
      </c>
      <c r="G58" s="2478"/>
      <c r="H58" s="2481" t="s">
        <v>2181</v>
      </c>
      <c r="I58" s="2482"/>
      <c r="J58" s="3135"/>
      <c r="K58" s="3135"/>
      <c r="L58" s="2483" t="s">
        <v>2182</v>
      </c>
      <c r="M58" s="1756"/>
      <c r="N58" s="2485" t="str">
        <f ca="1">NUMBERSTRING(INT(N57*10000),2)&amp;"元整"</f>
        <v>壹拾壹亿伍仟叁佰壹拾捌万元整</v>
      </c>
      <c r="O58" s="2486"/>
    </row>
    <row r="59" spans="1:35" ht="24.75" thickBot="1">
      <c r="A59" s="3139" t="s">
        <v>2183</v>
      </c>
      <c r="B59" s="3140"/>
      <c r="C59" s="3140"/>
      <c r="D59" s="187" t="str">
        <f>IF(H59="非个人房产","——",IF(H59="个人住宅",0,ROUND(D45*I59,0)))</f>
        <v>——</v>
      </c>
      <c r="E59" s="188" t="str">
        <f>IF(H59="非个人房产","——","销售额×税（费）率")</f>
        <v>——</v>
      </c>
      <c r="F59" s="189" t="str">
        <f>IF(H59="非个人房产","——",IF(H59="个人住宅","免征",I59))</f>
        <v>——</v>
      </c>
      <c r="G59" s="2487" t="s">
        <v>2176</v>
      </c>
      <c r="H59" s="2481" t="s">
        <v>2184</v>
      </c>
      <c r="I59" s="190">
        <v>0.01</v>
      </c>
      <c r="J59" s="3137">
        <f>J57+1</f>
        <v>5</v>
      </c>
      <c r="K59" s="3135" t="s">
        <v>2185</v>
      </c>
      <c r="L59" s="1807" t="s">
        <v>2179</v>
      </c>
      <c r="M59" s="1757"/>
      <c r="N59" s="1758">
        <f ca="1">M49-N57</f>
        <v>88243</v>
      </c>
      <c r="O59" s="2488"/>
    </row>
    <row r="60" spans="1:35" ht="12" customHeight="1">
      <c r="A60" s="2489"/>
      <c r="B60" s="2411"/>
      <c r="C60" s="2411"/>
      <c r="D60" s="2411"/>
      <c r="E60" s="2162"/>
      <c r="F60" s="2482"/>
      <c r="G60" s="2482"/>
      <c r="H60" s="2490"/>
      <c r="I60" s="137"/>
      <c r="J60" s="3138"/>
      <c r="K60" s="3135"/>
      <c r="L60" s="2483" t="s">
        <v>2182</v>
      </c>
      <c r="M60" s="1756"/>
      <c r="N60" s="2485" t="str">
        <f ca="1">NUMBERSTRING(INT(N59*10000),2)&amp;"元整"</f>
        <v>捌亿捌仟贰佰肆拾叁万元整</v>
      </c>
      <c r="O60" s="2486"/>
    </row>
    <row r="61" spans="1:35" ht="13.5" thickBot="1">
      <c r="A61" s="3198" t="s">
        <v>2186</v>
      </c>
      <c r="B61" s="3198"/>
      <c r="C61" s="3198"/>
      <c r="D61" s="3198"/>
      <c r="E61" s="3198"/>
      <c r="F61" s="2482"/>
      <c r="G61" s="2482"/>
      <c r="H61" s="2490"/>
      <c r="I61" s="137"/>
      <c r="J61" s="1807">
        <f>J59+1</f>
        <v>6</v>
      </c>
      <c r="K61" s="3135" t="s">
        <v>2187</v>
      </c>
      <c r="L61" s="3135"/>
      <c r="M61" s="1759"/>
      <c r="N61" s="1760">
        <f ca="1">ROUND(N59*10000/'数据-汇总表'!E3,0)</f>
        <v>5274</v>
      </c>
      <c r="O61" s="2491"/>
    </row>
    <row r="62" spans="1:35" ht="12.75">
      <c r="A62" s="3155" t="s">
        <v>2188</v>
      </c>
      <c r="B62" s="3156"/>
      <c r="C62" s="1799"/>
      <c r="D62" s="1799" t="s">
        <v>2189</v>
      </c>
      <c r="E62" s="191" t="s">
        <v>2190</v>
      </c>
      <c r="F62" s="2482"/>
      <c r="G62" s="2482"/>
      <c r="H62" s="2490"/>
      <c r="I62" s="137"/>
    </row>
    <row r="63" spans="1:35" ht="12.75">
      <c r="A63" s="202" t="s">
        <v>774</v>
      </c>
      <c r="B63" s="192" t="s">
        <v>2191</v>
      </c>
      <c r="C63" s="193">
        <f ca="1">ROUND((C64+C65)/(1+'数据-取费表'!C42),0)</f>
        <v>193868</v>
      </c>
      <c r="D63" s="194"/>
      <c r="E63" s="195"/>
      <c r="F63" s="2482"/>
      <c r="G63" s="2482"/>
      <c r="H63" s="2490"/>
      <c r="I63" s="137"/>
      <c r="J63" s="3120" t="s">
        <v>2192</v>
      </c>
      <c r="K63" s="2492" t="s">
        <v>2193</v>
      </c>
      <c r="L63" s="1747">
        <f ca="1">IF(M49&gt;10000,M49*0.5%,IF(AND(M49&gt;1000,M49&lt;=10000),M49*1%,IF(AND(M49&gt;100,M49&lt;=1000),M49*3%,IF(AND(M49&gt;10,M49&lt;=100),M49*5%,M49*8%))))</f>
        <v>1017.8050000000001</v>
      </c>
      <c r="M63" s="24">
        <f ca="1">ROUND(L63,1)</f>
        <v>1017.8</v>
      </c>
      <c r="Z63" s="2416"/>
      <c r="AI63" s="2417"/>
    </row>
    <row r="64" spans="1:35" ht="14.25" customHeight="1">
      <c r="A64" s="196" t="s">
        <v>769</v>
      </c>
      <c r="B64" s="197" t="s">
        <v>2194</v>
      </c>
      <c r="C64" s="198">
        <f ca="1">D45</f>
        <v>203561</v>
      </c>
      <c r="D64" s="199" t="s">
        <v>32</v>
      </c>
      <c r="E64" s="200"/>
      <c r="F64" s="2482"/>
      <c r="G64" s="2482"/>
      <c r="H64" s="2490"/>
      <c r="I64" s="137"/>
      <c r="J64" s="3120"/>
      <c r="K64" s="2492" t="s">
        <v>2195</v>
      </c>
      <c r="L64" s="1747">
        <f ca="1">IF(M49&gt;2000,M49*0.5%,IF(AND(M49&gt;1000,M49&lt;=2000),M49*0.6%,IF(AND(M49&gt;500,M49&lt;=1000),M49*0.7%,IF(AND(M49&gt;200,M49&lt;=500),M49*0.8%,IF(AND(M49&gt;100,M49&lt;=200),M49*0.9%,IF(AND(M49&gt;50,M49&lt;=100),M49*1%,IF(AND(M49&gt;20,M49&lt;=50),M49*1.5%,IF(AND(M49&gt;10,M49&lt;=20),M49*2%,IF(AND(M49&gt;1,M49&lt;=10),M49*2.5%)))))))))</f>
        <v>1017.8050000000001</v>
      </c>
      <c r="M64" s="24">
        <f t="shared" ref="M64:M65" ca="1" si="1">ROUND(L64,1)</f>
        <v>1017.8</v>
      </c>
      <c r="N64" s="137" t="s">
        <v>2196</v>
      </c>
      <c r="Z64" s="2416"/>
      <c r="AI64" s="2417"/>
    </row>
    <row r="65" spans="1:35" ht="14.25" customHeight="1">
      <c r="A65" s="196" t="s">
        <v>770</v>
      </c>
      <c r="B65" s="197" t="s">
        <v>2197</v>
      </c>
      <c r="C65" s="201"/>
      <c r="D65" s="199"/>
      <c r="E65" s="200"/>
      <c r="F65" s="2482"/>
      <c r="G65" s="2482"/>
      <c r="H65" s="2490"/>
      <c r="I65" s="137"/>
      <c r="J65" s="3120"/>
      <c r="K65" s="2492" t="s">
        <v>2198</v>
      </c>
      <c r="L65" s="1747">
        <f ca="1">IF(M49&gt;1000,M49*0.1%,IF(AND(M49&gt;500,M49&lt;=1000),M49*0.5%,IF(AND(M49&gt;50,M49&lt;=500),M49*1%,IF(AND(M49&gt;1,M49&lt;=50),M49*1.5%))))</f>
        <v>203.56100000000001</v>
      </c>
      <c r="M65" s="24">
        <f t="shared" ca="1" si="1"/>
        <v>203.6</v>
      </c>
      <c r="N65" s="137" t="s">
        <v>2196</v>
      </c>
      <c r="Z65" s="2416"/>
      <c r="AI65" s="2417"/>
    </row>
    <row r="66" spans="1:35" ht="14.25" customHeight="1">
      <c r="A66" s="202" t="s">
        <v>771</v>
      </c>
      <c r="B66" s="203" t="s">
        <v>2199</v>
      </c>
      <c r="C66" s="204"/>
      <c r="D66" s="205" t="s">
        <v>32</v>
      </c>
      <c r="E66" s="1771" t="s">
        <v>1363</v>
      </c>
      <c r="F66" s="2482"/>
      <c r="G66" s="2482"/>
      <c r="H66" s="2490"/>
      <c r="I66" s="137"/>
      <c r="J66" s="3120"/>
      <c r="K66" s="2492" t="s">
        <v>2200</v>
      </c>
      <c r="L66" s="1747">
        <f ca="1">M49*0.5%</f>
        <v>1017.8050000000001</v>
      </c>
      <c r="M66" s="24">
        <f ca="1">IF(L66&gt;0.5,0.5,ROUND(L66,0))</f>
        <v>0.5</v>
      </c>
      <c r="N66" s="137" t="s">
        <v>2201</v>
      </c>
      <c r="Z66" s="2416"/>
      <c r="AI66" s="2417"/>
    </row>
    <row r="67" spans="1:35" ht="14.25" customHeight="1">
      <c r="A67" s="202" t="s">
        <v>772</v>
      </c>
      <c r="B67" s="203" t="s">
        <v>2202</v>
      </c>
      <c r="C67" s="206">
        <f ca="1">C63-C66</f>
        <v>193868</v>
      </c>
      <c r="D67" s="199" t="s">
        <v>32</v>
      </c>
      <c r="E67" s="200"/>
      <c r="F67" s="2482"/>
      <c r="G67" s="2482"/>
      <c r="H67" s="2490"/>
      <c r="I67" s="137"/>
      <c r="J67" s="3120"/>
      <c r="K67" s="2492" t="s">
        <v>2203</v>
      </c>
      <c r="L67" s="1747">
        <f ca="1">IF(M49&gt;=10000,(8.25+(M49-10000)*0.01%),IF(AND(M49&gt;=8000,M49&lt;10000),(7.85+(M49-8000)*0.02%),IF(AND(M49&gt;=5000,M49&lt;8000),(6.65+(M49-5000)*0.04%),IF(AND(M49&gt;=2000,M49&lt;5000),(4.25+(PM49-2000)*0.08%),IF(AND(M49&gt;=1000,M49&lt;2000),(2.75+(M49-1000)*0.15%),IF(AND(M49&gt;=100,M49&lt;1000),(0.5+(M49-100)*0.25%),IF(AND(M49&gt;0,M49&lt;100),M49*0.5%)))))))</f>
        <v>27.606100000000001</v>
      </c>
      <c r="M67" s="24">
        <f ca="1">ROUND(L67*0.9,1)</f>
        <v>24.8</v>
      </c>
      <c r="Z67" s="2416"/>
      <c r="AI67" s="2417"/>
    </row>
    <row r="68" spans="1:35" ht="14.25" customHeight="1" thickBot="1">
      <c r="A68" s="207" t="s">
        <v>773</v>
      </c>
      <c r="B68" s="208" t="s">
        <v>2204</v>
      </c>
      <c r="C68" s="209">
        <f ca="1">IF(C67&lt;=0,0,ROUND(C67*D68,0))</f>
        <v>10857</v>
      </c>
      <c r="D68" s="210">
        <f>'数据-取费表'!B41</f>
        <v>5.6000000000000001E-2</v>
      </c>
      <c r="E68" s="211"/>
      <c r="F68" s="2482"/>
      <c r="G68" s="2482"/>
      <c r="H68" s="2490"/>
      <c r="I68" s="137"/>
      <c r="J68" s="3120"/>
      <c r="K68" s="2492" t="s">
        <v>2205</v>
      </c>
      <c r="L68" s="1747">
        <f ca="1">IF(M49&gt;10000,M49*0.5%,IF(AND(M49&gt;5000,M49&lt;=10000),M49*1%,IF(AND(M49&gt;1000,M49&lt;=5000),M49*2%,IF(AND(M49&gt;200,M49&lt;=1000),M49*3%,M49*5%))))</f>
        <v>1017.8050000000001</v>
      </c>
      <c r="M68" s="24">
        <f ca="1">ROUND(L68,1)</f>
        <v>1017.8</v>
      </c>
      <c r="Z68" s="2416"/>
      <c r="AI68" s="2417"/>
    </row>
    <row r="69" spans="1:35" s="2439" customFormat="1" ht="16.5" customHeight="1">
      <c r="A69" s="2493"/>
      <c r="B69" s="2494"/>
      <c r="C69" s="2495"/>
      <c r="D69" s="2496"/>
      <c r="E69" s="2497"/>
      <c r="F69" s="2162"/>
      <c r="G69" s="2162"/>
      <c r="H69" s="2161"/>
      <c r="I69" s="2411"/>
      <c r="J69" s="3120"/>
      <c r="K69" s="2492" t="s">
        <v>2206</v>
      </c>
      <c r="L69" s="2498"/>
      <c r="M69" s="24">
        <f ca="1">ROUND(SUM(M63:M68),0)</f>
        <v>3282</v>
      </c>
      <c r="N69" s="1748">
        <f ca="1">M69/M49</f>
        <v>1.6122931209809344E-2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thickBot="1">
      <c r="A70" s="3164" t="s">
        <v>2207</v>
      </c>
      <c r="B70" s="3165"/>
      <c r="C70" s="3165"/>
      <c r="D70" s="3165"/>
      <c r="E70" s="3165"/>
      <c r="F70" s="3165"/>
      <c r="G70" s="3165"/>
      <c r="H70" s="3165"/>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55" t="s">
        <v>2188</v>
      </c>
      <c r="B71" s="3156"/>
      <c r="C71" s="1799"/>
      <c r="D71" s="1799" t="s">
        <v>2189</v>
      </c>
      <c r="E71" s="212" t="s">
        <v>2190</v>
      </c>
      <c r="F71" s="213"/>
      <c r="G71" s="213"/>
      <c r="H71" s="214"/>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2" t="s">
        <v>774</v>
      </c>
      <c r="B72" s="203" t="s">
        <v>2208</v>
      </c>
      <c r="C72" s="206">
        <f ca="1">ROUND(D45/(1+'数据-取费表'!C42),0)</f>
        <v>193868</v>
      </c>
      <c r="D72" s="199" t="s">
        <v>32</v>
      </c>
      <c r="E72" s="1798"/>
      <c r="F72" s="1792"/>
      <c r="G72" s="1792"/>
      <c r="H72" s="215"/>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2" t="s">
        <v>771</v>
      </c>
      <c r="B73" s="172" t="s">
        <v>2209</v>
      </c>
      <c r="C73" s="206">
        <f ca="1">C74+C78</f>
        <v>1163</v>
      </c>
      <c r="D73" s="199" t="s">
        <v>32</v>
      </c>
      <c r="E73" s="1798"/>
      <c r="F73" s="1792"/>
      <c r="G73" s="1792"/>
      <c r="H73" s="215"/>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6" t="s">
        <v>769</v>
      </c>
      <c r="B74" s="197" t="s">
        <v>2210</v>
      </c>
      <c r="C74" s="199">
        <f>ROUND(IF(G77="2016年5月1日后购买",C75/(1+'数据-取费表'!C42)+C76+C77,C75+C76+C77),0)</f>
        <v>0</v>
      </c>
      <c r="D74" s="199" t="s">
        <v>32</v>
      </c>
      <c r="E74" s="1798"/>
      <c r="F74" s="1792"/>
      <c r="G74" s="1792"/>
      <c r="H74" s="215"/>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6" t="s">
        <v>775</v>
      </c>
      <c r="B75" s="197" t="s">
        <v>2211</v>
      </c>
      <c r="C75" s="217"/>
      <c r="D75" s="199" t="s">
        <v>32</v>
      </c>
      <c r="E75" s="218" t="s">
        <v>2212</v>
      </c>
      <c r="F75" s="2504" t="s">
        <v>2213</v>
      </c>
      <c r="G75" s="218" t="s">
        <v>2214</v>
      </c>
      <c r="H75" s="219"/>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6" t="s">
        <v>776</v>
      </c>
      <c r="B76" s="220" t="s">
        <v>2215</v>
      </c>
      <c r="C76" s="199">
        <f>IF(F75="购房发票",ROUND(C75*H75*D76,0),0)</f>
        <v>0</v>
      </c>
      <c r="D76" s="221">
        <v>0.05</v>
      </c>
      <c r="E76" s="3161" t="s">
        <v>2216</v>
      </c>
      <c r="F76" s="3160"/>
      <c r="G76" s="3160"/>
      <c r="H76" s="316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6" t="s">
        <v>777</v>
      </c>
      <c r="B77" s="197" t="s">
        <v>2217</v>
      </c>
      <c r="C77" s="199">
        <f>ROUND(IF(G77="个人住宅",0,IF(G77="2016年5月1日前购买",C75*D77,C75*D77/(1+'数据-取费表'!C42))),0)</f>
        <v>0</v>
      </c>
      <c r="D77" s="222">
        <f>'数据-取费表'!B48+'数据-取费表'!B49</f>
        <v>4.0500000000000001E-2</v>
      </c>
      <c r="E77" s="15" t="s">
        <v>2218</v>
      </c>
      <c r="F77" s="223"/>
      <c r="G77" s="2506" t="s">
        <v>2219</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6" t="s">
        <v>770</v>
      </c>
      <c r="B78" s="197" t="s">
        <v>2220</v>
      </c>
      <c r="C78" s="224">
        <f ca="1">ROUND(D45*D78/(1+'数据-取费表'!C42),0)</f>
        <v>1163</v>
      </c>
      <c r="D78" s="225">
        <f>'数据-取费表'!B43</f>
        <v>6.000000000000001E-3</v>
      </c>
      <c r="E78" s="3152" t="s">
        <v>2221</v>
      </c>
      <c r="F78" s="3153"/>
      <c r="G78" s="3153"/>
      <c r="H78" s="315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778</v>
      </c>
      <c r="B79" s="203" t="s">
        <v>2222</v>
      </c>
      <c r="C79" s="206">
        <f ca="1">C72-C73</f>
        <v>192705</v>
      </c>
      <c r="D79" s="199" t="s">
        <v>32</v>
      </c>
      <c r="E79" s="1798"/>
      <c r="F79" s="1792"/>
      <c r="G79" s="1792"/>
      <c r="H79" s="215"/>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3" t="s">
        <v>2223</v>
      </c>
      <c r="C80" s="226">
        <f ca="1">IF(C79&lt;=0,0,C79/C73)</f>
        <v>165.69647463456579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8" t="s">
        <v>2224</v>
      </c>
      <c r="C81" s="227">
        <f ca="1">ROUND(IF(C79&lt;=0,0,IF(C80&gt;=200%,C79*60%-C73*35%,IF(C80&gt;=100%,C79*50%-C73*15%,IF(C80&gt;=50%,C79*40%-C73*5%,IF(C80&lt;50%,C79*30%,0))))),0)</f>
        <v>115216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64" t="s">
        <v>2225</v>
      </c>
      <c r="B83" s="3165"/>
      <c r="C83" s="3165"/>
      <c r="D83" s="3165"/>
      <c r="E83" s="3165"/>
      <c r="F83" s="3165"/>
      <c r="G83" s="3165"/>
      <c r="H83" s="3165"/>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55" t="s">
        <v>2188</v>
      </c>
      <c r="B84" s="3156"/>
      <c r="C84" s="1799"/>
      <c r="D84" s="1799" t="s">
        <v>2189</v>
      </c>
      <c r="E84" s="212" t="s">
        <v>2190</v>
      </c>
      <c r="F84" s="213"/>
      <c r="G84" s="213"/>
      <c r="H84" s="232"/>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2" t="s">
        <v>774</v>
      </c>
      <c r="B85" s="203" t="s">
        <v>2208</v>
      </c>
      <c r="C85" s="206">
        <f ca="1">ROUND(D45/(1+'数据-取费表'!C42),0)</f>
        <v>193868</v>
      </c>
      <c r="D85" s="199" t="s">
        <v>32</v>
      </c>
      <c r="E85" s="1798"/>
      <c r="F85" s="1792"/>
      <c r="G85" s="1792"/>
      <c r="H85" s="233"/>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2" t="s">
        <v>771</v>
      </c>
      <c r="B86" s="172" t="s">
        <v>2209</v>
      </c>
      <c r="C86" s="206">
        <f ca="1">IF(H88="仅含出让金",C87+C90+C91+C92+C93+C94,C87+C91+C92+C93+C94)</f>
        <v>1163</v>
      </c>
      <c r="D86" s="234"/>
      <c r="E86" s="1798"/>
      <c r="F86" s="1792"/>
      <c r="G86" s="1792"/>
      <c r="H86" s="233"/>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6" t="s">
        <v>769</v>
      </c>
      <c r="B87" s="197" t="s">
        <v>2226</v>
      </c>
      <c r="C87" s="224">
        <f>C88+C89</f>
        <v>0</v>
      </c>
      <c r="D87" s="225"/>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6" t="s">
        <v>775</v>
      </c>
      <c r="B88" s="197" t="s">
        <v>2227</v>
      </c>
      <c r="C88" s="235"/>
      <c r="D88" s="225"/>
      <c r="E88" s="236" t="s">
        <v>2228</v>
      </c>
      <c r="F88" s="1795"/>
      <c r="G88" s="237" t="s">
        <v>2229</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6" t="s">
        <v>776</v>
      </c>
      <c r="B89" s="197" t="s">
        <v>2217</v>
      </c>
      <c r="C89" s="224">
        <f>ROUND(C88*D89,0)</f>
        <v>0</v>
      </c>
      <c r="D89" s="225">
        <f>'数据-取费表'!B48+'数据-取费表'!B49</f>
        <v>4.0500000000000001E-2</v>
      </c>
      <c r="E89" s="236" t="s">
        <v>2230</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6" t="s">
        <v>770</v>
      </c>
      <c r="B90" s="197" t="s">
        <v>2231</v>
      </c>
      <c r="C90" s="235"/>
      <c r="D90" s="225"/>
      <c r="E90" s="236"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6" t="s">
        <v>2232</v>
      </c>
      <c r="B91" s="197" t="s">
        <v>2233</v>
      </c>
      <c r="C91" s="224">
        <f>IF(H91="——",成本法!C33,I91)</f>
        <v>0</v>
      </c>
      <c r="D91" s="225"/>
      <c r="E91" s="3152" t="s">
        <v>2234</v>
      </c>
      <c r="F91" s="3153"/>
      <c r="G91" s="3153"/>
      <c r="H91" s="2511" t="s">
        <v>2235</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6" t="s">
        <v>2236</v>
      </c>
      <c r="B92" s="197" t="s">
        <v>2237</v>
      </c>
      <c r="C92" s="224">
        <f>ROUND((C87+C90+C91)*D92,0)</f>
        <v>0</v>
      </c>
      <c r="D92" s="225">
        <v>0.1</v>
      </c>
      <c r="E92" s="3152" t="s">
        <v>2238</v>
      </c>
      <c r="F92" s="3153"/>
      <c r="G92" s="3153"/>
      <c r="H92" s="315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6" t="s">
        <v>2239</v>
      </c>
      <c r="B93" s="197" t="s">
        <v>2220</v>
      </c>
      <c r="C93" s="224">
        <f ca="1">ROUND(D45*D93/(1+'数据-取费表'!C42),0)</f>
        <v>1163</v>
      </c>
      <c r="D93" s="225">
        <f>'数据-取费表'!B43</f>
        <v>6.000000000000001E-3</v>
      </c>
      <c r="E93" s="3152" t="s">
        <v>2221</v>
      </c>
      <c r="F93" s="3153"/>
      <c r="G93" s="3153"/>
      <c r="H93" s="315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6" t="s">
        <v>2240</v>
      </c>
      <c r="B94" s="197" t="s">
        <v>2241</v>
      </c>
      <c r="C94" s="235">
        <f>ROUND((C87+C90+C91)*D94,0)</f>
        <v>0</v>
      </c>
      <c r="D94" s="225">
        <v>0.2</v>
      </c>
      <c r="E94" s="3200" t="s">
        <v>2242</v>
      </c>
      <c r="F94" s="3201"/>
      <c r="G94" s="3201"/>
      <c r="H94" s="320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778</v>
      </c>
      <c r="B95" s="203" t="s">
        <v>2222</v>
      </c>
      <c r="C95" s="206">
        <f ca="1">ROUND(C85-C86,0)</f>
        <v>192705</v>
      </c>
      <c r="D95" s="199" t="s">
        <v>32</v>
      </c>
      <c r="E95" s="1798"/>
      <c r="F95" s="1792"/>
      <c r="G95" s="1792"/>
      <c r="H95" s="233"/>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3" t="s">
        <v>2223</v>
      </c>
      <c r="C96" s="226">
        <f ca="1">IF(C95&lt;=0,0,C95/C86)</f>
        <v>165.69647463456579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8" t="s">
        <v>2224</v>
      </c>
      <c r="C97" s="227">
        <f ca="1">ROUND(IF(C95&lt;=0,0,IF(C96&gt;=200%,C95*60%-C86*35%,IF(C96&gt;=100%,C95*50%-C86*15%,IF(C96&gt;=50%,C95*40%-C86*5%,IF(C96&lt;50%,C95*30%,0))))),0)</f>
        <v>115216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2"/>
      <c r="F98" s="2162"/>
      <c r="G98" s="2162"/>
      <c r="H98" s="2161"/>
      <c r="I98" s="137"/>
    </row>
    <row r="99" spans="1:35" ht="21.75" customHeight="1" thickBot="1">
      <c r="A99" s="2467" t="s">
        <v>2243</v>
      </c>
      <c r="B99" s="2411"/>
      <c r="C99" s="2411"/>
      <c r="D99" s="2411"/>
      <c r="E99" s="2162"/>
      <c r="F99" s="2162"/>
      <c r="G99" s="2162"/>
      <c r="H99" s="2161"/>
      <c r="I99" s="137"/>
    </row>
    <row r="100" spans="1:35" ht="18.75" customHeight="1">
      <c r="A100" s="3104" t="s">
        <v>2244</v>
      </c>
      <c r="B100" s="3105"/>
      <c r="C100" s="3105"/>
      <c r="D100" s="3136"/>
      <c r="E100" s="3105" t="s">
        <v>2245</v>
      </c>
      <c r="F100" s="3105"/>
      <c r="G100" s="3105"/>
      <c r="H100" s="3136"/>
      <c r="I100" s="137"/>
    </row>
    <row r="101" spans="1:35" ht="18.75" customHeight="1">
      <c r="A101" s="3144" t="s">
        <v>2246</v>
      </c>
      <c r="B101" s="3145"/>
      <c r="C101" s="735" t="str">
        <f>C4</f>
        <v>成本法</v>
      </c>
      <c r="D101" s="736" t="str">
        <f>D4</f>
        <v>假设开发法</v>
      </c>
      <c r="E101" s="3116" t="s">
        <v>2247</v>
      </c>
      <c r="F101" s="3117"/>
      <c r="G101" s="2513" t="s">
        <v>2248</v>
      </c>
      <c r="H101" s="1044">
        <f ca="1">H118</f>
        <v>203561</v>
      </c>
      <c r="I101" s="137"/>
    </row>
    <row r="102" spans="1:35" ht="18.75" customHeight="1">
      <c r="A102" s="3146" t="s">
        <v>2249</v>
      </c>
      <c r="B102" s="2513" t="s">
        <v>2248</v>
      </c>
      <c r="C102" s="735">
        <f ca="1">C19</f>
        <v>159992</v>
      </c>
      <c r="D102" s="736">
        <f ca="1">D19</f>
        <v>222233</v>
      </c>
      <c r="E102" s="3116"/>
      <c r="F102" s="3117"/>
      <c r="G102" s="2513" t="s">
        <v>2250</v>
      </c>
      <c r="H102" s="370">
        <f ca="1">I118</f>
        <v>12166</v>
      </c>
      <c r="I102" s="137"/>
    </row>
    <row r="103" spans="1:35" ht="42.75" customHeight="1">
      <c r="A103" s="3146"/>
      <c r="B103" s="2513" t="s">
        <v>2250</v>
      </c>
      <c r="C103" s="737">
        <f ca="1">C20</f>
        <v>9562</v>
      </c>
      <c r="D103" s="738">
        <f ca="1">D20</f>
        <v>13281</v>
      </c>
      <c r="E103" s="3110" t="s">
        <v>2251</v>
      </c>
      <c r="F103" s="3111"/>
      <c r="G103" s="2514" t="s">
        <v>2252</v>
      </c>
      <c r="H103" s="1044">
        <f>IF(D36="正常操作",H104+H105+H106,H105+H106)</f>
        <v>0</v>
      </c>
      <c r="I103" s="137"/>
    </row>
    <row r="104" spans="1:35" ht="18.75" customHeight="1">
      <c r="A104" s="3146" t="s">
        <v>2253</v>
      </c>
      <c r="B104" s="2515" t="s">
        <v>2248</v>
      </c>
      <c r="C104" s="739">
        <f ca="1">H118</f>
        <v>203561</v>
      </c>
      <c r="D104" s="740"/>
      <c r="E104" s="2261" t="s">
        <v>2254</v>
      </c>
      <c r="F104" s="2253"/>
      <c r="G104" s="2514" t="s">
        <v>2252</v>
      </c>
      <c r="H104" s="1045">
        <f>IF(D36="同一抵押权人同一抵押物续贷",C36&amp;"（未扣减，详见特别提示）",C36)</f>
        <v>0</v>
      </c>
      <c r="I104" s="137"/>
    </row>
    <row r="105" spans="1:35" ht="18.75" customHeight="1" thickBot="1">
      <c r="A105" s="3158"/>
      <c r="B105" s="2516" t="s">
        <v>2250</v>
      </c>
      <c r="C105" s="741">
        <f ca="1">I118</f>
        <v>12166</v>
      </c>
      <c r="D105" s="742"/>
      <c r="E105" s="2261" t="s">
        <v>2255</v>
      </c>
      <c r="F105" s="2253"/>
      <c r="G105" s="2514" t="s">
        <v>2252</v>
      </c>
      <c r="H105" s="1045">
        <f>C37</f>
        <v>0</v>
      </c>
      <c r="I105" s="137"/>
    </row>
    <row r="106" spans="1:35" ht="18.75" customHeight="1">
      <c r="A106" s="2411" t="s">
        <v>2256</v>
      </c>
      <c r="B106" s="2411"/>
      <c r="C106" s="2411"/>
      <c r="D106" s="2411"/>
      <c r="E106" s="2517" t="s">
        <v>2257</v>
      </c>
      <c r="F106" s="2253"/>
      <c r="G106" s="2514" t="s">
        <v>2252</v>
      </c>
      <c r="H106" s="1045">
        <f>C38</f>
        <v>0</v>
      </c>
      <c r="I106" s="137"/>
    </row>
    <row r="107" spans="1:35" ht="18.75" customHeight="1">
      <c r="A107" s="137"/>
      <c r="B107" s="137"/>
      <c r="C107" s="137"/>
      <c r="D107" s="137"/>
      <c r="E107" s="3147" t="str">
        <f>IF(项目基本情况!E8="已注销","——","3.房地产抵押价值")</f>
        <v>3.房地产抵押价值</v>
      </c>
      <c r="F107" s="3117"/>
      <c r="G107" s="2513" t="s">
        <v>2248</v>
      </c>
      <c r="H107" s="1044">
        <f ca="1">IF(E107="——","——",H101-H103)</f>
        <v>203561</v>
      </c>
      <c r="I107" s="137"/>
    </row>
    <row r="108" spans="1:35" ht="18.75" customHeight="1">
      <c r="A108" s="137"/>
      <c r="B108" s="137"/>
      <c r="C108" s="137"/>
      <c r="D108" s="137"/>
      <c r="E108" s="3147"/>
      <c r="F108" s="3117"/>
      <c r="G108" s="2513" t="s">
        <v>2250</v>
      </c>
      <c r="H108" s="370">
        <f ca="1">ROUND(H107*10000/'数据-汇总表'!E3,0)</f>
        <v>12166</v>
      </c>
      <c r="I108" s="137"/>
    </row>
    <row r="109" spans="1:35" ht="18.75" customHeight="1">
      <c r="A109" s="137"/>
      <c r="B109" s="137"/>
      <c r="C109" s="137"/>
      <c r="D109" s="137"/>
      <c r="E109" s="3147" t="str">
        <f>IF(项目基本情况!E8="已注销及未注销","4.抵押担保权已注销时的房地产抵押价值",IF(项目基本情况!E8="已注销","3.抵押担保权已注销时的房地产抵押价值","——"))</f>
        <v>——</v>
      </c>
      <c r="F109" s="3117"/>
      <c r="G109" s="2513" t="s">
        <v>2248</v>
      </c>
      <c r="H109" s="347" t="str">
        <f>IF(E109="——","——",H101-H105-H106)</f>
        <v>——</v>
      </c>
      <c r="I109" s="137"/>
    </row>
    <row r="110" spans="1:35" ht="18.75" customHeight="1">
      <c r="A110" s="137"/>
      <c r="B110" s="137"/>
      <c r="C110" s="137"/>
      <c r="D110" s="137"/>
      <c r="E110" s="3147"/>
      <c r="F110" s="3117"/>
      <c r="G110" s="2513" t="s">
        <v>2250</v>
      </c>
      <c r="H110" s="370" t="str">
        <f>IF(H109="——","——",ROUND(H109*10000/'数据-汇总表'!E3,0))</f>
        <v>——</v>
      </c>
      <c r="I110" s="137"/>
    </row>
    <row r="111" spans="1:35" ht="18.75" customHeight="1">
      <c r="A111" s="137"/>
      <c r="B111" s="137"/>
      <c r="C111" s="137"/>
      <c r="D111" s="137"/>
      <c r="E111" s="3148" t="str">
        <f>IF(项目基本情况!E9="抵押净值",IF(OR(项目基本情况!E8="已注销",项目基本情况!E8="房地产抵押价值"),"4.抵押净值","5.抵押净值"),"——")</f>
        <v>——</v>
      </c>
      <c r="F111" s="3149"/>
      <c r="G111" s="2513" t="s">
        <v>2248</v>
      </c>
      <c r="H111" s="1044" t="str">
        <f>IF(E111="——","——",N59)</f>
        <v>——</v>
      </c>
      <c r="I111" s="137"/>
    </row>
    <row r="112" spans="1:35" ht="18.75" customHeight="1" thickBot="1">
      <c r="A112" s="137"/>
      <c r="B112" s="137"/>
      <c r="C112" s="137"/>
      <c r="D112" s="137"/>
      <c r="E112" s="3150"/>
      <c r="F112" s="3151"/>
      <c r="G112" s="2518" t="s">
        <v>2250</v>
      </c>
      <c r="H112" s="789" t="str">
        <f>IF(E111="——","——",N61)</f>
        <v>——</v>
      </c>
      <c r="I112" s="137"/>
    </row>
    <row r="113" spans="1:11" ht="18.75" customHeight="1">
      <c r="A113" s="137"/>
      <c r="B113" s="137"/>
      <c r="C113" s="137"/>
      <c r="D113" s="137"/>
      <c r="E113" s="3159" t="s">
        <v>2256</v>
      </c>
      <c r="F113" s="3159"/>
      <c r="G113" s="3159"/>
      <c r="H113" s="3159"/>
      <c r="I113" s="137"/>
    </row>
    <row r="114" spans="1:11" ht="3.75" customHeight="1">
      <c r="A114" s="2411"/>
      <c r="B114" s="2411"/>
      <c r="C114" s="2411"/>
      <c r="D114" s="2411"/>
      <c r="E114" s="2489"/>
      <c r="F114" s="2489"/>
      <c r="G114" s="2489"/>
      <c r="H114" s="2489"/>
      <c r="I114" s="2411"/>
    </row>
    <row r="115" spans="1:11" ht="18.75" customHeight="1">
      <c r="A115" s="3172" t="s">
        <v>2258</v>
      </c>
      <c r="B115" s="3173"/>
      <c r="C115" s="3173"/>
      <c r="D115" s="3173"/>
      <c r="E115" s="3173"/>
      <c r="F115" s="3173"/>
      <c r="G115" s="3173"/>
      <c r="H115" s="3173"/>
      <c r="I115" s="3174"/>
    </row>
    <row r="116" spans="1:11" ht="27" customHeight="1">
      <c r="A116" s="3083" t="s">
        <v>2259</v>
      </c>
      <c r="B116" s="3126" t="s">
        <v>2260</v>
      </c>
      <c r="C116" s="3126" t="s">
        <v>2261</v>
      </c>
      <c r="D116" s="3132" t="s">
        <v>2262</v>
      </c>
      <c r="E116" s="3133"/>
      <c r="F116" s="3168" t="s">
        <v>2263</v>
      </c>
      <c r="G116" s="3168"/>
      <c r="H116" s="3083" t="s">
        <v>2264</v>
      </c>
      <c r="I116" s="3083"/>
    </row>
    <row r="117" spans="1:11" ht="18.75" customHeight="1">
      <c r="A117" s="3083"/>
      <c r="B117" s="3127"/>
      <c r="C117" s="3127"/>
      <c r="D117" s="1793" t="s">
        <v>2265</v>
      </c>
      <c r="E117" s="1793" t="s">
        <v>2266</v>
      </c>
      <c r="F117" s="1793" t="s">
        <v>2265</v>
      </c>
      <c r="G117" s="1793" t="s">
        <v>2267</v>
      </c>
      <c r="H117" s="1793" t="s">
        <v>2265</v>
      </c>
      <c r="I117" s="1793" t="s">
        <v>2267</v>
      </c>
    </row>
    <row r="118" spans="1:11" ht="24.75" customHeight="1">
      <c r="A118" s="2519" t="str">
        <f>项目基本情况!S2</f>
        <v>安徽省庐阳区合淮路以西、市十九中学以南出让国有建设用地使用权及在建建筑物房地产</v>
      </c>
      <c r="B118" s="1793">
        <f>M18</f>
        <v>167325.31000000003</v>
      </c>
      <c r="C118" s="1793">
        <f>M19</f>
        <v>63529.08</v>
      </c>
      <c r="D118" s="1793">
        <f ca="1">ROUND(IF(D32="总价",C34,E118*B118/10000),0)</f>
        <v>166920</v>
      </c>
      <c r="E118" s="1793">
        <f ca="1">ROUND(IF(C33="自定义",IF(D32="楼面单价",C34,D118*10000/B118),I118-G118),0)</f>
        <v>9976</v>
      </c>
      <c r="F118" s="1793">
        <f ca="1">ROUND(IF(D32="总价",C35,G118*B118/10000),0)</f>
        <v>36641</v>
      </c>
      <c r="G118" s="1793">
        <f ca="1">ROUND(IF(D32="楼面单价",C35,F118*10000/B118),0)</f>
        <v>2190</v>
      </c>
      <c r="H118" s="1793">
        <f ca="1">ROUND(IF(D32="总价",C32,I118*B118/10000),0)</f>
        <v>203561</v>
      </c>
      <c r="I118" s="1793">
        <f ca="1">ROUND(IF(D32="楼面单价",C32,H118*10000/B118),0)</f>
        <v>12166</v>
      </c>
    </row>
    <row r="119" spans="1:11" ht="18.75" customHeight="1">
      <c r="A119" s="3083" t="s">
        <v>2268</v>
      </c>
      <c r="B119" s="3083"/>
      <c r="C119" s="3083"/>
      <c r="D119" s="3128" t="str">
        <f ca="1">NUMBERSTRING(INT(D118*10000),2)&amp;"元整"</f>
        <v>壹拾陆亿陆仟玖佰贰拾万元整</v>
      </c>
      <c r="E119" s="3129"/>
      <c r="F119" s="3128" t="str">
        <f ca="1">NUMBERSTRING(INT(F118*10000),2)&amp;"元整"</f>
        <v>叁亿陆仟陆佰肆拾壹万元整</v>
      </c>
      <c r="G119" s="3129"/>
      <c r="H119" s="3128" t="str">
        <f ca="1">NUMBERSTRING(INT(H118*10000),2)&amp;"元整"</f>
        <v>贰拾亿叁仟伍佰陆拾壹万元整</v>
      </c>
      <c r="I119" s="3129"/>
    </row>
    <row r="120" spans="1:11" ht="18.75" customHeight="1">
      <c r="A120" s="3123" t="str">
        <f>IF(项目基本情况!B9="房地产市场价值","",MID(E103,3,LEN(E103)-2))</f>
        <v>估价师知悉的法定优先受偿款</v>
      </c>
      <c r="B120" s="3124"/>
      <c r="C120" s="3125"/>
      <c r="D120" s="3123">
        <f>H103</f>
        <v>0</v>
      </c>
      <c r="E120" s="3124"/>
      <c r="F120" s="3124"/>
      <c r="G120" s="3124"/>
      <c r="H120" s="3124"/>
      <c r="I120" s="3125"/>
      <c r="K120" s="2416" t="str">
        <f>IF(D120=0,"故，本次评估不存在"&amp;A120,"故，本次评估"&amp;A120&amp;"为人民币"&amp;D120&amp;"万元整。")</f>
        <v>故，本次评估不存在估价师知悉的法定优先受偿款</v>
      </c>
    </row>
    <row r="121" spans="1:11" ht="18.75" customHeight="1">
      <c r="A121" s="3169" t="s">
        <v>2268</v>
      </c>
      <c r="B121" s="3170"/>
      <c r="C121" s="3171"/>
      <c r="D121" s="3128" t="str">
        <f>IF(D120=0,"零元整",NUMBERSTRING(INT(D120*10000),2)&amp;"元整")</f>
        <v>零元整</v>
      </c>
      <c r="E121" s="3130"/>
      <c r="F121" s="3130"/>
      <c r="G121" s="3130"/>
      <c r="H121" s="3130"/>
      <c r="I121" s="3129"/>
    </row>
    <row r="122" spans="1:11" ht="18.75" customHeight="1">
      <c r="A122" s="3134" t="str">
        <f>IF(项目基本情况!B9="房地产市场价值","",MID(E107,3,LEN(E107)-2))</f>
        <v>房地产抵押价值</v>
      </c>
      <c r="B122" s="3134"/>
      <c r="C122" s="3134"/>
      <c r="D122" s="3123">
        <f ca="1">H107</f>
        <v>203561</v>
      </c>
      <c r="E122" s="3124"/>
      <c r="F122" s="3124"/>
      <c r="G122" s="3124"/>
      <c r="H122" s="3124"/>
      <c r="I122" s="3125"/>
    </row>
    <row r="123" spans="1:11" ht="18.75" customHeight="1">
      <c r="A123" s="3083" t="s">
        <v>2268</v>
      </c>
      <c r="B123" s="3083"/>
      <c r="C123" s="3083"/>
      <c r="D123" s="3128" t="str">
        <f ca="1">NUMBERSTRING(INT(D122*10000),2)&amp;"元整"</f>
        <v>贰拾亿叁仟伍佰陆拾壹万元整</v>
      </c>
      <c r="E123" s="3130"/>
      <c r="F123" s="3130"/>
      <c r="G123" s="3130"/>
      <c r="H123" s="3130"/>
      <c r="I123" s="3129"/>
    </row>
    <row r="124" spans="1:11" ht="18.75" customHeight="1">
      <c r="A124" s="3134" t="str">
        <f>IF(项目基本情况!B9="房地产市场价值","",MID(E109,3,LEN(E109)-2))</f>
        <v/>
      </c>
      <c r="B124" s="3134"/>
      <c r="C124" s="3134"/>
      <c r="D124" s="3123" t="str">
        <f>H109</f>
        <v>——</v>
      </c>
      <c r="E124" s="3124"/>
      <c r="F124" s="3124"/>
      <c r="G124" s="3124"/>
      <c r="H124" s="3124"/>
      <c r="I124" s="3125"/>
    </row>
    <row r="125" spans="1:11" ht="18.75" customHeight="1">
      <c r="A125" s="3083" t="s">
        <v>2268</v>
      </c>
      <c r="B125" s="3083"/>
      <c r="C125" s="3083"/>
      <c r="D125" s="3128" t="e">
        <f>NUMBERSTRING(INT(D124*10000),2)&amp;"元整"</f>
        <v>#VALUE!</v>
      </c>
      <c r="E125" s="3130"/>
      <c r="F125" s="3130"/>
      <c r="G125" s="3130"/>
      <c r="H125" s="3130"/>
      <c r="I125" s="3129"/>
    </row>
    <row r="126" spans="1:11" ht="18.75" customHeight="1">
      <c r="A126" s="3134" t="str">
        <f>IF(项目基本情况!B9="房地产市场价值","",MID(E111,3,LEN(E111)-2))</f>
        <v/>
      </c>
      <c r="B126" s="3134"/>
      <c r="C126" s="3134"/>
      <c r="D126" s="3123" t="str">
        <f>H111</f>
        <v>——</v>
      </c>
      <c r="E126" s="3124"/>
      <c r="F126" s="3124"/>
      <c r="G126" s="3124"/>
      <c r="H126" s="3124"/>
      <c r="I126" s="3125"/>
    </row>
    <row r="127" spans="1:11" ht="18.75" customHeight="1">
      <c r="A127" s="3083" t="s">
        <v>2268</v>
      </c>
      <c r="B127" s="3083"/>
      <c r="C127" s="3083"/>
      <c r="D127" s="3128" t="e">
        <f>NUMBERSTRING(INT(D126*10000),2)&amp;"元整"</f>
        <v>#VALUE!</v>
      </c>
      <c r="E127" s="3130"/>
      <c r="F127" s="3130"/>
      <c r="G127" s="3130"/>
      <c r="H127" s="3130"/>
      <c r="I127" s="3129"/>
    </row>
    <row r="128" spans="1:11" ht="21.75" customHeight="1">
      <c r="A128" s="3131" t="s">
        <v>2269</v>
      </c>
      <c r="B128" s="3131"/>
      <c r="C128" s="3131"/>
      <c r="D128" s="3131"/>
      <c r="E128" s="3131"/>
      <c r="F128" s="3131"/>
      <c r="G128" s="3131"/>
      <c r="H128" s="3131"/>
      <c r="I128" s="3131"/>
    </row>
    <row r="129" spans="1:35" ht="21.75" customHeight="1">
      <c r="A129" s="2520" t="s">
        <v>2270</v>
      </c>
      <c r="B129" s="2521"/>
      <c r="C129" s="2522" t="s">
        <v>2271</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2272</v>
      </c>
      <c r="G135" s="2537"/>
      <c r="H135" s="2537"/>
      <c r="I135" s="2538" t="s">
        <v>2273</v>
      </c>
    </row>
    <row r="136" spans="1:35" ht="21.75" customHeight="1">
      <c r="A136" s="794"/>
      <c r="B136" s="2539" t="s">
        <v>2274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2275</v>
      </c>
    </row>
    <row r="139" spans="1:35" ht="21.75" customHeight="1">
      <c r="A139" s="794"/>
      <c r="B139" s="2539" t="s">
        <v>2276</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2275</v>
      </c>
    </row>
    <row r="142" spans="1:35" ht="21.75" customHeight="1">
      <c r="A142" s="794"/>
      <c r="B142" s="2539"/>
      <c r="C142" s="2540"/>
      <c r="D142" s="2541"/>
      <c r="E142" s="2541"/>
      <c r="F142" s="2335"/>
      <c r="G142" s="794"/>
      <c r="H142" s="794"/>
      <c r="I142" s="794"/>
    </row>
    <row r="143" spans="1:35" s="138" customFormat="1" ht="21.75" customHeight="1">
      <c r="A143" s="794"/>
      <c r="B143" s="2539"/>
      <c r="C143" s="2540"/>
      <c r="D143" s="2541"/>
      <c r="E143" s="2541"/>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780" priority="21" stopIfTrue="1" operator="equal">
      <formula>25</formula>
    </cfRule>
  </conditionalFormatting>
  <conditionalFormatting sqref="C8:C9">
    <cfRule type="cellIs" dxfId="779" priority="19" stopIfTrue="1" operator="equal">
      <formula>15</formula>
    </cfRule>
  </conditionalFormatting>
  <conditionalFormatting sqref="C14:C16">
    <cfRule type="cellIs" dxfId="778" priority="13" stopIfTrue="1" operator="equal">
      <formula>30</formula>
    </cfRule>
  </conditionalFormatting>
  <conditionalFormatting sqref="D5:D7">
    <cfRule type="cellIs" dxfId="777" priority="10" stopIfTrue="1" operator="equal">
      <formula>25</formula>
    </cfRule>
  </conditionalFormatting>
  <conditionalFormatting sqref="D8:D9">
    <cfRule type="cellIs" dxfId="776" priority="9" stopIfTrue="1" operator="equal">
      <formula>15</formula>
    </cfRule>
  </conditionalFormatting>
  <conditionalFormatting sqref="C10:D13">
    <cfRule type="cellIs" dxfId="775" priority="8" stopIfTrue="1" operator="equal">
      <formula>15</formula>
    </cfRule>
  </conditionalFormatting>
  <conditionalFormatting sqref="D14:D16">
    <cfRule type="cellIs" dxfId="774" priority="6" stopIfTrue="1" operator="equal">
      <formula>30</formula>
    </cfRule>
  </conditionalFormatting>
  <conditionalFormatting sqref="C90">
    <cfRule type="expression" dxfId="773" priority="3" stopIfTrue="1">
      <formula>$H$88&lt;&gt;"仅含出让金"</formula>
    </cfRule>
  </conditionalFormatting>
  <conditionalFormatting sqref="C91">
    <cfRule type="expression" dxfId="772" priority="2" stopIfTrue="1">
      <formula>$H$91="由企业提供"</formula>
    </cfRule>
  </conditionalFormatting>
  <conditionalFormatting sqref="E36">
    <cfRule type="expression" dxfId="77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3" max="8" man="1"/>
    <brk id="97" max="8" man="1"/>
    <brk id="142" max="8" man="1"/>
  </rowBreaks>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6" zoomScale="80" zoomScaleNormal="80" workbookViewId="0">
      <selection activeCell="F53" sqref="F53"/>
    </sheetView>
  </sheetViews>
  <sheetFormatPr defaultRowHeight="14.25"/>
  <cols>
    <col min="1" max="1" width="14.375" style="402" customWidth="1"/>
    <col min="2" max="2" width="15.75" style="402" customWidth="1"/>
    <col min="3" max="3" width="26.625" style="402" customWidth="1"/>
    <col min="4" max="4" width="14.125" style="402" customWidth="1"/>
    <col min="5" max="5" width="25.5" style="402" customWidth="1"/>
    <col min="6" max="6" width="12.25" style="402" customWidth="1"/>
    <col min="7" max="7" width="25.125" style="402" customWidth="1"/>
    <col min="8" max="8" width="12.25" style="402" customWidth="1"/>
    <col min="9" max="9" width="24"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2691</v>
      </c>
      <c r="B1" s="394"/>
      <c r="C1" s="395" t="s">
        <v>2692</v>
      </c>
      <c r="D1" s="754"/>
      <c r="E1" s="754"/>
      <c r="F1" s="753" t="s">
        <v>2590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2278</v>
      </c>
      <c r="B2" s="670">
        <f>F66</f>
        <v>100470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2280</v>
      </c>
      <c r="B3" s="608">
        <f>ROUND(IF(D3="",B2*10000/'数据-汇总表'!E3,B2*10000/D3),0)</f>
        <v>6004</v>
      </c>
      <c r="C3" s="246" t="s">
        <v>2693</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2592</v>
      </c>
      <c r="B4" s="401"/>
      <c r="C4" s="3222" t="s">
        <v>2593</v>
      </c>
      <c r="D4" s="3223"/>
      <c r="E4" s="3224" t="s">
        <v>2594</v>
      </c>
      <c r="F4" s="3225"/>
      <c r="G4" s="3222" t="s">
        <v>2595</v>
      </c>
      <c r="H4" s="3223"/>
      <c r="I4" s="3222" t="s">
        <v>2596</v>
      </c>
      <c r="J4" s="3223"/>
      <c r="K4" s="609" t="s">
        <v>2597</v>
      </c>
      <c r="L4" s="1129"/>
      <c r="M4" s="1130"/>
      <c r="N4" s="1130"/>
      <c r="O4" s="1130"/>
      <c r="P4" s="3226" t="s">
        <v>2598</v>
      </c>
      <c r="Q4" s="3227"/>
      <c r="R4" s="3208" t="s">
        <v>2594</v>
      </c>
      <c r="S4" s="3209"/>
      <c r="T4" s="3208" t="s">
        <v>2595</v>
      </c>
      <c r="U4" s="3209"/>
      <c r="V4" s="3234" t="s">
        <v>2596</v>
      </c>
      <c r="W4" s="3234"/>
      <c r="X4" s="1811"/>
      <c r="Y4" s="3208" t="s">
        <v>2598</v>
      </c>
      <c r="Z4" s="3209"/>
      <c r="AA4" s="3203" t="s">
        <v>2594</v>
      </c>
      <c r="AB4" s="3204" t="s">
        <v>2595</v>
      </c>
      <c r="AC4" s="3203" t="s">
        <v>2596</v>
      </c>
    </row>
    <row r="5" spans="1:30" ht="15">
      <c r="A5" s="403"/>
      <c r="B5" s="404"/>
      <c r="C5" s="3214" t="s">
        <v>3111</v>
      </c>
      <c r="D5" s="3215"/>
      <c r="E5" s="3212" t="str">
        <f>土地案例!B6</f>
        <v>合淮路以东、文广路以北</v>
      </c>
      <c r="F5" s="3213"/>
      <c r="G5" s="3218" t="str">
        <f>土地案例!B7</f>
        <v>合淮路以东、枣园路以南</v>
      </c>
      <c r="H5" s="3215"/>
      <c r="I5" s="3218" t="str">
        <f>土地案例!B11</f>
        <v>庐阳区阜阳北路以西、连水路以北</v>
      </c>
      <c r="J5" s="3215"/>
      <c r="K5" s="609"/>
      <c r="L5" s="1129"/>
      <c r="M5" s="1130"/>
      <c r="N5" s="1130"/>
      <c r="O5" s="1130"/>
      <c r="P5" s="3228"/>
      <c r="Q5" s="3229"/>
      <c r="R5" s="3210"/>
      <c r="S5" s="3211"/>
      <c r="T5" s="3210"/>
      <c r="U5" s="3211"/>
      <c r="V5" s="3234"/>
      <c r="W5" s="3234"/>
      <c r="X5" s="1811"/>
      <c r="Y5" s="3210"/>
      <c r="Z5" s="3211"/>
      <c r="AA5" s="3204"/>
      <c r="AB5" s="3204"/>
      <c r="AC5" s="3204"/>
    </row>
    <row r="6" spans="1:30" ht="15.75" thickBot="1">
      <c r="A6" s="405"/>
      <c r="B6" s="406"/>
      <c r="C6" s="3216" t="s">
        <v>2494</v>
      </c>
      <c r="D6" s="3217"/>
      <c r="E6" s="3219" t="s">
        <v>2494</v>
      </c>
      <c r="F6" s="3220"/>
      <c r="G6" s="3216" t="s">
        <v>2494</v>
      </c>
      <c r="H6" s="3217"/>
      <c r="I6" s="3216" t="s">
        <v>2494</v>
      </c>
      <c r="J6" s="3217"/>
      <c r="K6" s="609" t="s">
        <v>2495</v>
      </c>
      <c r="L6" s="1129"/>
      <c r="M6" s="1130"/>
      <c r="N6" s="1130"/>
      <c r="O6" s="1130"/>
      <c r="P6" s="3230"/>
      <c r="Q6" s="3231"/>
      <c r="R6" s="3210"/>
      <c r="S6" s="3211"/>
      <c r="T6" s="3232"/>
      <c r="U6" s="3233"/>
      <c r="V6" s="3234"/>
      <c r="W6" s="3234"/>
      <c r="X6" s="1811"/>
      <c r="Y6" s="3232"/>
      <c r="Z6" s="3233"/>
      <c r="AA6" s="3205"/>
      <c r="AB6" s="3205"/>
      <c r="AC6" s="3205"/>
    </row>
    <row r="7" spans="1:30" s="117" customFormat="1" ht="15.75" thickBot="1">
      <c r="A7" s="407" t="s">
        <v>2496</v>
      </c>
      <c r="B7" s="408"/>
      <c r="C7" s="409">
        <f>'数据-取费表'!B2</f>
        <v>43452</v>
      </c>
      <c r="D7" s="410">
        <v>100</v>
      </c>
      <c r="E7" s="411" t="str">
        <f>土地案例!I6</f>
        <v>2018-01-31</v>
      </c>
      <c r="F7" s="412">
        <f>SUMIF(70:70,YEAR(E7)&amp;"-"&amp;INT((MONTH(E7)+2)/3),71:71)</f>
        <v>98.5</v>
      </c>
      <c r="G7" s="2690" t="str">
        <f>土地案例!I7</f>
        <v>2018-01-31</v>
      </c>
      <c r="H7" s="410">
        <f>SUMIF(70:70,YEAR(G7)&amp;"-"&amp;INT((MONTH(G7)+2)/3),71:71)</f>
        <v>98.5</v>
      </c>
      <c r="I7" s="2690" t="str">
        <f>土地案例!I11</f>
        <v>2017-02-27</v>
      </c>
      <c r="J7" s="410">
        <f>SUMIF(70:70,YEAR(I7)&amp;"-"&amp;INT((MONTH(I7)+2)/3),71:71)</f>
        <v>96.5</v>
      </c>
      <c r="K7" s="610"/>
      <c r="L7" s="1131"/>
      <c r="M7" s="1132"/>
      <c r="N7" s="1132"/>
      <c r="O7" s="1132"/>
      <c r="P7" s="3206" t="s">
        <v>2497</v>
      </c>
      <c r="Q7" s="3235"/>
      <c r="R7" s="769" t="s">
        <v>17</v>
      </c>
      <c r="S7" s="770">
        <f t="shared" ref="S7:S15" si="0">F7</f>
        <v>98.5</v>
      </c>
      <c r="T7" s="769" t="s">
        <v>17</v>
      </c>
      <c r="U7" s="770">
        <f t="shared" ref="U7:U15" si="1">H7</f>
        <v>98.5</v>
      </c>
      <c r="V7" s="769" t="s">
        <v>17</v>
      </c>
      <c r="W7" s="770">
        <f t="shared" ref="W7:W15" si="2">J7</f>
        <v>96.5</v>
      </c>
      <c r="X7" s="771"/>
      <c r="Y7" s="3206" t="s">
        <v>2497</v>
      </c>
      <c r="Z7" s="3207"/>
      <c r="AA7" s="772">
        <f>D7/F7</f>
        <v>1.015228426395939</v>
      </c>
      <c r="AB7" s="772">
        <f>D7/H7</f>
        <v>1.015228426395939</v>
      </c>
      <c r="AC7" s="772">
        <f>D7/J7</f>
        <v>1.0362694300518134</v>
      </c>
    </row>
    <row r="8" spans="1:30" s="117" customFormat="1" ht="15.75" thickBot="1">
      <c r="A8" s="407" t="s">
        <v>2498</v>
      </c>
      <c r="B8" s="408"/>
      <c r="C8" s="413" t="s">
        <v>2499</v>
      </c>
      <c r="D8" s="410">
        <v>100</v>
      </c>
      <c r="E8" s="413" t="s">
        <v>3309</v>
      </c>
      <c r="F8" s="412">
        <f>SUMIF(73:73,E8,74:74)-SUMIF(73:73,C8,74:74)+100</f>
        <v>100</v>
      </c>
      <c r="G8" s="413" t="s">
        <v>3309</v>
      </c>
      <c r="H8" s="410">
        <f>SUMIF(73:73,G8,74:74)-SUMIF(73:73,C8,74:74)+100</f>
        <v>100</v>
      </c>
      <c r="I8" s="413" t="s">
        <v>3309</v>
      </c>
      <c r="J8" s="410">
        <f>SUMIF(73:73,I8,74:74)-SUMIF(73:73,C8,74:74)+100</f>
        <v>100</v>
      </c>
      <c r="K8" s="610"/>
      <c r="L8" s="1131"/>
      <c r="M8" s="1132"/>
      <c r="N8" s="1132"/>
      <c r="O8" s="1132"/>
      <c r="P8" s="3206" t="s">
        <v>2500</v>
      </c>
      <c r="Q8" s="3207"/>
      <c r="R8" s="769" t="s">
        <v>17</v>
      </c>
      <c r="S8" s="770">
        <f t="shared" si="0"/>
        <v>100</v>
      </c>
      <c r="T8" s="769" t="s">
        <v>17</v>
      </c>
      <c r="U8" s="770">
        <f t="shared" si="1"/>
        <v>100</v>
      </c>
      <c r="V8" s="769" t="s">
        <v>17</v>
      </c>
      <c r="W8" s="770">
        <f t="shared" si="2"/>
        <v>100</v>
      </c>
      <c r="X8" s="771"/>
      <c r="Y8" s="3206" t="s">
        <v>2500</v>
      </c>
      <c r="Z8" s="3207"/>
      <c r="AA8" s="772">
        <f t="shared" ref="AA8:AA45" si="3">D8/F8</f>
        <v>1</v>
      </c>
      <c r="AB8" s="772">
        <f t="shared" ref="AB8:AB45" si="4">D8/H8</f>
        <v>1</v>
      </c>
      <c r="AC8" s="772">
        <f t="shared" ref="AC8:AC45" si="5">D8/J8</f>
        <v>1</v>
      </c>
    </row>
    <row r="9" spans="1:30" s="117" customFormat="1">
      <c r="A9" s="414" t="s">
        <v>2501</v>
      </c>
      <c r="B9" s="71" t="s">
        <v>2502</v>
      </c>
      <c r="C9" s="2693" t="s">
        <v>3003</v>
      </c>
      <c r="D9" s="134">
        <v>100</v>
      </c>
      <c r="E9" s="2693" t="s">
        <v>3003</v>
      </c>
      <c r="F9" s="134">
        <f>SUMIF(75:75,E9,76:76)-SUMIF(75:75,C9,76:76)+100</f>
        <v>100</v>
      </c>
      <c r="G9" s="2693" t="s">
        <v>3003</v>
      </c>
      <c r="H9" s="134">
        <f>SUMIF(75:75,G9,76:76)-SUMIF(75:75,C9,76:76)+100</f>
        <v>100</v>
      </c>
      <c r="I9" s="2693" t="s">
        <v>3003</v>
      </c>
      <c r="J9" s="134">
        <f>SUMIF(75:75,I9,76:76)-SUMIF(75:75,C9,76:76)+100</f>
        <v>100</v>
      </c>
      <c r="K9" s="610"/>
      <c r="L9" s="1131"/>
      <c r="M9" s="1132"/>
      <c r="N9" s="1132"/>
      <c r="O9" s="1133"/>
      <c r="P9" s="3221" t="s">
        <v>2503</v>
      </c>
      <c r="Q9" s="1793" t="str">
        <f t="shared" ref="Q9:Q15" si="6">B9</f>
        <v>用途</v>
      </c>
      <c r="R9" s="769" t="s">
        <v>17</v>
      </c>
      <c r="S9" s="770">
        <f t="shared" si="0"/>
        <v>100</v>
      </c>
      <c r="T9" s="769" t="s">
        <v>17</v>
      </c>
      <c r="U9" s="770">
        <f t="shared" si="1"/>
        <v>100</v>
      </c>
      <c r="V9" s="769" t="s">
        <v>17</v>
      </c>
      <c r="W9" s="770">
        <f t="shared" si="2"/>
        <v>100</v>
      </c>
      <c r="X9" s="771"/>
      <c r="Y9" s="3083" t="s">
        <v>2504</v>
      </c>
      <c r="Z9" s="55" t="str">
        <f t="shared" ref="Z9:Z15" si="7">Q9</f>
        <v>用途</v>
      </c>
      <c r="AA9" s="772">
        <f t="shared" si="3"/>
        <v>1</v>
      </c>
      <c r="AB9" s="772">
        <f t="shared" si="4"/>
        <v>1</v>
      </c>
      <c r="AC9" s="772">
        <f t="shared" si="5"/>
        <v>1</v>
      </c>
    </row>
    <row r="10" spans="1:30" s="426" customFormat="1" ht="27">
      <c r="A10" s="420"/>
      <c r="B10" s="421" t="s">
        <v>2505</v>
      </c>
      <c r="C10" s="431">
        <f>项目基本情况!D15</f>
        <v>67.94</v>
      </c>
      <c r="D10" s="135">
        <v>100</v>
      </c>
      <c r="E10" s="464" t="s">
        <v>3112</v>
      </c>
      <c r="F10" s="135">
        <f>ROUND(100/'数据-取费表'!G16,0)</f>
        <v>101</v>
      </c>
      <c r="G10" s="462" t="s">
        <v>3112</v>
      </c>
      <c r="H10" s="135">
        <f>ROUND(100/'数据-取费表'!G16,0)</f>
        <v>101</v>
      </c>
      <c r="I10" s="462" t="s">
        <v>3112</v>
      </c>
      <c r="J10" s="135">
        <f>ROUND(100/'数据-取费表'!G16,0)</f>
        <v>101</v>
      </c>
      <c r="K10" s="671"/>
      <c r="L10" s="1134"/>
      <c r="M10" s="1135"/>
      <c r="N10" s="1135"/>
      <c r="O10" s="1136"/>
      <c r="P10" s="3221"/>
      <c r="Q10" s="1793" t="str">
        <f t="shared" si="6"/>
        <v>土地使用年限（年）</v>
      </c>
      <c r="R10" s="769" t="s">
        <v>17</v>
      </c>
      <c r="S10" s="770">
        <f t="shared" si="0"/>
        <v>101</v>
      </c>
      <c r="T10" s="769" t="s">
        <v>17</v>
      </c>
      <c r="U10" s="770">
        <f t="shared" si="1"/>
        <v>101</v>
      </c>
      <c r="V10" s="769" t="s">
        <v>17</v>
      </c>
      <c r="W10" s="770">
        <f t="shared" si="2"/>
        <v>101</v>
      </c>
      <c r="X10" s="771"/>
      <c r="Y10" s="3083"/>
      <c r="Z10" s="55" t="str">
        <f t="shared" si="7"/>
        <v>土地使用年限（年）</v>
      </c>
      <c r="AA10" s="772">
        <f t="shared" si="3"/>
        <v>0.99009900990099009</v>
      </c>
      <c r="AB10" s="772">
        <f t="shared" si="4"/>
        <v>0.99009900990099009</v>
      </c>
      <c r="AC10" s="772">
        <f t="shared" si="5"/>
        <v>0.99009900990099009</v>
      </c>
    </row>
    <row r="11" spans="1:30" ht="15">
      <c r="A11" s="427"/>
      <c r="B11" s="421" t="s">
        <v>2506</v>
      </c>
      <c r="C11" s="3013">
        <f>'数据-汇总表'!I4</f>
        <v>1.52</v>
      </c>
      <c r="D11" s="135">
        <v>100</v>
      </c>
      <c r="E11" s="428">
        <v>2</v>
      </c>
      <c r="F11" s="135">
        <f>LOOKUP(E11,80:80,81:81)-LOOKUP(C11,80:80,81:81)+100</f>
        <v>97</v>
      </c>
      <c r="G11" s="429">
        <v>1.93</v>
      </c>
      <c r="H11" s="135">
        <f>LOOKUP(G11,80:80,81:81)-LOOKUP(C11,80:80,81:81)+100</f>
        <v>100</v>
      </c>
      <c r="I11" s="428">
        <v>2.5</v>
      </c>
      <c r="J11" s="135">
        <f>LOOKUP(I11,80:80,81:81)-LOOKUP(C11,80:80,81:81)+100</f>
        <v>94</v>
      </c>
      <c r="K11" s="672">
        <v>3</v>
      </c>
      <c r="L11" s="1137"/>
      <c r="M11" s="1130"/>
      <c r="N11" s="1130"/>
      <c r="O11" s="1138"/>
      <c r="P11" s="3221"/>
      <c r="Q11" s="1793" t="str">
        <f t="shared" si="6"/>
        <v>容积率</v>
      </c>
      <c r="R11" s="769" t="s">
        <v>17</v>
      </c>
      <c r="S11" s="770">
        <f t="shared" si="0"/>
        <v>97</v>
      </c>
      <c r="T11" s="769" t="s">
        <v>17</v>
      </c>
      <c r="U11" s="770">
        <f t="shared" si="1"/>
        <v>100</v>
      </c>
      <c r="V11" s="769" t="s">
        <v>17</v>
      </c>
      <c r="W11" s="770">
        <f t="shared" si="2"/>
        <v>94</v>
      </c>
      <c r="X11" s="771"/>
      <c r="Y11" s="3083"/>
      <c r="Z11" s="55" t="str">
        <f t="shared" si="7"/>
        <v>容积率</v>
      </c>
      <c r="AA11" s="772">
        <f t="shared" si="3"/>
        <v>1.0309278350515463</v>
      </c>
      <c r="AB11" s="772">
        <f t="shared" si="4"/>
        <v>1</v>
      </c>
      <c r="AC11" s="772">
        <f t="shared" si="5"/>
        <v>1.0638297872340425</v>
      </c>
    </row>
    <row r="12" spans="1:30" s="117" customFormat="1" ht="15">
      <c r="A12" s="430"/>
      <c r="B12" s="2595"/>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21"/>
      <c r="Q12" s="1793">
        <f t="shared" si="6"/>
        <v>0</v>
      </c>
      <c r="R12" s="769" t="s">
        <v>17</v>
      </c>
      <c r="S12" s="770">
        <f t="shared" si="0"/>
        <v>100</v>
      </c>
      <c r="T12" s="769" t="s">
        <v>17</v>
      </c>
      <c r="U12" s="770">
        <f t="shared" si="1"/>
        <v>100</v>
      </c>
      <c r="V12" s="769" t="s">
        <v>17</v>
      </c>
      <c r="W12" s="770">
        <f t="shared" si="2"/>
        <v>100</v>
      </c>
      <c r="X12" s="771"/>
      <c r="Y12" s="3083"/>
      <c r="Z12" s="55">
        <f t="shared" si="7"/>
        <v>0</v>
      </c>
      <c r="AA12" s="772">
        <f>D12/F12</f>
        <v>1</v>
      </c>
      <c r="AB12" s="772">
        <f>D12/H12</f>
        <v>1</v>
      </c>
      <c r="AC12" s="772">
        <f>D12/J12</f>
        <v>1</v>
      </c>
    </row>
    <row r="13" spans="1:30" ht="15">
      <c r="A13" s="427"/>
      <c r="B13" s="2595"/>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21"/>
      <c r="Q13" s="1793">
        <f t="shared" si="6"/>
        <v>0</v>
      </c>
      <c r="R13" s="769" t="s">
        <v>17</v>
      </c>
      <c r="S13" s="770">
        <f t="shared" si="0"/>
        <v>100</v>
      </c>
      <c r="T13" s="769" t="s">
        <v>17</v>
      </c>
      <c r="U13" s="770">
        <f t="shared" si="1"/>
        <v>100</v>
      </c>
      <c r="V13" s="769" t="s">
        <v>17</v>
      </c>
      <c r="W13" s="770">
        <f t="shared" si="2"/>
        <v>100</v>
      </c>
      <c r="X13" s="771"/>
      <c r="Y13" s="3083"/>
      <c r="Z13" s="55">
        <f t="shared" si="7"/>
        <v>0</v>
      </c>
      <c r="AA13" s="772">
        <f>D13/F13</f>
        <v>1</v>
      </c>
      <c r="AB13" s="772">
        <f>D13/H13</f>
        <v>1</v>
      </c>
      <c r="AC13" s="772">
        <f>D13/J13</f>
        <v>1</v>
      </c>
    </row>
    <row r="14" spans="1:30" ht="15.75" thickBot="1">
      <c r="A14" s="435"/>
      <c r="B14" s="2597"/>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21"/>
      <c r="Q14" s="1793">
        <f t="shared" si="6"/>
        <v>0</v>
      </c>
      <c r="R14" s="769" t="s">
        <v>17</v>
      </c>
      <c r="S14" s="770">
        <f t="shared" si="0"/>
        <v>100</v>
      </c>
      <c r="T14" s="769" t="s">
        <v>17</v>
      </c>
      <c r="U14" s="770">
        <f t="shared" si="1"/>
        <v>100</v>
      </c>
      <c r="V14" s="769" t="s">
        <v>17</v>
      </c>
      <c r="W14" s="770">
        <f t="shared" si="2"/>
        <v>100</v>
      </c>
      <c r="X14" s="771"/>
      <c r="Y14" s="3083"/>
      <c r="Z14" s="55">
        <f t="shared" si="7"/>
        <v>0</v>
      </c>
      <c r="AA14" s="772">
        <f>D14/F14</f>
        <v>1</v>
      </c>
      <c r="AB14" s="772">
        <f>D14/H14</f>
        <v>1</v>
      </c>
      <c r="AC14" s="772">
        <f>D14/J14</f>
        <v>1</v>
      </c>
    </row>
    <row r="15" spans="1:30" ht="72.75" customHeight="1">
      <c r="A15" s="439" t="s">
        <v>2507</v>
      </c>
      <c r="B15" s="69" t="s">
        <v>2043</v>
      </c>
      <c r="C15" s="2598" t="str">
        <f>估价对象房地状况!C15</f>
        <v>估价对象周边居住用地比例较好、居住小区规模和社区发展完善程度较好，周边有碧桂园时代倾城、江山庐州印等，综合评价居住社区成熟度较好</v>
      </c>
      <c r="D15" s="440">
        <v>100</v>
      </c>
      <c r="E15" s="3001" t="s">
        <v>3311</v>
      </c>
      <c r="F15" s="440">
        <f>SUMIF(88:88,E16,89:89)-SUMIF(88:88,C16,89:89)+100</f>
        <v>100</v>
      </c>
      <c r="G15" s="3001" t="s">
        <v>3311</v>
      </c>
      <c r="H15" s="440">
        <f>SUMIF(88:88,G16,89:89)-SUMIF(88:88,C16,89:89)+100</f>
        <v>100</v>
      </c>
      <c r="I15" s="3003" t="s">
        <v>3318</v>
      </c>
      <c r="J15" s="440">
        <f>SUMIF(88:88,I16,89:89)-SUMIF(88:88,C16,89:89)+100</f>
        <v>97</v>
      </c>
      <c r="K15" s="672">
        <v>3</v>
      </c>
      <c r="L15" s="1139"/>
      <c r="M15" s="1130"/>
      <c r="N15" s="1130"/>
      <c r="O15" s="1138"/>
      <c r="P15" s="3236" t="s">
        <v>2508</v>
      </c>
      <c r="Q15" s="1808" t="str">
        <f t="shared" si="6"/>
        <v>居住社区成熟度</v>
      </c>
      <c r="R15" s="773" t="s">
        <v>17</v>
      </c>
      <c r="S15" s="774">
        <f t="shared" si="0"/>
        <v>100</v>
      </c>
      <c r="T15" s="773" t="s">
        <v>17</v>
      </c>
      <c r="U15" s="774">
        <f t="shared" si="1"/>
        <v>100</v>
      </c>
      <c r="V15" s="773" t="s">
        <v>17</v>
      </c>
      <c r="W15" s="774">
        <f t="shared" si="2"/>
        <v>97</v>
      </c>
      <c r="X15" s="1811"/>
      <c r="Y15" s="3236" t="s">
        <v>2508</v>
      </c>
      <c r="Z15" s="1812" t="str">
        <f t="shared" si="7"/>
        <v>居住社区成熟度</v>
      </c>
      <c r="AA15" s="1809">
        <f t="shared" si="3"/>
        <v>1</v>
      </c>
      <c r="AB15" s="1809">
        <f t="shared" si="4"/>
        <v>1</v>
      </c>
      <c r="AC15" s="1809">
        <f t="shared" si="5"/>
        <v>1.0309278350515463</v>
      </c>
    </row>
    <row r="16" spans="1:30" ht="15">
      <c r="A16" s="427"/>
      <c r="B16" s="445"/>
      <c r="C16" s="446" t="s">
        <v>3093</v>
      </c>
      <c r="D16" s="447"/>
      <c r="E16" s="2600" t="s">
        <v>3093</v>
      </c>
      <c r="F16" s="447"/>
      <c r="G16" s="2600" t="s">
        <v>3093</v>
      </c>
      <c r="H16" s="449"/>
      <c r="I16" s="2599" t="s">
        <v>3095</v>
      </c>
      <c r="J16" s="447"/>
      <c r="K16" s="671"/>
      <c r="L16" s="1139"/>
      <c r="M16" s="1130"/>
      <c r="N16" s="1130"/>
      <c r="O16" s="1138"/>
      <c r="P16" s="3237"/>
      <c r="Q16" s="1808"/>
      <c r="R16" s="773"/>
      <c r="S16" s="774"/>
      <c r="T16" s="773"/>
      <c r="U16" s="774"/>
      <c r="V16" s="773"/>
      <c r="W16" s="774"/>
      <c r="X16" s="1811"/>
      <c r="Y16" s="3237"/>
      <c r="Z16" s="1812"/>
      <c r="AA16" s="1809">
        <v>1</v>
      </c>
      <c r="AB16" s="1809">
        <v>1</v>
      </c>
      <c r="AC16" s="1809">
        <v>1</v>
      </c>
    </row>
    <row r="17" spans="1:29" ht="15">
      <c r="A17" s="427"/>
      <c r="B17" s="450" t="s">
        <v>2600</v>
      </c>
      <c r="C17" s="2658" t="str">
        <f>估价对象房地状况!C16</f>
        <v>——</v>
      </c>
      <c r="D17" s="449">
        <v>100</v>
      </c>
      <c r="E17" s="451" t="s">
        <v>70</v>
      </c>
      <c r="F17" s="449">
        <f>SUMIF(90:90,E18,91:91)-SUMIF(90:90,C18,91:91)+100</f>
        <v>100</v>
      </c>
      <c r="G17" s="451" t="s">
        <v>70</v>
      </c>
      <c r="H17" s="454">
        <f>SUMIF(90:90,G18,91:91)-SUMIF(90:90,C18,91:91)+100</f>
        <v>100</v>
      </c>
      <c r="I17" s="453" t="s">
        <v>70</v>
      </c>
      <c r="J17" s="454">
        <f>SUMIF(90:90,I18,91:91)-SUMIF(90:90,C18,91:91)+100</f>
        <v>100</v>
      </c>
      <c r="K17" s="672">
        <v>2</v>
      </c>
      <c r="L17" s="1139"/>
      <c r="M17" s="1130"/>
      <c r="N17" s="1130"/>
      <c r="O17" s="1138"/>
      <c r="P17" s="3237"/>
      <c r="Q17" s="1808" t="str">
        <f>B17</f>
        <v>商业繁华度</v>
      </c>
      <c r="R17" s="773" t="s">
        <v>17</v>
      </c>
      <c r="S17" s="774">
        <f>F17</f>
        <v>100</v>
      </c>
      <c r="T17" s="773" t="s">
        <v>17</v>
      </c>
      <c r="U17" s="774">
        <f>H17</f>
        <v>100</v>
      </c>
      <c r="V17" s="773" t="s">
        <v>17</v>
      </c>
      <c r="W17" s="774">
        <f>J17</f>
        <v>100</v>
      </c>
      <c r="X17" s="1811"/>
      <c r="Y17" s="3237"/>
      <c r="Z17" s="1812" t="str">
        <f>Q17</f>
        <v>商业繁华度</v>
      </c>
      <c r="AA17" s="1809">
        <f t="shared" si="3"/>
        <v>1</v>
      </c>
      <c r="AB17" s="1809">
        <f t="shared" si="4"/>
        <v>1</v>
      </c>
      <c r="AC17" s="1809">
        <f t="shared" si="5"/>
        <v>1</v>
      </c>
    </row>
    <row r="18" spans="1:29" ht="15">
      <c r="A18" s="427"/>
      <c r="B18" s="455"/>
      <c r="C18" s="2603" t="s">
        <v>3090</v>
      </c>
      <c r="D18" s="449"/>
      <c r="E18" s="2605" t="s">
        <v>3090</v>
      </c>
      <c r="F18" s="449"/>
      <c r="G18" s="2605" t="s">
        <v>3090</v>
      </c>
      <c r="H18" s="447"/>
      <c r="I18" s="2604" t="s">
        <v>3090</v>
      </c>
      <c r="J18" s="447"/>
      <c r="K18" s="671"/>
      <c r="L18" s="1139"/>
      <c r="M18" s="1130"/>
      <c r="N18" s="1130"/>
      <c r="O18" s="1138"/>
      <c r="P18" s="3237"/>
      <c r="Q18" s="1808"/>
      <c r="R18" s="773"/>
      <c r="S18" s="774"/>
      <c r="T18" s="773"/>
      <c r="U18" s="774"/>
      <c r="V18" s="773"/>
      <c r="W18" s="774"/>
      <c r="X18" s="1811"/>
      <c r="Y18" s="3237"/>
      <c r="Z18" s="1812"/>
      <c r="AA18" s="1809">
        <v>1</v>
      </c>
      <c r="AB18" s="1809">
        <v>1</v>
      </c>
      <c r="AC18" s="1809">
        <v>1</v>
      </c>
    </row>
    <row r="19" spans="1:29" ht="15">
      <c r="A19" s="427"/>
      <c r="B19" s="450" t="s">
        <v>2634</v>
      </c>
      <c r="C19" s="2658" t="str">
        <f>估价对象房地状况!C17</f>
        <v>——</v>
      </c>
      <c r="D19" s="454">
        <v>100</v>
      </c>
      <c r="E19" s="456" t="s">
        <v>70</v>
      </c>
      <c r="F19" s="454">
        <f>SUMIF(92:92,E20,93:93)-SUMIF(92:92,C20,93:93)+100</f>
        <v>100</v>
      </c>
      <c r="G19" s="456" t="s">
        <v>70</v>
      </c>
      <c r="H19" s="449">
        <f>SUMIF(92:92,G20,93:93)-SUMIF(92:92,C20,93:93)+100</f>
        <v>100</v>
      </c>
      <c r="I19" s="458" t="s">
        <v>70</v>
      </c>
      <c r="J19" s="449">
        <f>SUMIF(92:92,I20,93:93)-SUMIF(92:92,C20,93:93)+100</f>
        <v>100</v>
      </c>
      <c r="K19" s="672">
        <v>2</v>
      </c>
      <c r="L19" s="1139"/>
      <c r="M19" s="1130"/>
      <c r="N19" s="1130"/>
      <c r="O19" s="1138"/>
      <c r="P19" s="3237"/>
      <c r="Q19" s="1808" t="str">
        <f>B19</f>
        <v>办公集聚程度</v>
      </c>
      <c r="R19" s="773" t="s">
        <v>17</v>
      </c>
      <c r="S19" s="774">
        <f>F19</f>
        <v>100</v>
      </c>
      <c r="T19" s="773" t="s">
        <v>17</v>
      </c>
      <c r="U19" s="774">
        <f>H19</f>
        <v>100</v>
      </c>
      <c r="V19" s="773" t="s">
        <v>17</v>
      </c>
      <c r="W19" s="774">
        <f>J19</f>
        <v>100</v>
      </c>
      <c r="X19" s="1811"/>
      <c r="Y19" s="3237"/>
      <c r="Z19" s="1812" t="str">
        <f>Q19</f>
        <v>办公集聚程度</v>
      </c>
      <c r="AA19" s="1809">
        <f t="shared" si="3"/>
        <v>1</v>
      </c>
      <c r="AB19" s="1809">
        <f t="shared" si="4"/>
        <v>1</v>
      </c>
      <c r="AC19" s="1809">
        <f t="shared" si="5"/>
        <v>1</v>
      </c>
    </row>
    <row r="20" spans="1:29" ht="15">
      <c r="A20" s="427"/>
      <c r="B20" s="455"/>
      <c r="C20" s="446" t="s">
        <v>3092</v>
      </c>
      <c r="D20" s="447"/>
      <c r="E20" s="2600" t="s">
        <v>3092</v>
      </c>
      <c r="F20" s="447"/>
      <c r="G20" s="2600" t="s">
        <v>3092</v>
      </c>
      <c r="H20" s="447"/>
      <c r="I20" s="2599" t="s">
        <v>3092</v>
      </c>
      <c r="J20" s="447"/>
      <c r="K20" s="671"/>
      <c r="L20" s="1139"/>
      <c r="M20" s="1130"/>
      <c r="N20" s="1130"/>
      <c r="O20" s="1138"/>
      <c r="P20" s="3237"/>
      <c r="Q20" s="1808"/>
      <c r="R20" s="773"/>
      <c r="S20" s="774"/>
      <c r="T20" s="773"/>
      <c r="U20" s="774"/>
      <c r="V20" s="773"/>
      <c r="W20" s="774"/>
      <c r="X20" s="1811"/>
      <c r="Y20" s="3237"/>
      <c r="Z20" s="1812"/>
      <c r="AA20" s="1809">
        <v>1</v>
      </c>
      <c r="AB20" s="1809">
        <v>1</v>
      </c>
      <c r="AC20" s="1809">
        <v>1</v>
      </c>
    </row>
    <row r="21" spans="1:29" ht="70.5" customHeight="1">
      <c r="A21" s="427"/>
      <c r="B21" s="450" t="s">
        <v>2656</v>
      </c>
      <c r="C21" s="2602" t="str">
        <f>估价对象房地状况!C18</f>
        <v>估价对象周边道路状况一般、公共交通通达情况一般、停车便捷程度较好，周边有143、300路等公交线路，综合评价交通便捷度一般</v>
      </c>
      <c r="D21" s="449">
        <v>100</v>
      </c>
      <c r="E21" s="451" t="s">
        <v>3382</v>
      </c>
      <c r="F21" s="454">
        <f>SUMIF(94:94,E22,95:95)-SUMIF(94:94,C22,95:95)+100</f>
        <v>100</v>
      </c>
      <c r="G21" s="451" t="s">
        <v>3382</v>
      </c>
      <c r="H21" s="449">
        <f>SUMIF(94:94,G22,95:95)-SUMIF(94:94,C22,95:95)+100</f>
        <v>100</v>
      </c>
      <c r="I21" s="453" t="s">
        <v>3384</v>
      </c>
      <c r="J21" s="449">
        <f>SUMIF(94:94,I22,95:95)-SUMIF(94:94,C22,95:95)+100</f>
        <v>100</v>
      </c>
      <c r="K21" s="672">
        <v>2</v>
      </c>
      <c r="L21" s="1139"/>
      <c r="M21" s="1130"/>
      <c r="N21" s="1130"/>
      <c r="O21" s="1138"/>
      <c r="P21" s="3237"/>
      <c r="Q21" s="1808" t="str">
        <f>B21</f>
        <v>交通便捷度</v>
      </c>
      <c r="R21" s="773" t="s">
        <v>17</v>
      </c>
      <c r="S21" s="774">
        <f>F21</f>
        <v>100</v>
      </c>
      <c r="T21" s="773" t="s">
        <v>17</v>
      </c>
      <c r="U21" s="774">
        <f>H21</f>
        <v>100</v>
      </c>
      <c r="V21" s="773" t="s">
        <v>17</v>
      </c>
      <c r="W21" s="774">
        <f>J21</f>
        <v>100</v>
      </c>
      <c r="X21" s="1811"/>
      <c r="Y21" s="3237"/>
      <c r="Z21" s="1812" t="str">
        <f>Q21</f>
        <v>交通便捷度</v>
      </c>
      <c r="AA21" s="1809">
        <f t="shared" si="3"/>
        <v>1</v>
      </c>
      <c r="AB21" s="1809">
        <f t="shared" si="4"/>
        <v>1</v>
      </c>
      <c r="AC21" s="1809">
        <f t="shared" si="5"/>
        <v>1</v>
      </c>
    </row>
    <row r="22" spans="1:29" ht="15">
      <c r="A22" s="427"/>
      <c r="B22" s="1383"/>
      <c r="C22" s="446" t="s">
        <v>3095</v>
      </c>
      <c r="D22" s="449"/>
      <c r="E22" s="446" t="s">
        <v>3095</v>
      </c>
      <c r="F22" s="447"/>
      <c r="G22" s="446" t="s">
        <v>3095</v>
      </c>
      <c r="H22" s="447"/>
      <c r="I22" s="446" t="s">
        <v>3095</v>
      </c>
      <c r="J22" s="447"/>
      <c r="K22" s="671"/>
      <c r="L22" s="1139"/>
      <c r="M22" s="1130"/>
      <c r="N22" s="1130"/>
      <c r="O22" s="1138"/>
      <c r="P22" s="3237"/>
      <c r="Q22" s="1808"/>
      <c r="R22" s="773"/>
      <c r="S22" s="774"/>
      <c r="T22" s="773"/>
      <c r="U22" s="774"/>
      <c r="V22" s="773"/>
      <c r="W22" s="774"/>
      <c r="X22" s="1811"/>
      <c r="Y22" s="3237"/>
      <c r="Z22" s="1812"/>
      <c r="AA22" s="1809">
        <v>1</v>
      </c>
      <c r="AB22" s="1809">
        <v>1</v>
      </c>
      <c r="AC22" s="1809">
        <v>1</v>
      </c>
    </row>
    <row r="23" spans="1:29" ht="15">
      <c r="A23" s="403"/>
      <c r="B23" s="450" t="s">
        <v>2694</v>
      </c>
      <c r="C23" s="1388" t="str">
        <f>估价对象房地状况!C19</f>
        <v>较一致</v>
      </c>
      <c r="D23" s="454">
        <v>100</v>
      </c>
      <c r="E23" s="451" t="s">
        <v>3079</v>
      </c>
      <c r="F23" s="454">
        <f>SUMIF(96:96,E24,97:97)-SUMIF(96:96,C24,97:97)+100</f>
        <v>100</v>
      </c>
      <c r="G23" s="453" t="s">
        <v>3079</v>
      </c>
      <c r="H23" s="454">
        <f>SUMIF(96:96,G24,97:97)-SUMIF(96:96,C24,97:97)+100</f>
        <v>100</v>
      </c>
      <c r="I23" s="453" t="s">
        <v>3079</v>
      </c>
      <c r="J23" s="454">
        <f>SUMIF(96:96,I24,97:97)-SUMIF(96:96,C24,97:97)+100</f>
        <v>100</v>
      </c>
      <c r="K23" s="672">
        <v>2</v>
      </c>
      <c r="L23" s="1139"/>
      <c r="M23" s="1130"/>
      <c r="N23" s="1130"/>
      <c r="O23" s="1138"/>
      <c r="P23" s="3237"/>
      <c r="Q23" s="1808" t="str">
        <f t="shared" ref="Q23:Q37" si="8">B23</f>
        <v>区域土地利用方向</v>
      </c>
      <c r="R23" s="773" t="s">
        <v>17</v>
      </c>
      <c r="S23" s="774">
        <f>F23</f>
        <v>100</v>
      </c>
      <c r="T23" s="773" t="s">
        <v>17</v>
      </c>
      <c r="U23" s="774">
        <f>H23</f>
        <v>100</v>
      </c>
      <c r="V23" s="773" t="s">
        <v>17</v>
      </c>
      <c r="W23" s="774">
        <f>J23</f>
        <v>100</v>
      </c>
      <c r="X23" s="1811"/>
      <c r="Y23" s="3237"/>
      <c r="Z23" s="1812" t="str">
        <f>Q23</f>
        <v>区域土地利用方向</v>
      </c>
      <c r="AA23" s="1809">
        <f t="shared" si="3"/>
        <v>1</v>
      </c>
      <c r="AB23" s="1809">
        <f t="shared" si="4"/>
        <v>1</v>
      </c>
      <c r="AC23" s="1809">
        <f t="shared" si="5"/>
        <v>1</v>
      </c>
    </row>
    <row r="24" spans="1:29" ht="15">
      <c r="A24" s="403"/>
      <c r="B24" s="455"/>
      <c r="C24" s="615" t="s">
        <v>3093</v>
      </c>
      <c r="D24" s="447"/>
      <c r="E24" s="2600" t="s">
        <v>3093</v>
      </c>
      <c r="F24" s="447"/>
      <c r="G24" s="2599" t="s">
        <v>3093</v>
      </c>
      <c r="H24" s="447"/>
      <c r="I24" s="2599" t="s">
        <v>3093</v>
      </c>
      <c r="J24" s="447"/>
      <c r="K24" s="808"/>
      <c r="L24" s="1139"/>
      <c r="M24" s="1130"/>
      <c r="N24" s="1130"/>
      <c r="O24" s="1138"/>
      <c r="P24" s="3237"/>
      <c r="Q24" s="1808"/>
      <c r="R24" s="773"/>
      <c r="S24" s="774"/>
      <c r="T24" s="773"/>
      <c r="U24" s="774"/>
      <c r="V24" s="773"/>
      <c r="W24" s="774"/>
      <c r="X24" s="1811"/>
      <c r="Y24" s="3237"/>
      <c r="Z24" s="1812"/>
      <c r="AA24" s="1809"/>
      <c r="AB24" s="1809"/>
      <c r="AC24" s="1809"/>
    </row>
    <row r="25" spans="1:29" ht="64.5" customHeight="1">
      <c r="A25" s="403"/>
      <c r="B25" s="1383" t="s">
        <v>2695</v>
      </c>
      <c r="C25" s="2658" t="str">
        <f>估价对象房地状况!C20</f>
        <v>区域自然环境及人文环境好；周边有合肥半岛花博园、大房郢水库、合肥经济技术职业学院等，综合评价环境状况好</v>
      </c>
      <c r="D25" s="449">
        <v>100</v>
      </c>
      <c r="E25" s="3002" t="s">
        <v>3313</v>
      </c>
      <c r="F25" s="449">
        <f>SUMIF(98:98,E26,99:99)-SUMIF(98:98,C26,99:99)+100</f>
        <v>95</v>
      </c>
      <c r="G25" s="3002" t="s">
        <v>3313</v>
      </c>
      <c r="H25" s="449">
        <f>SUMIF(98:98,G26,99:99)-SUMIF(98:98,C26,99:99)+100</f>
        <v>95</v>
      </c>
      <c r="I25" s="3002" t="s">
        <v>3316</v>
      </c>
      <c r="J25" s="449">
        <f>SUMIF(98:98,I26,99:99)-SUMIF(98:98,C26,99:99)+100</f>
        <v>95</v>
      </c>
      <c r="K25" s="672">
        <v>5</v>
      </c>
      <c r="L25" s="1139"/>
      <c r="M25" s="1130"/>
      <c r="N25" s="1130"/>
      <c r="O25" s="1138"/>
      <c r="P25" s="3237"/>
      <c r="Q25" s="1808" t="str">
        <f t="shared" si="8"/>
        <v>自然及人文环境状况</v>
      </c>
      <c r="R25" s="773" t="s">
        <v>17</v>
      </c>
      <c r="S25" s="774">
        <f>F25</f>
        <v>95</v>
      </c>
      <c r="T25" s="773" t="s">
        <v>17</v>
      </c>
      <c r="U25" s="774">
        <f>H25</f>
        <v>95</v>
      </c>
      <c r="V25" s="773" t="s">
        <v>17</v>
      </c>
      <c r="W25" s="774">
        <f>J25</f>
        <v>95</v>
      </c>
      <c r="X25" s="1811"/>
      <c r="Y25" s="3237"/>
      <c r="Z25" s="1812" t="str">
        <f>Q25</f>
        <v>自然及人文环境状况</v>
      </c>
      <c r="AA25" s="1809">
        <f t="shared" si="3"/>
        <v>1.0526315789473684</v>
      </c>
      <c r="AB25" s="1809">
        <f t="shared" si="4"/>
        <v>1.0526315789473684</v>
      </c>
      <c r="AC25" s="1809">
        <f t="shared" si="5"/>
        <v>1.0526315789473684</v>
      </c>
    </row>
    <row r="26" spans="1:29" ht="15">
      <c r="A26" s="403"/>
      <c r="B26" s="455"/>
      <c r="C26" s="446" t="s">
        <v>3094</v>
      </c>
      <c r="D26" s="447"/>
      <c r="E26" s="2606" t="s">
        <v>3093</v>
      </c>
      <c r="F26" s="447"/>
      <c r="G26" s="2606" t="s">
        <v>3093</v>
      </c>
      <c r="H26" s="447"/>
      <c r="I26" s="446" t="s">
        <v>3093</v>
      </c>
      <c r="J26" s="447"/>
      <c r="K26" s="671"/>
      <c r="L26" s="1139"/>
      <c r="M26" s="1130"/>
      <c r="N26" s="1130"/>
      <c r="O26" s="1138"/>
      <c r="P26" s="3237"/>
      <c r="Q26" s="1808"/>
      <c r="R26" s="773"/>
      <c r="S26" s="774"/>
      <c r="T26" s="773"/>
      <c r="U26" s="774"/>
      <c r="V26" s="773"/>
      <c r="W26" s="774"/>
      <c r="X26" s="1811"/>
      <c r="Y26" s="3237"/>
      <c r="Z26" s="1812"/>
      <c r="AA26" s="1809">
        <v>1</v>
      </c>
      <c r="AB26" s="1809">
        <v>1</v>
      </c>
      <c r="AC26" s="1809">
        <v>1</v>
      </c>
    </row>
    <row r="27" spans="1:29" s="117" customFormat="1" ht="36.75" customHeight="1">
      <c r="A27" s="648"/>
      <c r="B27" s="1383" t="s">
        <v>2601</v>
      </c>
      <c r="C27" s="2602" t="str">
        <f>估价对象房地状况!C21</f>
        <v>估价对象所在区域公共配套设施齐备情况一般</v>
      </c>
      <c r="D27" s="449">
        <v>100</v>
      </c>
      <c r="E27" s="451" t="s">
        <v>3085</v>
      </c>
      <c r="F27" s="449">
        <f>SUMIF(100:100,E28,101:101)-SUMIF(100:100,C28,101:101)+100</f>
        <v>100</v>
      </c>
      <c r="G27" s="451" t="s">
        <v>3085</v>
      </c>
      <c r="H27" s="449">
        <f>SUMIF(100:100,G28,101:101)-SUMIF(100:100,C28,101:101)+100</f>
        <v>100</v>
      </c>
      <c r="I27" s="453" t="s">
        <v>3085</v>
      </c>
      <c r="J27" s="449">
        <f>SUMIF(100:100,I28,101:101)-SUMIF(100:100,C28,101:101)+100</f>
        <v>100</v>
      </c>
      <c r="K27" s="672">
        <v>2</v>
      </c>
      <c r="L27" s="1131"/>
      <c r="M27" s="1132"/>
      <c r="N27" s="1132"/>
      <c r="O27" s="1133"/>
      <c r="P27" s="3237"/>
      <c r="Q27" s="1793" t="str">
        <f t="shared" si="8"/>
        <v>公共配套设施</v>
      </c>
      <c r="R27" s="769" t="s">
        <v>17</v>
      </c>
      <c r="S27" s="770">
        <f>F27</f>
        <v>100</v>
      </c>
      <c r="T27" s="769" t="s">
        <v>17</v>
      </c>
      <c r="U27" s="770">
        <f>H27</f>
        <v>100</v>
      </c>
      <c r="V27" s="769" t="s">
        <v>17</v>
      </c>
      <c r="W27" s="770">
        <f>J27</f>
        <v>100</v>
      </c>
      <c r="X27" s="771"/>
      <c r="Y27" s="3237"/>
      <c r="Z27" s="55" t="str">
        <f>Q27</f>
        <v>公共配套设施</v>
      </c>
      <c r="AA27" s="1809">
        <f>D27/F27</f>
        <v>1</v>
      </c>
      <c r="AB27" s="1809">
        <f>D27/H27</f>
        <v>1</v>
      </c>
      <c r="AC27" s="1809">
        <f>D27/J27</f>
        <v>1</v>
      </c>
    </row>
    <row r="28" spans="1:29" s="117" customFormat="1" ht="15">
      <c r="A28" s="648"/>
      <c r="B28" s="455"/>
      <c r="C28" s="2694" t="s">
        <v>3095</v>
      </c>
      <c r="D28" s="447"/>
      <c r="E28" s="2606" t="s">
        <v>3095</v>
      </c>
      <c r="F28" s="447"/>
      <c r="G28" s="2606" t="s">
        <v>3095</v>
      </c>
      <c r="H28" s="447"/>
      <c r="I28" s="446" t="s">
        <v>3095</v>
      </c>
      <c r="J28" s="447"/>
      <c r="K28" s="671"/>
      <c r="L28" s="1131"/>
      <c r="M28" s="1132"/>
      <c r="N28" s="1132"/>
      <c r="O28" s="1133"/>
      <c r="P28" s="3237"/>
      <c r="Q28" s="1793"/>
      <c r="R28" s="769"/>
      <c r="S28" s="770"/>
      <c r="T28" s="769"/>
      <c r="U28" s="770"/>
      <c r="V28" s="769"/>
      <c r="W28" s="770"/>
      <c r="X28" s="771"/>
      <c r="Y28" s="3237"/>
      <c r="Z28" s="55"/>
      <c r="AA28" s="1809">
        <v>1</v>
      </c>
      <c r="AB28" s="1809">
        <v>1</v>
      </c>
      <c r="AC28" s="1809">
        <v>1</v>
      </c>
    </row>
    <row r="29" spans="1:29" s="117" customFormat="1" ht="34.5" customHeight="1">
      <c r="A29" s="648"/>
      <c r="B29" s="1383" t="s">
        <v>2602</v>
      </c>
      <c r="C29" s="2602" t="str">
        <f>估价对象房地状况!C22</f>
        <v>估价对象所在区域基础设施水平较好</v>
      </c>
      <c r="D29" s="449">
        <v>100</v>
      </c>
      <c r="E29" s="451" t="s">
        <v>3083</v>
      </c>
      <c r="F29" s="449">
        <f>SUMIF(102:102,E30,103:103)-SUMIF(102:102,C30,103:103)+100</f>
        <v>100</v>
      </c>
      <c r="G29" s="451" t="s">
        <v>3083</v>
      </c>
      <c r="H29" s="449">
        <f>SUMIF(102:102,G30,103:103)-SUMIF(102:102,C30,103:103)+100</f>
        <v>100</v>
      </c>
      <c r="I29" s="453" t="s">
        <v>3083</v>
      </c>
      <c r="J29" s="449">
        <f>SUMIF(102:102,I30,103:103)-SUMIF(102:102,C30,103:103)+100</f>
        <v>100</v>
      </c>
      <c r="K29" s="672">
        <v>2</v>
      </c>
      <c r="L29" s="1131"/>
      <c r="M29" s="1132"/>
      <c r="N29" s="1132"/>
      <c r="O29" s="1133"/>
      <c r="P29" s="3237"/>
      <c r="Q29" s="1793" t="str">
        <f t="shared" ref="Q29" si="9">B29</f>
        <v>基础设施水平</v>
      </c>
      <c r="R29" s="769" t="s">
        <v>17</v>
      </c>
      <c r="S29" s="770">
        <f>F29</f>
        <v>100</v>
      </c>
      <c r="T29" s="769" t="s">
        <v>17</v>
      </c>
      <c r="U29" s="770">
        <f>H29</f>
        <v>100</v>
      </c>
      <c r="V29" s="769" t="s">
        <v>17</v>
      </c>
      <c r="W29" s="770">
        <f>J29</f>
        <v>100</v>
      </c>
      <c r="X29" s="771"/>
      <c r="Y29" s="3237"/>
      <c r="Z29" s="55" t="str">
        <f>Q29</f>
        <v>基础设施水平</v>
      </c>
      <c r="AA29" s="1809">
        <f>D29/F29</f>
        <v>1</v>
      </c>
      <c r="AB29" s="1809">
        <f>D29/H29</f>
        <v>1</v>
      </c>
      <c r="AC29" s="1809">
        <f>D29/J29</f>
        <v>1</v>
      </c>
    </row>
    <row r="30" spans="1:29" s="117" customFormat="1" ht="15">
      <c r="A30" s="648"/>
      <c r="B30" s="455"/>
      <c r="C30" s="2694" t="s">
        <v>3096</v>
      </c>
      <c r="D30" s="447"/>
      <c r="E30" s="2695" t="s">
        <v>3096</v>
      </c>
      <c r="F30" s="447"/>
      <c r="G30" s="2695" t="s">
        <v>3096</v>
      </c>
      <c r="H30" s="447"/>
      <c r="I30" s="2695" t="s">
        <v>3096</v>
      </c>
      <c r="J30" s="447"/>
      <c r="K30" s="671"/>
      <c r="L30" s="1131"/>
      <c r="M30" s="1132"/>
      <c r="N30" s="1132"/>
      <c r="O30" s="1133"/>
      <c r="P30" s="3237"/>
      <c r="Q30" s="1793"/>
      <c r="R30" s="769"/>
      <c r="S30" s="770"/>
      <c r="T30" s="769"/>
      <c r="U30" s="770"/>
      <c r="V30" s="769"/>
      <c r="W30" s="770"/>
      <c r="X30" s="771"/>
      <c r="Y30" s="3237"/>
      <c r="Z30" s="55"/>
      <c r="AA30" s="1809">
        <v>1</v>
      </c>
      <c r="AB30" s="1809">
        <v>1</v>
      </c>
      <c r="AC30" s="1809">
        <v>1</v>
      </c>
    </row>
    <row r="31" spans="1:29" ht="15">
      <c r="A31" s="427"/>
      <c r="B31" s="455" t="s">
        <v>2603</v>
      </c>
      <c r="C31" s="615" t="s">
        <v>3081</v>
      </c>
      <c r="D31" s="434">
        <v>100</v>
      </c>
      <c r="E31" s="633" t="s">
        <v>3081</v>
      </c>
      <c r="F31" s="434">
        <f>SUMIF(104:104,E31,105:105)-SUMIF(104:104,C31,105:105)+100</f>
        <v>100</v>
      </c>
      <c r="G31" s="633" t="s">
        <v>3081</v>
      </c>
      <c r="H31" s="434">
        <f>SUMIF(104:104,G31,105:105)-SUMIF(104:104,C31,105:105)+100</f>
        <v>100</v>
      </c>
      <c r="I31" s="633" t="s">
        <v>3081</v>
      </c>
      <c r="J31" s="434">
        <f>SUMIF(104:104,I31,105:105)-SUMIF(104:104,C31,105:105)+100</f>
        <v>100</v>
      </c>
      <c r="K31" s="672">
        <v>2</v>
      </c>
      <c r="L31" s="1139"/>
      <c r="M31" s="1130"/>
      <c r="N31" s="1130"/>
      <c r="O31" s="1138"/>
      <c r="P31" s="3237"/>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37"/>
      <c r="Z31" s="1812" t="str">
        <f t="shared" ref="Z31:Z45" si="13">Q31</f>
        <v>临街状况</v>
      </c>
      <c r="AA31" s="1809">
        <f t="shared" si="3"/>
        <v>1</v>
      </c>
      <c r="AB31" s="1809">
        <f t="shared" si="4"/>
        <v>1</v>
      </c>
      <c r="AC31" s="1809">
        <f t="shared" si="5"/>
        <v>1</v>
      </c>
    </row>
    <row r="32" spans="1:29" ht="21" customHeight="1">
      <c r="A32" s="427"/>
      <c r="B32" s="1383" t="s">
        <v>2638</v>
      </c>
      <c r="C32" s="2986" t="s">
        <v>3099</v>
      </c>
      <c r="D32" s="449">
        <v>100</v>
      </c>
      <c r="E32" s="451" t="s">
        <v>3098</v>
      </c>
      <c r="F32" s="449">
        <f>SUMIF(106:106,E33,107:107)-SUMIF(106:106,C33,107:107)+100</f>
        <v>100</v>
      </c>
      <c r="G32" s="451" t="s">
        <v>3098</v>
      </c>
      <c r="H32" s="449">
        <f>SUMIF(106:106,G33,107:107)-SUMIF(106:106,C33,107:107)+100</f>
        <v>100</v>
      </c>
      <c r="I32" s="2986" t="s">
        <v>3314</v>
      </c>
      <c r="J32" s="449">
        <f>SUMIF(106:106,I33,107:107)-SUMIF(106:106,C33,107:107)+100</f>
        <v>101</v>
      </c>
      <c r="K32" s="672">
        <v>1</v>
      </c>
      <c r="L32" s="1139"/>
      <c r="M32" s="1130"/>
      <c r="N32" s="1130"/>
      <c r="O32" s="1138"/>
      <c r="P32" s="3237"/>
      <c r="Q32" s="1808" t="str">
        <f t="shared" si="8"/>
        <v>毗邻道路的类型与等级</v>
      </c>
      <c r="R32" s="773" t="s">
        <v>17</v>
      </c>
      <c r="S32" s="774">
        <f t="shared" si="10"/>
        <v>100</v>
      </c>
      <c r="T32" s="773" t="s">
        <v>17</v>
      </c>
      <c r="U32" s="774">
        <f t="shared" si="11"/>
        <v>100</v>
      </c>
      <c r="V32" s="773" t="s">
        <v>17</v>
      </c>
      <c r="W32" s="774">
        <f t="shared" si="12"/>
        <v>101</v>
      </c>
      <c r="X32" s="1811"/>
      <c r="Y32" s="3237"/>
      <c r="Z32" s="1812" t="str">
        <f t="shared" si="13"/>
        <v>毗邻道路的类型与等级</v>
      </c>
      <c r="AA32" s="1809">
        <f t="shared" si="3"/>
        <v>1</v>
      </c>
      <c r="AB32" s="1809">
        <f t="shared" si="4"/>
        <v>1</v>
      </c>
      <c r="AC32" s="1809">
        <f t="shared" si="5"/>
        <v>0.99009900990099009</v>
      </c>
    </row>
    <row r="33" spans="1:29" ht="15">
      <c r="A33" s="427"/>
      <c r="B33" s="455"/>
      <c r="C33" s="446" t="s">
        <v>3097</v>
      </c>
      <c r="D33" s="447"/>
      <c r="E33" s="2606" t="s">
        <v>3097</v>
      </c>
      <c r="F33" s="447"/>
      <c r="G33" s="2606" t="s">
        <v>3097</v>
      </c>
      <c r="H33" s="447"/>
      <c r="I33" s="446" t="s">
        <v>3385</v>
      </c>
      <c r="J33" s="447"/>
      <c r="K33" s="612"/>
      <c r="L33" s="1139"/>
      <c r="M33" s="1130"/>
      <c r="N33" s="1130"/>
      <c r="O33" s="1138"/>
      <c r="P33" s="3237"/>
      <c r="Q33" s="1808"/>
      <c r="R33" s="773"/>
      <c r="S33" s="774"/>
      <c r="T33" s="773"/>
      <c r="U33" s="774"/>
      <c r="V33" s="773"/>
      <c r="W33" s="774"/>
      <c r="X33" s="1811"/>
      <c r="Y33" s="3237"/>
      <c r="Z33" s="1812"/>
      <c r="AA33" s="1809">
        <v>1</v>
      </c>
      <c r="AB33" s="1809">
        <v>1</v>
      </c>
      <c r="AC33" s="1809">
        <v>1</v>
      </c>
    </row>
    <row r="34" spans="1:29" ht="15">
      <c r="A34" s="427"/>
      <c r="B34" s="421" t="s">
        <v>2696</v>
      </c>
      <c r="C34" s="615" t="s">
        <v>3091</v>
      </c>
      <c r="D34" s="434">
        <v>100</v>
      </c>
      <c r="E34" s="633" t="s">
        <v>70</v>
      </c>
      <c r="F34" s="434">
        <f>SUMIF(108:108,E34,109:109)-SUMIF(108:108,C34,109:109)+100</f>
        <v>100</v>
      </c>
      <c r="G34" s="633" t="s">
        <v>70</v>
      </c>
      <c r="H34" s="434">
        <f>SUMIF(108:108,G34,109:109)-SUMIF(108:108,C34,109:109)+100</f>
        <v>100</v>
      </c>
      <c r="I34" s="615" t="s">
        <v>70</v>
      </c>
      <c r="J34" s="434">
        <f>SUMIF(108:108,I34,109:109)-SUMIF(108:108,C34,109:109)+100</f>
        <v>100</v>
      </c>
      <c r="K34" s="611">
        <v>2</v>
      </c>
      <c r="L34" s="1139"/>
      <c r="M34" s="1130"/>
      <c r="N34" s="1130"/>
      <c r="O34" s="1138"/>
      <c r="P34" s="3237"/>
      <c r="Q34" s="1808" t="str">
        <f t="shared" si="8"/>
        <v>土地级别</v>
      </c>
      <c r="R34" s="773" t="s">
        <v>17</v>
      </c>
      <c r="S34" s="774">
        <f t="shared" si="10"/>
        <v>100</v>
      </c>
      <c r="T34" s="773" t="s">
        <v>17</v>
      </c>
      <c r="U34" s="774">
        <f t="shared" si="11"/>
        <v>100</v>
      </c>
      <c r="V34" s="773" t="s">
        <v>17</v>
      </c>
      <c r="W34" s="774">
        <f t="shared" si="12"/>
        <v>100</v>
      </c>
      <c r="X34" s="1811"/>
      <c r="Y34" s="3237"/>
      <c r="Z34" s="1812" t="str">
        <f t="shared" si="13"/>
        <v>土地级别</v>
      </c>
      <c r="AA34" s="1809">
        <f t="shared" si="3"/>
        <v>1</v>
      </c>
      <c r="AB34" s="1809">
        <f t="shared" si="4"/>
        <v>1</v>
      </c>
      <c r="AC34" s="1809">
        <f t="shared" si="5"/>
        <v>1</v>
      </c>
    </row>
    <row r="35" spans="1:29" ht="15">
      <c r="A35" s="403"/>
      <c r="B35" s="1385"/>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37"/>
      <c r="Q35" s="1808">
        <f t="shared" si="8"/>
        <v>0</v>
      </c>
      <c r="R35" s="773" t="s">
        <v>17</v>
      </c>
      <c r="S35" s="774">
        <f t="shared" si="10"/>
        <v>100</v>
      </c>
      <c r="T35" s="773" t="s">
        <v>17</v>
      </c>
      <c r="U35" s="774">
        <f t="shared" si="11"/>
        <v>100</v>
      </c>
      <c r="V35" s="773" t="s">
        <v>17</v>
      </c>
      <c r="W35" s="774">
        <f t="shared" si="12"/>
        <v>100</v>
      </c>
      <c r="X35" s="1811"/>
      <c r="Y35" s="3237"/>
      <c r="Z35" s="1812">
        <f t="shared" si="13"/>
        <v>0</v>
      </c>
      <c r="AA35" s="1809">
        <f t="shared" si="3"/>
        <v>1</v>
      </c>
      <c r="AB35" s="1809">
        <f t="shared" si="4"/>
        <v>1</v>
      </c>
      <c r="AC35" s="1809">
        <f t="shared" si="5"/>
        <v>1</v>
      </c>
    </row>
    <row r="36" spans="1:29" ht="15">
      <c r="A36" s="674"/>
      <c r="B36" s="1386"/>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38" t="s">
        <v>2513</v>
      </c>
      <c r="Q36" s="1808">
        <f t="shared" si="8"/>
        <v>0</v>
      </c>
      <c r="R36" s="773" t="s">
        <v>17</v>
      </c>
      <c r="S36" s="774">
        <f t="shared" si="10"/>
        <v>100</v>
      </c>
      <c r="T36" s="773" t="s">
        <v>17</v>
      </c>
      <c r="U36" s="774">
        <f t="shared" si="11"/>
        <v>100</v>
      </c>
      <c r="V36" s="773" t="s">
        <v>17</v>
      </c>
      <c r="W36" s="774">
        <f t="shared" si="12"/>
        <v>100</v>
      </c>
      <c r="X36" s="1811"/>
      <c r="Y36" s="3239" t="s">
        <v>2513</v>
      </c>
      <c r="Z36" s="1812">
        <f t="shared" si="13"/>
        <v>0</v>
      </c>
      <c r="AA36" s="1809">
        <f t="shared" si="3"/>
        <v>1</v>
      </c>
      <c r="AB36" s="1809">
        <f t="shared" si="4"/>
        <v>1</v>
      </c>
      <c r="AC36" s="1809">
        <f t="shared" si="5"/>
        <v>1</v>
      </c>
    </row>
    <row r="37" spans="1:29" s="470" customFormat="1" ht="15.75" thickBot="1">
      <c r="A37" s="675"/>
      <c r="B37" s="1387"/>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39"/>
      <c r="Q37" s="1808">
        <f t="shared" si="8"/>
        <v>0</v>
      </c>
      <c r="R37" s="776" t="s">
        <v>17</v>
      </c>
      <c r="S37" s="777">
        <f t="shared" si="10"/>
        <v>100</v>
      </c>
      <c r="T37" s="776" t="s">
        <v>17</v>
      </c>
      <c r="U37" s="777">
        <f t="shared" si="11"/>
        <v>100</v>
      </c>
      <c r="V37" s="776" t="s">
        <v>17</v>
      </c>
      <c r="W37" s="777">
        <f t="shared" si="12"/>
        <v>100</v>
      </c>
      <c r="X37" s="778"/>
      <c r="Y37" s="3239"/>
      <c r="Z37" s="779">
        <f t="shared" si="13"/>
        <v>0</v>
      </c>
      <c r="AA37" s="1809">
        <f t="shared" si="3"/>
        <v>1</v>
      </c>
      <c r="AB37" s="1809">
        <f t="shared" si="4"/>
        <v>1</v>
      </c>
      <c r="AC37" s="1809">
        <f t="shared" si="5"/>
        <v>1</v>
      </c>
    </row>
    <row r="38" spans="1:29" ht="15">
      <c r="A38" s="471" t="s">
        <v>2511</v>
      </c>
      <c r="B38" s="455" t="s">
        <v>2697</v>
      </c>
      <c r="C38" s="678">
        <f>'数据-基础表'!A3</f>
        <v>83089.350000000006</v>
      </c>
      <c r="D38" s="466">
        <v>100</v>
      </c>
      <c r="E38" s="678">
        <f>土地案例!G6</f>
        <v>106360</v>
      </c>
      <c r="F38" s="466">
        <f>LOOKUP(E38,117:117,118:118)-LOOKUP(C38,117:117,118:118)+100</f>
        <v>100</v>
      </c>
      <c r="G38" s="678">
        <f>土地案例!G7</f>
        <v>92220</v>
      </c>
      <c r="H38" s="466">
        <f>LOOKUP(G38,117:117,118:118)-LOOKUP(C38,117:117,118:118)+100</f>
        <v>100</v>
      </c>
      <c r="I38" s="529">
        <f>土地案例!G11</f>
        <v>22552.67</v>
      </c>
      <c r="J38" s="466">
        <f>LOOKUP(I38,117:117,118:118)-LOOKUP(C38,117:117,118:118)+100</f>
        <v>96.5</v>
      </c>
      <c r="K38" s="612"/>
      <c r="L38" s="1139"/>
      <c r="M38" s="1130"/>
      <c r="N38" s="1130"/>
      <c r="O38" s="1138"/>
      <c r="P38" s="3239"/>
      <c r="Q38" s="1808" t="str">
        <f>B38</f>
        <v>宗地面积</v>
      </c>
      <c r="R38" s="773" t="s">
        <v>17</v>
      </c>
      <c r="S38" s="774">
        <f t="shared" si="10"/>
        <v>100</v>
      </c>
      <c r="T38" s="773" t="s">
        <v>17</v>
      </c>
      <c r="U38" s="774">
        <f t="shared" si="11"/>
        <v>100</v>
      </c>
      <c r="V38" s="773" t="s">
        <v>17</v>
      </c>
      <c r="W38" s="774">
        <f t="shared" si="12"/>
        <v>96.5</v>
      </c>
      <c r="X38" s="1811"/>
      <c r="Y38" s="3239"/>
      <c r="Z38" s="1812" t="str">
        <f t="shared" si="13"/>
        <v>宗地面积</v>
      </c>
      <c r="AA38" s="1809">
        <f t="shared" si="3"/>
        <v>1</v>
      </c>
      <c r="AB38" s="1809">
        <f t="shared" si="4"/>
        <v>1</v>
      </c>
      <c r="AC38" s="1809">
        <f t="shared" si="5"/>
        <v>1.0362694300518134</v>
      </c>
    </row>
    <row r="39" spans="1:29" ht="15">
      <c r="A39" s="471"/>
      <c r="B39" s="421" t="s">
        <v>2698</v>
      </c>
      <c r="C39" s="2608" t="s">
        <v>3104</v>
      </c>
      <c r="D39" s="434">
        <v>100</v>
      </c>
      <c r="E39" s="2608" t="s">
        <v>3104</v>
      </c>
      <c r="F39" s="434">
        <f>SUMIF(119:119,E39,120:120)-SUMIF(119:119,C39,120:120)+100</f>
        <v>100</v>
      </c>
      <c r="G39" s="2608" t="s">
        <v>3104</v>
      </c>
      <c r="H39" s="434">
        <f>SUMIF(119:119,G39,120:120)-SUMIF(119:119,C39,120:120)+100</f>
        <v>100</v>
      </c>
      <c r="I39" s="2608" t="s">
        <v>3104</v>
      </c>
      <c r="J39" s="434">
        <f>SUMIF(119:119,I39,120:120)-SUMIF(119:119,C39,120:120)+100</f>
        <v>100</v>
      </c>
      <c r="K39" s="611">
        <v>1</v>
      </c>
      <c r="L39" s="1139"/>
      <c r="M39" s="1130"/>
      <c r="N39" s="1130"/>
      <c r="O39" s="1138"/>
      <c r="P39" s="3239"/>
      <c r="Q39" s="1808" t="str">
        <f t="shared" ref="Q39:Q45" si="14">B39</f>
        <v>宗地形状</v>
      </c>
      <c r="R39" s="773" t="s">
        <v>17</v>
      </c>
      <c r="S39" s="774">
        <f t="shared" si="10"/>
        <v>100</v>
      </c>
      <c r="T39" s="773" t="s">
        <v>17</v>
      </c>
      <c r="U39" s="774">
        <f t="shared" si="11"/>
        <v>100</v>
      </c>
      <c r="V39" s="773" t="s">
        <v>17</v>
      </c>
      <c r="W39" s="774">
        <f t="shared" si="12"/>
        <v>100</v>
      </c>
      <c r="X39" s="1811"/>
      <c r="Y39" s="3239"/>
      <c r="Z39" s="1812" t="str">
        <f t="shared" si="13"/>
        <v>宗地形状</v>
      </c>
      <c r="AA39" s="1809">
        <f t="shared" si="3"/>
        <v>1</v>
      </c>
      <c r="AB39" s="1809">
        <f t="shared" si="4"/>
        <v>1</v>
      </c>
      <c r="AC39" s="1809">
        <f t="shared" si="5"/>
        <v>1</v>
      </c>
    </row>
    <row r="40" spans="1:29" ht="15">
      <c r="A40" s="471"/>
      <c r="B40" s="421" t="s">
        <v>2699</v>
      </c>
      <c r="C40" s="2608" t="s">
        <v>3093</v>
      </c>
      <c r="D40" s="434">
        <v>100</v>
      </c>
      <c r="E40" s="2608" t="s">
        <v>3093</v>
      </c>
      <c r="F40" s="434">
        <f>SUMIF(121:121,E40,122:122)-SUMIF(121:121,C40,122:122)+100</f>
        <v>100</v>
      </c>
      <c r="G40" s="2608" t="s">
        <v>3093</v>
      </c>
      <c r="H40" s="434">
        <f>SUMIF(121:121,G40,122:122)-SUMIF(121:121,C40,122:122)+100</f>
        <v>100</v>
      </c>
      <c r="I40" s="2608" t="s">
        <v>3093</v>
      </c>
      <c r="J40" s="434">
        <f>SUMIF(121:121,I40,122:122)-SUMIF(121:121,C40,122:122)+100</f>
        <v>100</v>
      </c>
      <c r="K40" s="611">
        <v>1</v>
      </c>
      <c r="L40" s="1139"/>
      <c r="M40" s="1130"/>
      <c r="N40" s="1130"/>
      <c r="O40" s="1138"/>
      <c r="P40" s="3239"/>
      <c r="Q40" s="1808" t="str">
        <f t="shared" si="14"/>
        <v>临街宽度及深度</v>
      </c>
      <c r="R40" s="773" t="s">
        <v>17</v>
      </c>
      <c r="S40" s="774">
        <f t="shared" si="10"/>
        <v>100</v>
      </c>
      <c r="T40" s="773" t="s">
        <v>17</v>
      </c>
      <c r="U40" s="774">
        <f t="shared" si="11"/>
        <v>100</v>
      </c>
      <c r="V40" s="773" t="s">
        <v>17</v>
      </c>
      <c r="W40" s="774">
        <f t="shared" si="12"/>
        <v>100</v>
      </c>
      <c r="X40" s="1811"/>
      <c r="Y40" s="3239"/>
      <c r="Z40" s="1812" t="str">
        <f t="shared" si="13"/>
        <v>临街宽度及深度</v>
      </c>
      <c r="AA40" s="1809">
        <f t="shared" si="3"/>
        <v>1</v>
      </c>
      <c r="AB40" s="1809">
        <f t="shared" si="4"/>
        <v>1</v>
      </c>
      <c r="AC40" s="1809">
        <f t="shared" si="5"/>
        <v>1</v>
      </c>
    </row>
    <row r="41" spans="1:29" s="117" customFormat="1" ht="15">
      <c r="A41" s="472"/>
      <c r="B41" s="421" t="s">
        <v>2700</v>
      </c>
      <c r="C41" s="2696" t="s">
        <v>3096</v>
      </c>
      <c r="D41" s="135">
        <v>100</v>
      </c>
      <c r="E41" s="2696" t="s">
        <v>3096</v>
      </c>
      <c r="F41" s="434">
        <f>SUMIF(123:123,E41,124:124)-SUMIF(123:123,C41,124:124)+100</f>
        <v>100</v>
      </c>
      <c r="G41" s="2696" t="s">
        <v>3096</v>
      </c>
      <c r="H41" s="434">
        <f>SUMIF(123:123,G41,124:124)-SUMIF(123:123,C41,124:124)+100</f>
        <v>100</v>
      </c>
      <c r="I41" s="2696" t="s">
        <v>3096</v>
      </c>
      <c r="J41" s="434">
        <f>SUMIF(123:123,I41,124:124)-SUMIF(123:123,C41,124:124)+100</f>
        <v>100</v>
      </c>
      <c r="K41" s="611">
        <v>1</v>
      </c>
      <c r="L41" s="1131"/>
      <c r="M41" s="1132"/>
      <c r="N41" s="1132"/>
      <c r="O41" s="1133"/>
      <c r="P41" s="3239"/>
      <c r="Q41" s="1808" t="str">
        <f t="shared" si="14"/>
        <v>宗地开发程度</v>
      </c>
      <c r="R41" s="769" t="s">
        <v>17</v>
      </c>
      <c r="S41" s="770">
        <f t="shared" si="10"/>
        <v>100</v>
      </c>
      <c r="T41" s="769" t="s">
        <v>17</v>
      </c>
      <c r="U41" s="770">
        <f t="shared" si="11"/>
        <v>100</v>
      </c>
      <c r="V41" s="769" t="s">
        <v>17</v>
      </c>
      <c r="W41" s="770">
        <f t="shared" si="12"/>
        <v>100</v>
      </c>
      <c r="X41" s="771"/>
      <c r="Y41" s="3239"/>
      <c r="Z41" s="55" t="str">
        <f t="shared" si="13"/>
        <v>宗地开发程度</v>
      </c>
      <c r="AA41" s="772">
        <f t="shared" si="3"/>
        <v>1</v>
      </c>
      <c r="AB41" s="772">
        <f t="shared" si="4"/>
        <v>1</v>
      </c>
      <c r="AC41" s="772">
        <f t="shared" si="5"/>
        <v>1</v>
      </c>
    </row>
    <row r="42" spans="1:29" ht="15">
      <c r="A42" s="471"/>
      <c r="B42" s="421" t="s">
        <v>2701</v>
      </c>
      <c r="C42" s="2608" t="s">
        <v>3093</v>
      </c>
      <c r="D42" s="434">
        <v>100</v>
      </c>
      <c r="E42" s="2608" t="s">
        <v>3093</v>
      </c>
      <c r="F42" s="434">
        <f>SUMIF(125:125,E42,126:126)-SUMIF(125:125,C42,126:126)+100</f>
        <v>100</v>
      </c>
      <c r="G42" s="2608" t="s">
        <v>3093</v>
      </c>
      <c r="H42" s="434">
        <f>SUMIF(125:125,G42,126:126)-SUMIF(125:125,C42,126:126)+100</f>
        <v>100</v>
      </c>
      <c r="I42" s="2608" t="s">
        <v>3093</v>
      </c>
      <c r="J42" s="434">
        <f>SUMIF(125:125,I42,126:126)-SUMIF(125:125,C42,126:126)+100</f>
        <v>100</v>
      </c>
      <c r="K42" s="611">
        <v>1</v>
      </c>
      <c r="L42" s="1139"/>
      <c r="M42" s="1130"/>
      <c r="N42" s="1130"/>
      <c r="O42" s="1138"/>
      <c r="P42" s="3239" t="s">
        <v>2513</v>
      </c>
      <c r="Q42" s="1808" t="str">
        <f t="shared" si="14"/>
        <v>工程地质条件</v>
      </c>
      <c r="R42" s="773" t="s">
        <v>17</v>
      </c>
      <c r="S42" s="774">
        <f t="shared" si="10"/>
        <v>100</v>
      </c>
      <c r="T42" s="773" t="s">
        <v>17</v>
      </c>
      <c r="U42" s="774">
        <f t="shared" si="11"/>
        <v>100</v>
      </c>
      <c r="V42" s="773" t="s">
        <v>17</v>
      </c>
      <c r="W42" s="774">
        <f t="shared" si="12"/>
        <v>100</v>
      </c>
      <c r="X42" s="1811"/>
      <c r="Y42" s="3239" t="s">
        <v>2513</v>
      </c>
      <c r="Z42" s="1812" t="str">
        <f t="shared" si="13"/>
        <v>工程地质条件</v>
      </c>
      <c r="AA42" s="1809">
        <f t="shared" si="3"/>
        <v>1</v>
      </c>
      <c r="AB42" s="1809">
        <f t="shared" si="4"/>
        <v>1</v>
      </c>
      <c r="AC42" s="1809">
        <f t="shared" si="5"/>
        <v>1</v>
      </c>
    </row>
    <row r="43" spans="1:29" ht="15">
      <c r="A43" s="471"/>
      <c r="B43" s="1386"/>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39"/>
      <c r="Q43" s="1808">
        <f t="shared" si="14"/>
        <v>0</v>
      </c>
      <c r="R43" s="773" t="s">
        <v>17</v>
      </c>
      <c r="S43" s="774">
        <f t="shared" si="10"/>
        <v>100</v>
      </c>
      <c r="T43" s="773" t="s">
        <v>17</v>
      </c>
      <c r="U43" s="774">
        <f t="shared" si="11"/>
        <v>100</v>
      </c>
      <c r="V43" s="773" t="s">
        <v>17</v>
      </c>
      <c r="W43" s="774">
        <f t="shared" si="12"/>
        <v>100</v>
      </c>
      <c r="X43" s="1811"/>
      <c r="Y43" s="3239"/>
      <c r="Z43" s="1812">
        <f t="shared" si="13"/>
        <v>0</v>
      </c>
      <c r="AA43" s="1809">
        <f t="shared" si="3"/>
        <v>1</v>
      </c>
      <c r="AB43" s="1809">
        <f t="shared" si="4"/>
        <v>1</v>
      </c>
      <c r="AC43" s="1809">
        <f t="shared" si="5"/>
        <v>1</v>
      </c>
    </row>
    <row r="44" spans="1:29" ht="15">
      <c r="A44" s="471"/>
      <c r="B44" s="1386"/>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39"/>
      <c r="Q44" s="1808">
        <f t="shared" si="14"/>
        <v>0</v>
      </c>
      <c r="R44" s="773" t="s">
        <v>17</v>
      </c>
      <c r="S44" s="774">
        <f t="shared" si="10"/>
        <v>100</v>
      </c>
      <c r="T44" s="773" t="s">
        <v>17</v>
      </c>
      <c r="U44" s="774">
        <f t="shared" si="11"/>
        <v>100</v>
      </c>
      <c r="V44" s="773" t="s">
        <v>17</v>
      </c>
      <c r="W44" s="774">
        <f t="shared" si="12"/>
        <v>100</v>
      </c>
      <c r="X44" s="1811"/>
      <c r="Y44" s="3239"/>
      <c r="Z44" s="1812">
        <f t="shared" si="13"/>
        <v>0</v>
      </c>
      <c r="AA44" s="1809">
        <f t="shared" si="3"/>
        <v>1</v>
      </c>
      <c r="AB44" s="1809">
        <f t="shared" si="4"/>
        <v>1</v>
      </c>
      <c r="AC44" s="1809">
        <f t="shared" si="5"/>
        <v>1</v>
      </c>
    </row>
    <row r="45" spans="1:29" s="470" customFormat="1" ht="15.75" thickBot="1">
      <c r="A45" s="467"/>
      <c r="B45" s="1386"/>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39"/>
      <c r="Q45" s="1808">
        <f t="shared" si="14"/>
        <v>0</v>
      </c>
      <c r="R45" s="776" t="s">
        <v>17</v>
      </c>
      <c r="S45" s="777">
        <f t="shared" si="10"/>
        <v>100</v>
      </c>
      <c r="T45" s="776" t="s">
        <v>17</v>
      </c>
      <c r="U45" s="777">
        <f t="shared" si="11"/>
        <v>100</v>
      </c>
      <c r="V45" s="776" t="s">
        <v>17</v>
      </c>
      <c r="W45" s="777">
        <f t="shared" si="12"/>
        <v>100</v>
      </c>
      <c r="X45" s="778"/>
      <c r="Y45" s="3239"/>
      <c r="Z45" s="779">
        <f t="shared" si="13"/>
        <v>0</v>
      </c>
      <c r="AA45" s="1809">
        <f t="shared" si="3"/>
        <v>1</v>
      </c>
      <c r="AB45" s="1809">
        <f t="shared" si="4"/>
        <v>1</v>
      </c>
      <c r="AC45" s="1809">
        <f t="shared" si="5"/>
        <v>1</v>
      </c>
    </row>
    <row r="46" spans="1:29" ht="15">
      <c r="A46" s="478" t="s">
        <v>2667</v>
      </c>
      <c r="B46" s="2698" t="s">
        <v>2702</v>
      </c>
      <c r="C46" s="681" t="s">
        <v>1</v>
      </c>
      <c r="D46" s="480"/>
      <c r="E46" s="481">
        <f>ROUND(土地案例!K6,0)</f>
        <v>9075</v>
      </c>
      <c r="F46" s="482"/>
      <c r="G46" s="483">
        <f>ROUND(土地案例!K7,0)</f>
        <v>10010</v>
      </c>
      <c r="H46" s="484"/>
      <c r="I46" s="481">
        <f>ROUND(土地案例!K11,0)</f>
        <v>9755</v>
      </c>
      <c r="J46" s="484"/>
      <c r="K46" s="782"/>
      <c r="L46" s="1142"/>
      <c r="M46" s="1143"/>
      <c r="N46" s="1130"/>
      <c r="O46" s="1143"/>
      <c r="P46" s="3221" t="str">
        <f>A46</f>
        <v>成交单价</v>
      </c>
      <c r="Q46" s="3221"/>
      <c r="R46" s="3234">
        <f>E46</f>
        <v>9075</v>
      </c>
      <c r="S46" s="3234"/>
      <c r="T46" s="3234">
        <f>G46</f>
        <v>10010</v>
      </c>
      <c r="U46" s="3234"/>
      <c r="V46" s="3234">
        <f>I46</f>
        <v>9755</v>
      </c>
      <c r="W46" s="3234"/>
      <c r="X46" s="758"/>
      <c r="Y46" s="780"/>
      <c r="Z46" s="758"/>
      <c r="AA46" s="758"/>
      <c r="AB46" s="758"/>
      <c r="AC46" s="758"/>
    </row>
    <row r="47" spans="1:29" ht="15.75" thickBot="1">
      <c r="A47" s="485" t="s">
        <v>2616</v>
      </c>
      <c r="B47" s="682"/>
      <c r="C47" s="489">
        <f>R48</f>
        <v>10782</v>
      </c>
      <c r="D47" s="488"/>
      <c r="E47" s="489">
        <f>R47</f>
        <v>9899</v>
      </c>
      <c r="F47" s="490"/>
      <c r="G47" s="487">
        <f>T47</f>
        <v>10591</v>
      </c>
      <c r="H47" s="488"/>
      <c r="I47" s="489">
        <f>V47</f>
        <v>11855</v>
      </c>
      <c r="J47" s="488"/>
      <c r="K47" s="783"/>
      <c r="L47" s="1142"/>
      <c r="M47" s="1143"/>
      <c r="N47" s="1143"/>
      <c r="O47" s="1143"/>
      <c r="P47" s="3221" t="str">
        <f>A47</f>
        <v>比较价值（元/平方米）</v>
      </c>
      <c r="Q47" s="3221"/>
      <c r="R47" s="3240">
        <f>ROUND(PRODUCT(R46,AA7:AA45),0)</f>
        <v>9899</v>
      </c>
      <c r="S47" s="3240"/>
      <c r="T47" s="3240">
        <f>ROUND(PRODUCT(T46,AB7:AB45),0)</f>
        <v>10591</v>
      </c>
      <c r="U47" s="3240"/>
      <c r="V47" s="3240">
        <f>ROUND(PRODUCT(V46,AC7:AC45),0)</f>
        <v>11855</v>
      </c>
      <c r="W47" s="3240"/>
      <c r="X47" s="758"/>
      <c r="Y47" s="758"/>
      <c r="Z47" s="758"/>
      <c r="AA47" s="758"/>
      <c r="AB47" s="758"/>
      <c r="AC47" s="758"/>
    </row>
    <row r="48" spans="1:29" ht="15.75" thickBot="1">
      <c r="A48" s="491" t="s">
        <v>3000</v>
      </c>
      <c r="B48" s="492"/>
      <c r="C48" s="493">
        <f>R48</f>
        <v>10782</v>
      </c>
      <c r="D48" s="493"/>
      <c r="E48" s="493"/>
      <c r="F48" s="493"/>
      <c r="G48" s="493"/>
      <c r="H48" s="493"/>
      <c r="I48" s="493"/>
      <c r="J48" s="493"/>
      <c r="K48" s="784"/>
      <c r="L48" s="1142"/>
      <c r="M48" s="1143"/>
      <c r="N48" s="1143"/>
      <c r="O48" s="1143"/>
      <c r="P48" s="3241" t="str">
        <f>A48</f>
        <v>估价对象住宅用房的比较价值（楼面单价，元/平方米）</v>
      </c>
      <c r="Q48" s="3242"/>
      <c r="R48" s="3243">
        <f>ROUND(AVERAGE(R47:V47),0)</f>
        <v>10782</v>
      </c>
      <c r="S48" s="3243"/>
      <c r="T48" s="3243"/>
      <c r="U48" s="3243"/>
      <c r="V48" s="3243"/>
      <c r="W48" s="3243"/>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2618</v>
      </c>
      <c r="D51" s="497"/>
      <c r="E51" s="498">
        <f>IF(E46&lt;E47,E47/E46-1,E46/E47-1)</f>
        <v>9.0798898071625445E-2</v>
      </c>
      <c r="F51" s="499" t="str">
        <f>IF(OR(E51&gt;=0.3,E51&lt;=-0.3),"超过30%","")</f>
        <v/>
      </c>
      <c r="G51" s="498">
        <f>IF(G46&lt;G47,G47/G46-1,G46/G47-1)</f>
        <v>5.8041958041957997E-2</v>
      </c>
      <c r="H51" s="499" t="str">
        <f>IF(OR(G51&gt;=0.3,G51&lt;=-0.3),"超过30%","")</f>
        <v/>
      </c>
      <c r="I51" s="498">
        <f>IF(I46&lt;I47,I47/I46-1,I46/I47-1)</f>
        <v>0.21527421834956439</v>
      </c>
      <c r="J51" s="499" t="str">
        <f>IF(OR(I51&gt;=0.3,I51&lt;=-0.3),"超过30%","")</f>
        <v/>
      </c>
      <c r="K51" s="1104"/>
      <c r="L51" s="1105"/>
      <c r="M51" s="1143"/>
      <c r="N51" s="1143"/>
      <c r="O51" s="1143"/>
    </row>
    <row r="52" spans="1:15" ht="13.5" customHeight="1">
      <c r="A52" s="1143"/>
      <c r="B52" s="1143"/>
      <c r="C52" s="496" t="s">
        <v>2619</v>
      </c>
      <c r="D52" s="500"/>
      <c r="E52" s="498">
        <f>IF(E47&lt;G47,G47/E47-1,E47/G47-1)</f>
        <v>6.9906051116274348E-2</v>
      </c>
      <c r="F52" s="499" t="str">
        <f>IF(OR(E52&gt;=0.2,E52&lt;=-0.2),"超过20%","")</f>
        <v/>
      </c>
      <c r="G52" s="498">
        <f>IF(G47&lt;I47,I47/G47-1,G47/I47-1)</f>
        <v>0.11934661505051469</v>
      </c>
      <c r="H52" s="499" t="str">
        <f>IF(OR(G52&gt;=0.2,G52&lt;=-0.2),"超过20%","")</f>
        <v/>
      </c>
      <c r="I52" s="498">
        <f>IF(I47&lt;E47,E47/I47-1,I47/E47-1)</f>
        <v>0.19759571673906451</v>
      </c>
      <c r="J52" s="499" t="str">
        <f>IF(OR(I52&gt;=0.2,I52&lt;=-0.2),"超过20%","")</f>
        <v/>
      </c>
      <c r="K52" s="1104"/>
      <c r="L52" s="1105"/>
      <c r="M52" s="1143"/>
      <c r="N52" s="1143"/>
      <c r="O52" s="1143"/>
    </row>
    <row r="53" spans="1:15" s="501" customFormat="1" ht="13.5" customHeight="1">
      <c r="A53" s="1144"/>
      <c r="B53" s="1144"/>
      <c r="C53" s="496" t="s">
        <v>2620</v>
      </c>
      <c r="D53" s="500"/>
      <c r="E53" s="498">
        <f>IF(E46&lt;G46,G46/E46-1,E46/G46-1)</f>
        <v>0.10303030303030303</v>
      </c>
      <c r="F53" s="499" t="str">
        <f>IF(OR(E53&gt;=0.3,E53&lt;=-0.3),"超过30%","")</f>
        <v/>
      </c>
      <c r="G53" s="498">
        <f>IF(G46&lt;I46,I46/G46-1,G46/I46-1)</f>
        <v>2.6140440799589992E-2</v>
      </c>
      <c r="H53" s="499" t="str">
        <f>IF(OR(G53&gt;=0.3,G53&lt;=-0.3),"超过30%","")</f>
        <v/>
      </c>
      <c r="I53" s="498">
        <f>IF(I46&lt;E46,E46/I46-1,I46/E46-1)</f>
        <v>7.493112947658398E-2</v>
      </c>
      <c r="J53" s="499" t="str">
        <f>IF(OR(I53&gt;=0.3,I53&lt;=-0.3),"超过30%","")</f>
        <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2703</v>
      </c>
      <c r="B55" s="684" t="s">
        <v>2704</v>
      </c>
      <c r="C55" s="2699" t="s">
        <v>2705</v>
      </c>
      <c r="D55" s="2700" t="s">
        <v>2706</v>
      </c>
      <c r="E55" s="685" t="s">
        <v>2707</v>
      </c>
      <c r="F55" s="1106" t="s">
        <v>2708</v>
      </c>
      <c r="G55" s="3222" t="s">
        <v>2709</v>
      </c>
      <c r="H55" s="3244"/>
      <c r="I55" s="143" t="s">
        <v>2710</v>
      </c>
      <c r="J55" s="2701" t="str">
        <f>项目基本情况!F35</f>
        <v>安徽省</v>
      </c>
      <c r="K55" s="2702" t="s">
        <v>2711</v>
      </c>
      <c r="L55" s="1105"/>
      <c r="M55" s="1143"/>
      <c r="N55" s="1143"/>
      <c r="O55" s="1143"/>
    </row>
    <row r="56" spans="1:15" s="691" customFormat="1">
      <c r="A56" s="687" t="s">
        <v>2712</v>
      </c>
      <c r="B56" s="688">
        <f>C48</f>
        <v>10782</v>
      </c>
      <c r="C56" s="689">
        <v>1</v>
      </c>
      <c r="D56" s="1162">
        <v>1</v>
      </c>
      <c r="E56" s="689">
        <f>'数据-汇总表'!E8+'数据-汇总表'!E9</f>
        <v>93182.659999999989</v>
      </c>
      <c r="F56" s="1102">
        <f t="shared" ref="F56:F65" si="15">ROUND(B56*E56/10000,0)</f>
        <v>100470</v>
      </c>
      <c r="G56" s="3245"/>
      <c r="H56" s="3221"/>
      <c r="I56" s="1107">
        <v>1</v>
      </c>
      <c r="J56" s="1110">
        <v>1</v>
      </c>
      <c r="K56" s="1144"/>
      <c r="L56" s="940"/>
      <c r="M56" s="940"/>
      <c r="N56" s="940"/>
      <c r="O56" s="940"/>
    </row>
    <row r="57" spans="1:15" s="691" customFormat="1">
      <c r="A57" s="692" t="s">
        <v>2713</v>
      </c>
      <c r="B57" s="261">
        <f>ROUND($C$48*C57*D57,0)</f>
        <v>0</v>
      </c>
      <c r="C57" s="199">
        <f t="shared" ref="C57:C65" si="16">IF($C$55="北京市系数",I57,J57)</f>
        <v>0</v>
      </c>
      <c r="D57" s="1163">
        <v>0.25</v>
      </c>
      <c r="E57" s="693"/>
      <c r="F57" s="1102">
        <f t="shared" si="15"/>
        <v>0</v>
      </c>
      <c r="G57" s="3246" t="s">
        <v>2714</v>
      </c>
      <c r="H57" s="1103">
        <f>项目基本情况!B37</f>
        <v>0</v>
      </c>
      <c r="I57" s="1107">
        <f>SUMIF(修正!A45:A56,H57,修正!B45:B56)</f>
        <v>0</v>
      </c>
      <c r="J57" s="1111"/>
      <c r="K57" s="1143"/>
      <c r="L57" s="940"/>
      <c r="M57" s="940"/>
      <c r="N57" s="940"/>
      <c r="O57" s="940"/>
    </row>
    <row r="58" spans="1:15" s="691" customFormat="1">
      <c r="A58" s="692" t="s">
        <v>2715</v>
      </c>
      <c r="B58" s="261">
        <f t="shared" ref="B58:B65" si="17">ROUND($C$48*C58*D58,0)</f>
        <v>0</v>
      </c>
      <c r="C58" s="199">
        <f t="shared" si="16"/>
        <v>0</v>
      </c>
      <c r="D58" s="1163">
        <v>0.25</v>
      </c>
      <c r="E58" s="693"/>
      <c r="F58" s="1102">
        <f t="shared" si="15"/>
        <v>0</v>
      </c>
      <c r="G58" s="3246"/>
      <c r="H58" s="1103">
        <f>项目基本情况!B37</f>
        <v>0</v>
      </c>
      <c r="I58" s="1107">
        <f>SUMIF(修正!A45:A56,H58,修正!C45:C56)</f>
        <v>0</v>
      </c>
      <c r="J58" s="1111"/>
      <c r="K58" s="1144"/>
      <c r="L58" s="940"/>
      <c r="M58" s="940"/>
      <c r="N58" s="940"/>
      <c r="O58" s="940"/>
    </row>
    <row r="59" spans="1:15" s="691" customFormat="1">
      <c r="A59" s="692" t="s">
        <v>2716</v>
      </c>
      <c r="B59" s="261">
        <f t="shared" si="17"/>
        <v>0</v>
      </c>
      <c r="C59" s="199">
        <f t="shared" si="16"/>
        <v>0</v>
      </c>
      <c r="D59" s="1163">
        <v>0.25</v>
      </c>
      <c r="E59" s="693"/>
      <c r="F59" s="1102">
        <f t="shared" si="15"/>
        <v>0</v>
      </c>
      <c r="G59" s="3246"/>
      <c r="H59" s="1103">
        <f>项目基本情况!B37</f>
        <v>0</v>
      </c>
      <c r="I59" s="1107">
        <f>SUMIF(修正!A45:A56,H59,修正!D45:D56)</f>
        <v>0</v>
      </c>
      <c r="J59" s="1111"/>
      <c r="K59" s="1143"/>
      <c r="L59" s="940"/>
      <c r="M59" s="940"/>
      <c r="N59" s="940"/>
      <c r="O59" s="940"/>
    </row>
    <row r="60" spans="1:15" s="691" customFormat="1">
      <c r="A60" s="692" t="s">
        <v>2717</v>
      </c>
      <c r="B60" s="261">
        <f t="shared" si="17"/>
        <v>0</v>
      </c>
      <c r="C60" s="199">
        <f t="shared" si="16"/>
        <v>0</v>
      </c>
      <c r="D60" s="1163">
        <v>0.25</v>
      </c>
      <c r="E60" s="693"/>
      <c r="F60" s="1102">
        <f t="shared" si="15"/>
        <v>0</v>
      </c>
      <c r="G60" s="3246"/>
      <c r="H60" s="1103">
        <f>项目基本情况!B37</f>
        <v>0</v>
      </c>
      <c r="I60" s="1107">
        <f>SUMIF(修正!A45:A56,H60,修正!E45:E56)</f>
        <v>0</v>
      </c>
      <c r="J60" s="1111"/>
      <c r="K60" s="1144"/>
      <c r="L60" s="940"/>
      <c r="M60" s="940"/>
      <c r="N60" s="940"/>
      <c r="O60" s="940"/>
    </row>
    <row r="61" spans="1:15" s="691" customFormat="1">
      <c r="A61" s="692" t="s">
        <v>2718</v>
      </c>
      <c r="B61" s="261">
        <f t="shared" si="17"/>
        <v>0</v>
      </c>
      <c r="C61" s="199">
        <f t="shared" si="16"/>
        <v>0</v>
      </c>
      <c r="D61" s="1163">
        <v>0.25</v>
      </c>
      <c r="E61" s="260">
        <f>'数据-汇总表'!E11</f>
        <v>0</v>
      </c>
      <c r="F61" s="1102">
        <f t="shared" si="15"/>
        <v>0</v>
      </c>
      <c r="G61" s="2703" t="s">
        <v>2719</v>
      </c>
      <c r="H61" s="1103">
        <f>项目基本情况!C37</f>
        <v>0</v>
      </c>
      <c r="I61" s="1107">
        <f>SUMIF(修正!A45:A56,H61,修正!F45:F56)</f>
        <v>0</v>
      </c>
      <c r="J61" s="1111"/>
      <c r="K61" s="1143"/>
      <c r="L61" s="940"/>
      <c r="M61" s="940"/>
      <c r="N61" s="940"/>
      <c r="O61" s="940"/>
    </row>
    <row r="62" spans="1:15" s="691" customFormat="1">
      <c r="A62" s="692" t="s">
        <v>2720</v>
      </c>
      <c r="B62" s="261">
        <f t="shared" si="17"/>
        <v>0</v>
      </c>
      <c r="C62" s="199">
        <f t="shared" si="16"/>
        <v>0</v>
      </c>
      <c r="D62" s="1163">
        <v>0.25</v>
      </c>
      <c r="E62" s="260">
        <f>'数据-汇总表'!E12</f>
        <v>0</v>
      </c>
      <c r="F62" s="1102">
        <f t="shared" si="15"/>
        <v>0</v>
      </c>
      <c r="G62" s="1108" t="s">
        <v>2721</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2722</v>
      </c>
      <c r="B63" s="261">
        <f t="shared" si="17"/>
        <v>0</v>
      </c>
      <c r="C63" s="199">
        <f t="shared" si="16"/>
        <v>0</v>
      </c>
      <c r="D63" s="1163">
        <v>0.25</v>
      </c>
      <c r="E63" s="260">
        <f>'数据-汇总表'!E13</f>
        <v>37739.420000000006</v>
      </c>
      <c r="F63" s="1102">
        <f t="shared" si="15"/>
        <v>0</v>
      </c>
      <c r="G63" s="1108" t="s">
        <v>2723</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2724</v>
      </c>
      <c r="B64" s="261">
        <f t="shared" si="17"/>
        <v>0</v>
      </c>
      <c r="C64" s="199">
        <f t="shared" si="16"/>
        <v>0</v>
      </c>
      <c r="D64" s="1163">
        <v>0.25</v>
      </c>
      <c r="E64" s="260">
        <f>'数据-汇总表'!E14</f>
        <v>0</v>
      </c>
      <c r="F64" s="1102">
        <f t="shared" si="15"/>
        <v>0</v>
      </c>
      <c r="G64" s="2703" t="s">
        <v>2714</v>
      </c>
      <c r="H64" s="1103">
        <f>项目基本情况!B37</f>
        <v>0</v>
      </c>
      <c r="I64" s="1107">
        <f>SUMIF(修正!A45:A56,H64,修正!H45:H56)</f>
        <v>0</v>
      </c>
      <c r="J64" s="1111"/>
      <c r="K64" s="1144"/>
      <c r="L64" s="940"/>
      <c r="M64" s="940"/>
      <c r="N64" s="940"/>
      <c r="O64" s="940"/>
    </row>
    <row r="65" spans="1:17" s="691" customFormat="1" ht="15" thickBot="1">
      <c r="A65" s="692" t="s">
        <v>2725</v>
      </c>
      <c r="B65" s="261">
        <f t="shared" si="17"/>
        <v>0</v>
      </c>
      <c r="C65" s="199">
        <f t="shared" si="16"/>
        <v>0</v>
      </c>
      <c r="D65" s="1163">
        <v>0.25</v>
      </c>
      <c r="E65" s="260">
        <f>'数据-汇总表'!E15</f>
        <v>0</v>
      </c>
      <c r="F65" s="1102">
        <f t="shared" si="15"/>
        <v>0</v>
      </c>
      <c r="G65" s="2704" t="s">
        <v>2719</v>
      </c>
      <c r="H65" s="1113">
        <f>项目基本情况!C37</f>
        <v>0</v>
      </c>
      <c r="I65" s="1109">
        <f>SUMIF(修正!A45:A56,H65,修正!H45:H56)</f>
        <v>0</v>
      </c>
      <c r="J65" s="1112"/>
      <c r="K65" s="1143"/>
      <c r="L65" s="940"/>
      <c r="M65" s="940"/>
      <c r="N65" s="940"/>
      <c r="O65" s="940"/>
    </row>
    <row r="66" spans="1:17" s="691" customFormat="1" ht="13.5" thickBot="1">
      <c r="A66" s="694" t="s">
        <v>2726</v>
      </c>
      <c r="B66" s="695" t="s">
        <v>28</v>
      </c>
      <c r="C66" s="695" t="s">
        <v>29</v>
      </c>
      <c r="D66" s="695" t="s">
        <v>1025</v>
      </c>
      <c r="E66" s="695">
        <f>IF(B46="楼面地价",SUM(E56:E65),'数据-汇总表'!D3)</f>
        <v>130922.07999999999</v>
      </c>
      <c r="F66" s="696">
        <f>IF(B46="楼面地价",SUM(F56:F65),ROUND(C48*E66/10000,0))</f>
        <v>100470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2621</v>
      </c>
      <c r="B69" s="758"/>
      <c r="C69" s="763"/>
      <c r="D69" s="763"/>
      <c r="E69" s="763"/>
      <c r="F69" s="764"/>
      <c r="G69" s="764"/>
      <c r="H69" s="763"/>
      <c r="I69" s="763"/>
      <c r="J69" s="1158"/>
      <c r="K69" s="1159"/>
      <c r="L69" s="1160"/>
      <c r="M69" s="1158"/>
      <c r="N69" s="1158"/>
      <c r="O69" s="1158"/>
      <c r="P69" s="502"/>
      <c r="Q69" s="503"/>
    </row>
    <row r="70" spans="1:17" s="507" customFormat="1" ht="15">
      <c r="A70" s="2705" t="s">
        <v>2727</v>
      </c>
      <c r="B70" s="1358"/>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6"/>
    </row>
    <row r="71" spans="1:17" s="117" customFormat="1" ht="30" customHeight="1">
      <c r="A71" s="2706" t="s">
        <v>2728</v>
      </c>
      <c r="B71" s="331" t="str">
        <f>"北京市平均增长率"&amp;TEXT(SUMIF(基准地价修正!N21:N25,A71,基准地价修正!P21:P25),"0.00%")</f>
        <v>北京市平均增长率2.41%</v>
      </c>
      <c r="C71" s="602">
        <v>100</v>
      </c>
      <c r="D71" s="594">
        <v>99.5</v>
      </c>
      <c r="E71" s="594">
        <v>99</v>
      </c>
      <c r="F71" s="594">
        <v>98.5</v>
      </c>
      <c r="G71" s="594">
        <v>98</v>
      </c>
      <c r="H71" s="594">
        <v>97.5</v>
      </c>
      <c r="I71" s="594">
        <v>97</v>
      </c>
      <c r="J71" s="594">
        <v>96.5</v>
      </c>
      <c r="K71" s="594">
        <v>96</v>
      </c>
      <c r="L71" s="594">
        <v>95.5</v>
      </c>
      <c r="M71" s="594">
        <v>95</v>
      </c>
      <c r="N71" s="594">
        <v>94.5</v>
      </c>
      <c r="O71" s="594">
        <v>94</v>
      </c>
      <c r="P71" s="503"/>
    </row>
    <row r="72" spans="1:17" s="117" customFormat="1" ht="15.75" thickBot="1">
      <c r="A72" s="514" t="s">
        <v>2532</v>
      </c>
      <c r="B72" s="515"/>
      <c r="C72" s="516"/>
      <c r="D72" s="517"/>
      <c r="E72" s="517"/>
      <c r="F72" s="517"/>
      <c r="G72" s="517"/>
      <c r="H72" s="517"/>
      <c r="I72" s="517"/>
      <c r="J72" s="517"/>
      <c r="K72" s="517"/>
      <c r="L72" s="517"/>
      <c r="M72" s="518"/>
      <c r="N72" s="517"/>
      <c r="O72" s="1161"/>
      <c r="P72" s="503"/>
      <c r="Q72" s="503"/>
    </row>
    <row r="73" spans="1:17" s="117" customFormat="1" ht="15">
      <c r="A73" s="520" t="s">
        <v>2498</v>
      </c>
      <c r="B73" s="509"/>
      <c r="C73" s="521" t="s">
        <v>2599</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2535</v>
      </c>
      <c r="B75" s="527" t="s">
        <v>2502</v>
      </c>
      <c r="C75" s="2987" t="s">
        <v>3100</v>
      </c>
      <c r="D75" s="529"/>
      <c r="E75" s="529"/>
      <c r="F75" s="529"/>
      <c r="G75" s="529"/>
      <c r="H75" s="529"/>
      <c r="I75" s="529"/>
      <c r="J75" s="529"/>
      <c r="K75" s="530"/>
      <c r="L75" s="531"/>
      <c r="M75" s="532"/>
      <c r="N75" s="1151"/>
      <c r="O75" s="1151"/>
      <c r="P75" s="45"/>
      <c r="Q75" s="503"/>
    </row>
    <row r="76" spans="1:17" ht="15.75" thickBot="1">
      <c r="A76" s="533"/>
      <c r="B76" s="534"/>
      <c r="C76" s="535">
        <v>100</v>
      </c>
      <c r="D76" s="535"/>
      <c r="E76" s="535"/>
      <c r="F76" s="535"/>
      <c r="G76" s="535"/>
      <c r="H76" s="535"/>
      <c r="I76" s="535"/>
      <c r="J76" s="535"/>
      <c r="K76" s="535"/>
      <c r="L76" s="535"/>
      <c r="M76" s="536"/>
      <c r="N76" s="1152"/>
      <c r="O76" s="1152"/>
      <c r="P76" s="45"/>
      <c r="Q76" s="503"/>
    </row>
    <row r="77" spans="1:17" ht="27.75" thickTop="1">
      <c r="A77" s="533"/>
      <c r="B77" s="537" t="s">
        <v>2505</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2506</v>
      </c>
      <c r="C79" s="546" t="str">
        <f>C80&amp;"（含）"&amp;"-"&amp;D80</f>
        <v>0（含）-0.5</v>
      </c>
      <c r="D79" s="546" t="str">
        <f t="shared" ref="D79:L79" si="20">D80&amp;"（含）"&amp;"-"&amp;E80</f>
        <v>0.5（含）-1</v>
      </c>
      <c r="E79" s="546" t="str">
        <f t="shared" si="20"/>
        <v>1（含）-1.5</v>
      </c>
      <c r="F79" s="546" t="str">
        <f t="shared" si="20"/>
        <v>1.5（含）-2</v>
      </c>
      <c r="G79" s="546" t="str">
        <f t="shared" si="20"/>
        <v>2（含）-2.5</v>
      </c>
      <c r="H79" s="546" t="str">
        <f t="shared" si="20"/>
        <v>2.5（含）-3</v>
      </c>
      <c r="I79" s="546" t="str">
        <f t="shared" si="20"/>
        <v>3（含）-3.5</v>
      </c>
      <c r="J79" s="546" t="str">
        <f t="shared" si="20"/>
        <v>3.5（含）-4</v>
      </c>
      <c r="K79" s="546" t="str">
        <f t="shared" si="20"/>
        <v>4（含）-4.5</v>
      </c>
      <c r="L79" s="546" t="str">
        <f t="shared" si="20"/>
        <v>4.5（含）-5</v>
      </c>
      <c r="M79" s="447" t="str">
        <f>M80&amp;"（含）"&amp;"-"&amp;P80</f>
        <v>5（含）-</v>
      </c>
      <c r="N79" s="1152"/>
      <c r="O79" s="1152"/>
      <c r="P79" s="45"/>
      <c r="Q79" s="503"/>
    </row>
    <row r="80" spans="1:17" ht="15">
      <c r="A80" s="533"/>
      <c r="B80" s="547"/>
      <c r="C80" s="548">
        <v>0</v>
      </c>
      <c r="D80" s="548">
        <v>0.5</v>
      </c>
      <c r="E80" s="548">
        <v>1</v>
      </c>
      <c r="F80" s="548">
        <v>1.5</v>
      </c>
      <c r="G80" s="548">
        <v>2</v>
      </c>
      <c r="H80" s="548">
        <v>2.5</v>
      </c>
      <c r="I80" s="548">
        <v>3</v>
      </c>
      <c r="J80" s="548">
        <v>3.5</v>
      </c>
      <c r="K80" s="548">
        <v>4</v>
      </c>
      <c r="L80" s="548">
        <v>4.5</v>
      </c>
      <c r="M80" s="548">
        <v>5</v>
      </c>
      <c r="N80" s="1151"/>
      <c r="O80" s="1151"/>
      <c r="P80" s="45"/>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52"/>
      <c r="O81" s="1152"/>
      <c r="P81" s="45"/>
      <c r="Q81" s="503"/>
    </row>
    <row r="82" spans="1:17" s="470" customFormat="1" ht="15.75" thickTop="1">
      <c r="A82" s="552"/>
      <c r="B82" s="537">
        <f>B12</f>
        <v>0</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0</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0</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2507</v>
      </c>
      <c r="B88" s="527" t="s">
        <v>2543</v>
      </c>
      <c r="C88" s="572" t="s">
        <v>2544</v>
      </c>
      <c r="D88" s="572" t="s">
        <v>2545</v>
      </c>
      <c r="E88" s="572" t="s">
        <v>2546</v>
      </c>
      <c r="F88" s="572" t="s">
        <v>2547</v>
      </c>
      <c r="G88" s="572" t="s">
        <v>2548</v>
      </c>
      <c r="H88" s="528"/>
      <c r="I88" s="528"/>
      <c r="J88" s="528"/>
      <c r="K88" s="573"/>
      <c r="L88" s="574"/>
      <c r="M88" s="575"/>
      <c r="N88" s="1151"/>
      <c r="O88" s="1151"/>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52"/>
      <c r="O89" s="1152"/>
      <c r="P89" s="45"/>
      <c r="Q89" s="503"/>
    </row>
    <row r="90" spans="1:17" ht="15.75" thickTop="1">
      <c r="A90" s="533"/>
      <c r="B90" s="537" t="s">
        <v>2729</v>
      </c>
      <c r="C90" s="577" t="s">
        <v>2544</v>
      </c>
      <c r="D90" s="577" t="s">
        <v>2545</v>
      </c>
      <c r="E90" s="577" t="s">
        <v>2546</v>
      </c>
      <c r="F90" s="577" t="s">
        <v>2547</v>
      </c>
      <c r="G90" s="577" t="s">
        <v>2548</v>
      </c>
      <c r="H90" s="538"/>
      <c r="I90" s="538"/>
      <c r="J90" s="538"/>
      <c r="K90" s="539"/>
      <c r="L90" s="540"/>
      <c r="M90" s="541"/>
      <c r="N90" s="1151"/>
      <c r="O90" s="1151"/>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2"/>
      <c r="O91" s="1152"/>
      <c r="P91" s="45"/>
      <c r="Q91" s="503"/>
    </row>
    <row r="92" spans="1:17" ht="15.75" thickTop="1">
      <c r="A92" s="533"/>
      <c r="B92" s="537" t="s">
        <v>2644</v>
      </c>
      <c r="C92" s="577" t="s">
        <v>2544</v>
      </c>
      <c r="D92" s="577" t="s">
        <v>2545</v>
      </c>
      <c r="E92" s="577" t="s">
        <v>2546</v>
      </c>
      <c r="F92" s="577" t="s">
        <v>2547</v>
      </c>
      <c r="G92" s="577" t="s">
        <v>2548</v>
      </c>
      <c r="H92" s="538"/>
      <c r="I92" s="538"/>
      <c r="J92" s="538"/>
      <c r="K92" s="539"/>
      <c r="L92" s="540"/>
      <c r="M92" s="541"/>
      <c r="N92" s="1151"/>
      <c r="O92" s="1151"/>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52"/>
      <c r="O93" s="1152"/>
      <c r="P93" s="45"/>
      <c r="Q93" s="503"/>
    </row>
    <row r="94" spans="1:17" ht="15.75" thickTop="1">
      <c r="A94" s="533"/>
      <c r="B94" s="537" t="s">
        <v>2549</v>
      </c>
      <c r="C94" s="577" t="s">
        <v>2544</v>
      </c>
      <c r="D94" s="577" t="s">
        <v>2545</v>
      </c>
      <c r="E94" s="577" t="s">
        <v>2546</v>
      </c>
      <c r="F94" s="577" t="s">
        <v>2547</v>
      </c>
      <c r="G94" s="577" t="s">
        <v>2548</v>
      </c>
      <c r="H94" s="538"/>
      <c r="I94" s="538"/>
      <c r="J94" s="538"/>
      <c r="K94" s="539"/>
      <c r="L94" s="540"/>
      <c r="M94" s="541"/>
      <c r="N94" s="1151"/>
      <c r="O94" s="1151"/>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2"/>
      <c r="O95" s="1152"/>
      <c r="P95" s="45"/>
      <c r="Q95" s="503"/>
    </row>
    <row r="96" spans="1:17" s="117" customFormat="1" ht="15.75" thickTop="1">
      <c r="A96" s="578"/>
      <c r="B96" s="537" t="s">
        <v>2730</v>
      </c>
      <c r="C96" s="577" t="s">
        <v>2544</v>
      </c>
      <c r="D96" s="577" t="s">
        <v>2545</v>
      </c>
      <c r="E96" s="577" t="s">
        <v>2546</v>
      </c>
      <c r="F96" s="577" t="s">
        <v>2547</v>
      </c>
      <c r="G96" s="577" t="s">
        <v>2548</v>
      </c>
      <c r="H96" s="577"/>
      <c r="I96" s="577"/>
      <c r="J96" s="577"/>
      <c r="K96" s="577"/>
      <c r="L96" s="697"/>
      <c r="M96" s="621"/>
      <c r="N96" s="1150"/>
      <c r="O96" s="1150"/>
      <c r="P96" s="45"/>
      <c r="Q96" s="503"/>
    </row>
    <row r="97" spans="1:17" s="117" customFormat="1" ht="15.75" thickBot="1">
      <c r="A97" s="578"/>
      <c r="B97" s="542"/>
      <c r="C97" s="581">
        <v>100</v>
      </c>
      <c r="D97" s="543">
        <f>C97-$K23</f>
        <v>98</v>
      </c>
      <c r="E97" s="543">
        <f>D97-$K23</f>
        <v>96</v>
      </c>
      <c r="F97" s="543">
        <f>E97-$K23</f>
        <v>94</v>
      </c>
      <c r="G97" s="543">
        <f>F97-$K23</f>
        <v>92</v>
      </c>
      <c r="H97" s="543"/>
      <c r="I97" s="543"/>
      <c r="J97" s="543"/>
      <c r="K97" s="543"/>
      <c r="L97" s="543"/>
      <c r="M97" s="544"/>
      <c r="N97" s="1152"/>
      <c r="O97" s="1152"/>
      <c r="P97" s="45"/>
      <c r="Q97" s="503"/>
    </row>
    <row r="98" spans="1:17" s="117" customFormat="1" ht="27.75" thickTop="1">
      <c r="A98" s="578"/>
      <c r="B98" s="537" t="s">
        <v>2731</v>
      </c>
      <c r="C98" s="572" t="s">
        <v>2544</v>
      </c>
      <c r="D98" s="572" t="s">
        <v>2545</v>
      </c>
      <c r="E98" s="572" t="s">
        <v>2546</v>
      </c>
      <c r="F98" s="572" t="s">
        <v>2547</v>
      </c>
      <c r="G98" s="572" t="s">
        <v>2548</v>
      </c>
      <c r="H98" s="577"/>
      <c r="I98" s="577"/>
      <c r="J98" s="577"/>
      <c r="K98" s="577"/>
      <c r="L98" s="577"/>
      <c r="M98" s="621"/>
      <c r="N98" s="1150"/>
      <c r="O98" s="1150"/>
      <c r="P98" s="45"/>
      <c r="Q98" s="503"/>
    </row>
    <row r="99" spans="1:17" s="117" customFormat="1" ht="15.75" thickBot="1">
      <c r="A99" s="578"/>
      <c r="B99" s="542"/>
      <c r="C99" s="543">
        <v>100</v>
      </c>
      <c r="D99" s="543">
        <f>C99-$K25</f>
        <v>95</v>
      </c>
      <c r="E99" s="543">
        <f>D99-$K25</f>
        <v>90</v>
      </c>
      <c r="F99" s="543">
        <f>E99-$K25</f>
        <v>85</v>
      </c>
      <c r="G99" s="543">
        <f>F99-$K25</f>
        <v>80</v>
      </c>
      <c r="H99" s="543"/>
      <c r="I99" s="543"/>
      <c r="J99" s="543"/>
      <c r="K99" s="543"/>
      <c r="L99" s="543"/>
      <c r="M99" s="544"/>
      <c r="N99" s="1152"/>
      <c r="O99" s="1152"/>
      <c r="P99" s="45"/>
      <c r="Q99" s="503"/>
    </row>
    <row r="100" spans="1:17" s="470" customFormat="1" ht="15.75" thickTop="1">
      <c r="A100" s="552"/>
      <c r="B100" s="537" t="s">
        <v>2601</v>
      </c>
      <c r="C100" s="572" t="s">
        <v>2544</v>
      </c>
      <c r="D100" s="572" t="s">
        <v>2545</v>
      </c>
      <c r="E100" s="572" t="s">
        <v>2546</v>
      </c>
      <c r="F100" s="572" t="s">
        <v>2547</v>
      </c>
      <c r="G100" s="572" t="s">
        <v>2548</v>
      </c>
      <c r="H100" s="599"/>
      <c r="I100" s="599"/>
      <c r="J100" s="599"/>
      <c r="K100" s="599"/>
      <c r="L100" s="600"/>
      <c r="M100" s="601"/>
      <c r="N100" s="1153"/>
      <c r="O100" s="1153"/>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3"/>
      <c r="O101" s="1153"/>
      <c r="P101" s="557"/>
      <c r="Q101" s="558"/>
    </row>
    <row r="102" spans="1:17" s="470" customFormat="1" ht="15.75" thickTop="1">
      <c r="A102" s="552"/>
      <c r="B102" s="545" t="s">
        <v>2602</v>
      </c>
      <c r="C102" s="659" t="s">
        <v>2622</v>
      </c>
      <c r="D102" s="659" t="s">
        <v>2623</v>
      </c>
      <c r="E102" s="659" t="s">
        <v>2624</v>
      </c>
      <c r="F102" s="659" t="s">
        <v>2625</v>
      </c>
      <c r="G102" s="659" t="s">
        <v>2626</v>
      </c>
      <c r="H102" s="599"/>
      <c r="I102" s="599"/>
      <c r="J102" s="599"/>
      <c r="K102" s="599"/>
      <c r="L102" s="599"/>
      <c r="M102" s="1384"/>
      <c r="N102" s="1153"/>
      <c r="O102" s="1153"/>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4"/>
      <c r="N103" s="1153"/>
      <c r="O103" s="1153"/>
      <c r="P103" s="557"/>
      <c r="Q103" s="558"/>
    </row>
    <row r="104" spans="1:17" ht="15.75" thickTop="1">
      <c r="A104" s="533"/>
      <c r="B104" s="537" t="str">
        <f>B31</f>
        <v>临街状况</v>
      </c>
      <c r="C104" s="538" t="s">
        <v>2732</v>
      </c>
      <c r="D104" s="538" t="s">
        <v>2733</v>
      </c>
      <c r="E104" s="538" t="s">
        <v>2734</v>
      </c>
      <c r="F104" s="538" t="s">
        <v>2735</v>
      </c>
      <c r="G104" s="538"/>
      <c r="H104" s="538"/>
      <c r="I104" s="538"/>
      <c r="J104" s="538"/>
      <c r="K104" s="539"/>
      <c r="L104" s="540"/>
      <c r="M104" s="541"/>
      <c r="N104" s="1151"/>
      <c r="O104" s="1151"/>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2"/>
      <c r="O105" s="1152"/>
      <c r="P105" s="45"/>
      <c r="Q105" s="503"/>
    </row>
    <row r="106" spans="1:17" ht="27.75" thickTop="1">
      <c r="A106" s="533"/>
      <c r="B106" s="537" t="s">
        <v>2638</v>
      </c>
      <c r="C106" s="2988" t="s">
        <v>3386</v>
      </c>
      <c r="D106" s="2988" t="s">
        <v>3101</v>
      </c>
      <c r="E106" s="2988" t="s">
        <v>3102</v>
      </c>
      <c r="F106" s="2988" t="s">
        <v>3103</v>
      </c>
      <c r="G106" s="553"/>
      <c r="H106" s="582"/>
      <c r="I106" s="582"/>
      <c r="J106" s="582"/>
      <c r="K106" s="583"/>
      <c r="L106" s="584"/>
      <c r="M106" s="585"/>
      <c r="N106" s="1151"/>
      <c r="O106" s="1151"/>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2"/>
      <c r="O107" s="1152"/>
      <c r="P107" s="45"/>
      <c r="Q107" s="503"/>
    </row>
    <row r="108" spans="1:17" ht="15.75" thickTop="1">
      <c r="A108" s="533"/>
      <c r="B108" s="537" t="s">
        <v>2696</v>
      </c>
      <c r="C108" s="582" t="s">
        <v>3091</v>
      </c>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98</v>
      </c>
      <c r="E109" s="543">
        <f t="shared" ref="E109:M109" si="24">D109-$K34</f>
        <v>96</v>
      </c>
      <c r="F109" s="543">
        <f t="shared" si="24"/>
        <v>94</v>
      </c>
      <c r="G109" s="543">
        <f t="shared" si="24"/>
        <v>92</v>
      </c>
      <c r="H109" s="543">
        <f t="shared" si="24"/>
        <v>90</v>
      </c>
      <c r="I109" s="543">
        <f t="shared" si="24"/>
        <v>88</v>
      </c>
      <c r="J109" s="543">
        <f t="shared" si="24"/>
        <v>86</v>
      </c>
      <c r="K109" s="543">
        <f t="shared" si="24"/>
        <v>84</v>
      </c>
      <c r="L109" s="543">
        <f t="shared" si="24"/>
        <v>82</v>
      </c>
      <c r="M109" s="543">
        <f t="shared" si="24"/>
        <v>80</v>
      </c>
      <c r="N109" s="1152"/>
      <c r="O109" s="1152"/>
      <c r="P109" s="45"/>
      <c r="Q109" s="503"/>
    </row>
    <row r="110" spans="1:17" ht="15.75" thickTop="1">
      <c r="A110" s="533"/>
      <c r="B110" s="545">
        <f>B35</f>
        <v>0</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0</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0</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ht="28.5">
      <c r="A116" s="526" t="s">
        <v>2511</v>
      </c>
      <c r="B116" s="527" t="s">
        <v>2736</v>
      </c>
      <c r="C116" s="528" t="str">
        <f>C117&amp;"(含)"&amp;"-"&amp;D117</f>
        <v>0(含)-40000</v>
      </c>
      <c r="D116" s="528" t="str">
        <f t="shared" ref="D116:M116" si="25">D117&amp;"(含)"&amp;"-"&amp;E117</f>
        <v>40000(含)-80000</v>
      </c>
      <c r="E116" s="528" t="str">
        <f t="shared" si="25"/>
        <v>80000(含)-120000</v>
      </c>
      <c r="F116" s="528" t="str">
        <f t="shared" si="25"/>
        <v>120000(含)-160000</v>
      </c>
      <c r="G116" s="528" t="str">
        <f t="shared" si="25"/>
        <v>160000(含)-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v>0</v>
      </c>
      <c r="D117" s="594">
        <v>40000</v>
      </c>
      <c r="E117" s="594">
        <v>80000</v>
      </c>
      <c r="F117" s="594">
        <v>120000</v>
      </c>
      <c r="G117" s="594">
        <v>160000</v>
      </c>
      <c r="H117" s="594"/>
      <c r="I117" s="594"/>
      <c r="J117" s="595"/>
      <c r="K117" s="595"/>
      <c r="L117" s="596"/>
      <c r="M117" s="597"/>
      <c r="N117" s="1151"/>
      <c r="O117" s="1151"/>
      <c r="P117" s="45"/>
      <c r="Q117" s="503"/>
    </row>
    <row r="118" spans="1:17" ht="15.75" thickBot="1">
      <c r="A118" s="533"/>
      <c r="B118" s="542"/>
      <c r="C118" s="569">
        <v>100</v>
      </c>
      <c r="D118" s="590">
        <f>C118+1.5</f>
        <v>101.5</v>
      </c>
      <c r="E118" s="590">
        <f t="shared" ref="E118:G118" si="26">D118+2</f>
        <v>103.5</v>
      </c>
      <c r="F118" s="590">
        <f t="shared" si="26"/>
        <v>105.5</v>
      </c>
      <c r="G118" s="590">
        <f t="shared" si="26"/>
        <v>107.5</v>
      </c>
      <c r="H118" s="590"/>
      <c r="I118" s="590"/>
      <c r="J118" s="590"/>
      <c r="K118" s="590"/>
      <c r="L118" s="590"/>
      <c r="M118" s="591"/>
      <c r="N118" s="1152"/>
      <c r="O118" s="1152"/>
      <c r="P118" s="45"/>
      <c r="Q118" s="503"/>
    </row>
    <row r="119" spans="1:17" ht="15" thickTop="1">
      <c r="A119" s="598"/>
      <c r="B119" s="537" t="s">
        <v>2737</v>
      </c>
      <c r="C119" s="2989" t="s">
        <v>3105</v>
      </c>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7">C120-$K39</f>
        <v>99</v>
      </c>
      <c r="E120" s="543">
        <f t="shared" si="27"/>
        <v>98</v>
      </c>
      <c r="F120" s="543">
        <f t="shared" si="27"/>
        <v>97</v>
      </c>
      <c r="G120" s="543">
        <f t="shared" si="27"/>
        <v>96</v>
      </c>
      <c r="H120" s="543">
        <f t="shared" si="27"/>
        <v>95</v>
      </c>
      <c r="I120" s="543">
        <f t="shared" si="27"/>
        <v>94</v>
      </c>
      <c r="J120" s="543">
        <f t="shared" si="27"/>
        <v>93</v>
      </c>
      <c r="K120" s="543">
        <f t="shared" si="27"/>
        <v>92</v>
      </c>
      <c r="L120" s="543">
        <f t="shared" si="27"/>
        <v>91</v>
      </c>
      <c r="M120" s="544">
        <f t="shared" si="27"/>
        <v>90</v>
      </c>
      <c r="N120" s="1152"/>
      <c r="O120" s="1152"/>
      <c r="P120" s="45"/>
      <c r="Q120" s="503"/>
    </row>
    <row r="121" spans="1:17" ht="15" thickTop="1">
      <c r="A121" s="598"/>
      <c r="B121" s="537" t="s">
        <v>2738</v>
      </c>
      <c r="C121" s="2988" t="s">
        <v>3106</v>
      </c>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8">C122-$K40</f>
        <v>99</v>
      </c>
      <c r="E122" s="543">
        <f t="shared" si="28"/>
        <v>98</v>
      </c>
      <c r="F122" s="543">
        <f t="shared" si="28"/>
        <v>97</v>
      </c>
      <c r="G122" s="543">
        <f t="shared" si="28"/>
        <v>96</v>
      </c>
      <c r="H122" s="543">
        <f t="shared" si="28"/>
        <v>95</v>
      </c>
      <c r="I122" s="543">
        <f t="shared" si="28"/>
        <v>94</v>
      </c>
      <c r="J122" s="543">
        <f t="shared" si="28"/>
        <v>93</v>
      </c>
      <c r="K122" s="543">
        <f t="shared" si="28"/>
        <v>92</v>
      </c>
      <c r="L122" s="543">
        <f t="shared" si="28"/>
        <v>91</v>
      </c>
      <c r="M122" s="544">
        <f t="shared" si="28"/>
        <v>90</v>
      </c>
      <c r="N122" s="1152"/>
      <c r="O122" s="1152"/>
      <c r="P122" s="45"/>
      <c r="Q122" s="503"/>
    </row>
    <row r="123" spans="1:17" s="470" customFormat="1" ht="15" thickTop="1">
      <c r="A123" s="592"/>
      <c r="B123" s="537" t="s">
        <v>2739</v>
      </c>
      <c r="C123" s="553" t="s">
        <v>3107</v>
      </c>
      <c r="D123" s="553" t="s">
        <v>3096</v>
      </c>
      <c r="E123" s="553" t="s">
        <v>3108</v>
      </c>
      <c r="F123" s="553" t="s">
        <v>3109</v>
      </c>
      <c r="G123" s="553" t="s">
        <v>3110</v>
      </c>
      <c r="H123" s="582"/>
      <c r="I123" s="582"/>
      <c r="J123" s="582"/>
      <c r="K123" s="583"/>
      <c r="L123" s="584"/>
      <c r="M123" s="585"/>
      <c r="N123" s="1153"/>
      <c r="O123" s="1153"/>
      <c r="P123" s="557"/>
      <c r="Q123" s="558"/>
    </row>
    <row r="124" spans="1:17" s="470" customFormat="1" ht="15.75" thickBot="1">
      <c r="A124" s="552"/>
      <c r="B124" s="542"/>
      <c r="C124" s="543">
        <v>100</v>
      </c>
      <c r="D124" s="543">
        <f>C124-$K41</f>
        <v>99</v>
      </c>
      <c r="E124" s="543">
        <f t="shared" ref="E124:M124" si="29">D124-$K41</f>
        <v>98</v>
      </c>
      <c r="F124" s="543">
        <f t="shared" si="29"/>
        <v>97</v>
      </c>
      <c r="G124" s="543">
        <f t="shared" si="29"/>
        <v>96</v>
      </c>
      <c r="H124" s="543">
        <f t="shared" si="29"/>
        <v>95</v>
      </c>
      <c r="I124" s="543">
        <f t="shared" si="29"/>
        <v>94</v>
      </c>
      <c r="J124" s="543">
        <f t="shared" si="29"/>
        <v>93</v>
      </c>
      <c r="K124" s="543">
        <f t="shared" si="29"/>
        <v>92</v>
      </c>
      <c r="L124" s="543">
        <f t="shared" si="29"/>
        <v>91</v>
      </c>
      <c r="M124" s="544">
        <f t="shared" si="29"/>
        <v>90</v>
      </c>
      <c r="N124" s="1153"/>
      <c r="O124" s="1153"/>
      <c r="P124" s="557"/>
      <c r="Q124" s="558"/>
    </row>
    <row r="125" spans="1:17" ht="15" thickTop="1">
      <c r="A125" s="598"/>
      <c r="B125" s="537" t="s">
        <v>2740</v>
      </c>
      <c r="C125" s="2988" t="s">
        <v>3106</v>
      </c>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30">C126-$K42</f>
        <v>99</v>
      </c>
      <c r="E126" s="543">
        <f t="shared" si="30"/>
        <v>98</v>
      </c>
      <c r="F126" s="543">
        <f t="shared" si="30"/>
        <v>97</v>
      </c>
      <c r="G126" s="543">
        <f t="shared" si="30"/>
        <v>96</v>
      </c>
      <c r="H126" s="543">
        <f t="shared" si="30"/>
        <v>95</v>
      </c>
      <c r="I126" s="543">
        <f t="shared" si="30"/>
        <v>94</v>
      </c>
      <c r="J126" s="543">
        <f t="shared" si="30"/>
        <v>93</v>
      </c>
      <c r="K126" s="543">
        <f t="shared" si="30"/>
        <v>92</v>
      </c>
      <c r="L126" s="543">
        <f t="shared" si="30"/>
        <v>91</v>
      </c>
      <c r="M126" s="544">
        <f t="shared" si="30"/>
        <v>90</v>
      </c>
      <c r="N126" s="1152"/>
      <c r="O126" s="1152"/>
      <c r="P126" s="45"/>
      <c r="Q126" s="503"/>
    </row>
    <row r="127" spans="1:17" ht="15" thickTop="1">
      <c r="A127" s="598"/>
      <c r="B127" s="537">
        <f>B43</f>
        <v>0</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0</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0</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770" priority="14" stopIfTrue="1" operator="containsText" text="超过">
      <formula>NOT(ISERROR(SEARCH("超过",F51)))</formula>
    </cfRule>
  </conditionalFormatting>
  <conditionalFormatting sqref="J53">
    <cfRule type="containsText" dxfId="769" priority="13" stopIfTrue="1" operator="containsText" text="超过">
      <formula>NOT(ISERROR(SEARCH("超过",J53)))</formula>
    </cfRule>
  </conditionalFormatting>
  <conditionalFormatting sqref="H53">
    <cfRule type="containsText" dxfId="768" priority="12" stopIfTrue="1" operator="containsText" text="超过">
      <formula>NOT(ISERROR(SEARCH("超过",H53)))</formula>
    </cfRule>
  </conditionalFormatting>
  <conditionalFormatting sqref="F53">
    <cfRule type="containsText" dxfId="767" priority="11" stopIfTrue="1" operator="containsText" text="超过">
      <formula>NOT(ISERROR(SEARCH("超过",F53)))</formula>
    </cfRule>
  </conditionalFormatting>
  <conditionalFormatting sqref="F52 H52 J52">
    <cfRule type="containsText" dxfId="766" priority="10" stopIfTrue="1" operator="containsText" text="超过">
      <formula>NOT(ISERROR(SEARCH("超过",F52)))</formula>
    </cfRule>
  </conditionalFormatting>
  <conditionalFormatting sqref="E51">
    <cfRule type="expression" dxfId="765" priority="9" stopIfTrue="1">
      <formula>$F$51="超过30%"</formula>
    </cfRule>
  </conditionalFormatting>
  <conditionalFormatting sqref="G53">
    <cfRule type="expression" dxfId="764" priority="8" stopIfTrue="1">
      <formula>$H$53="超过30%"</formula>
    </cfRule>
  </conditionalFormatting>
  <conditionalFormatting sqref="E52">
    <cfRule type="expression" dxfId="763" priority="7" stopIfTrue="1">
      <formula>$F$52="超过20%"</formula>
    </cfRule>
  </conditionalFormatting>
  <conditionalFormatting sqref="E53">
    <cfRule type="expression" dxfId="762" priority="6" stopIfTrue="1">
      <formula>$F$53="超过30%"</formula>
    </cfRule>
  </conditionalFormatting>
  <conditionalFormatting sqref="G51">
    <cfRule type="expression" dxfId="761" priority="5" stopIfTrue="1">
      <formula>$H$53+$H$51="超过30%"</formula>
    </cfRule>
  </conditionalFormatting>
  <conditionalFormatting sqref="G52">
    <cfRule type="expression" dxfId="760" priority="4" stopIfTrue="1">
      <formula>$H$52="超过20%"</formula>
    </cfRule>
  </conditionalFormatting>
  <conditionalFormatting sqref="I51">
    <cfRule type="expression" dxfId="759" priority="3" stopIfTrue="1">
      <formula>$J$51="超过30%"</formula>
    </cfRule>
  </conditionalFormatting>
  <conditionalFormatting sqref="I52">
    <cfRule type="expression" dxfId="758" priority="2" stopIfTrue="1">
      <formula>$J$52="超过20%"</formula>
    </cfRule>
  </conditionalFormatting>
  <conditionalFormatting sqref="I53">
    <cfRule type="expression" dxfId="75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4" customWidth="1"/>
    <col min="2" max="9" width="10" style="1014" customWidth="1"/>
    <col min="10" max="16384" width="9" style="1014"/>
  </cols>
  <sheetData>
    <row r="36" spans="1:9">
      <c r="A36" s="1013" t="s">
        <v>817</v>
      </c>
      <c r="B36" s="1013" t="s">
        <v>818</v>
      </c>
    </row>
    <row r="37" spans="1:9" ht="27.75" customHeight="1">
      <c r="A37" s="1013"/>
      <c r="B37" s="3017" t="str">
        <f>项目基本情况!B1</f>
        <v>安徽省庐阳区合淮路以西、市十九中学以南出让国有建设用地使用权及在建建筑物房地产抵押价值预评估</v>
      </c>
      <c r="C37" s="3017"/>
      <c r="D37" s="3017"/>
      <c r="E37" s="3017"/>
      <c r="F37" s="3017"/>
      <c r="G37" s="3017"/>
      <c r="H37" s="3017"/>
      <c r="I37" s="3017"/>
    </row>
    <row r="38" spans="1:9">
      <c r="A38" s="1015"/>
      <c r="B38" s="1015"/>
    </row>
    <row r="39" spans="1:9">
      <c r="A39" s="1013" t="s">
        <v>817</v>
      </c>
      <c r="B39" s="1013" t="s">
        <v>819</v>
      </c>
    </row>
    <row r="40" spans="1:9">
      <c r="A40" s="1013"/>
      <c r="B40" s="1940">
        <f>项目基本情况!B5</f>
        <v>0</v>
      </c>
    </row>
    <row r="41" spans="1:9">
      <c r="A41" s="1013"/>
      <c r="B41" s="1013"/>
    </row>
    <row r="42" spans="1:9">
      <c r="A42" s="1013" t="s">
        <v>817</v>
      </c>
      <c r="B42" s="1013" t="s">
        <v>820</v>
      </c>
    </row>
    <row r="43" spans="1:9">
      <c r="A43" s="1013"/>
      <c r="B43" s="1940" t="s">
        <v>821</v>
      </c>
    </row>
    <row r="44" spans="1:9">
      <c r="A44" s="1013"/>
      <c r="B44" s="1013"/>
    </row>
    <row r="45" spans="1:9">
      <c r="A45" s="1013" t="s">
        <v>817</v>
      </c>
      <c r="B45" s="1013" t="s">
        <v>822</v>
      </c>
    </row>
    <row r="46" spans="1:9" s="1013" customFormat="1" ht="12.75">
      <c r="B46" s="1940" t="str">
        <f ca="1">项目基本情况!K4</f>
        <v>郑燚（注册号：1120070131)、崔锴（注册号：1120100036)</v>
      </c>
    </row>
    <row r="47" spans="1:9">
      <c r="A47" s="1013"/>
      <c r="B47" s="1013" t="str">
        <f>项目基本情况!K5</f>
        <v/>
      </c>
    </row>
    <row r="48" spans="1:9">
      <c r="A48" s="1013" t="s">
        <v>817</v>
      </c>
      <c r="B48" s="1013" t="s">
        <v>823</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I26" sqref="I2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2277</v>
      </c>
      <c r="B1" s="1935"/>
      <c r="C1" s="241"/>
      <c r="D1" s="241"/>
      <c r="E1" s="241"/>
      <c r="F1" s="241"/>
      <c r="G1" s="1378">
        <f>MATCH(B1,'数据-取费表'!A6:A16,0)+5</f>
        <v>11</v>
      </c>
    </row>
    <row r="2" spans="1:9" s="243" customFormat="1" ht="18" customHeight="1">
      <c r="A2" s="244" t="s">
        <v>2278</v>
      </c>
      <c r="B2" s="245">
        <f ca="1">IF(D2="——",C52,C52-E2)</f>
        <v>159992</v>
      </c>
      <c r="C2" s="242" t="s">
        <v>2279</v>
      </c>
      <c r="D2" s="2542" t="s">
        <v>70</v>
      </c>
      <c r="E2" s="1439" t="e">
        <f ca="1">SUMIF(INDIRECT("'"&amp;G2&amp;"'"&amp;"!A:A"),"承租人权益价值",INDIRECT("'"&amp;G2&amp;"'"&amp;"!c:c"))</f>
        <v>#REF!</v>
      </c>
      <c r="F2" s="2543" t="s">
        <v>2279</v>
      </c>
      <c r="G2" s="2544"/>
    </row>
    <row r="3" spans="1:9" s="243" customFormat="1" ht="18" customHeight="1" thickBot="1">
      <c r="A3" s="246" t="s">
        <v>2280</v>
      </c>
      <c r="B3" s="247">
        <f ca="1">ROUND(B2*10000/(IF(B1="",'数据-汇总表'!E3,INDIRECT("'数据-取费表'!k"&amp;$G$1))),0)</f>
        <v>9562</v>
      </c>
      <c r="C3" s="242" t="s">
        <v>2281</v>
      </c>
      <c r="D3" s="242"/>
      <c r="E3" s="242"/>
      <c r="F3" s="242"/>
      <c r="G3" s="242"/>
    </row>
    <row r="4" spans="1:9" s="251" customFormat="1" ht="15.75">
      <c r="A4" s="248" t="s">
        <v>2282</v>
      </c>
      <c r="B4" s="249"/>
      <c r="C4" s="249"/>
      <c r="D4" s="249"/>
      <c r="E4" s="249"/>
      <c r="F4" s="249"/>
      <c r="G4" s="250"/>
    </row>
    <row r="5" spans="1:9" s="257" customFormat="1" ht="13.5" customHeight="1">
      <c r="A5" s="298" t="s">
        <v>2283</v>
      </c>
      <c r="B5" s="253" t="s">
        <v>2284</v>
      </c>
      <c r="C5" s="254">
        <f>C6+C7+C8</f>
        <v>104539</v>
      </c>
      <c r="D5" s="254" t="s">
        <v>2285</v>
      </c>
      <c r="E5" s="255" t="s">
        <v>2286</v>
      </c>
      <c r="F5" s="255" t="s">
        <v>2287</v>
      </c>
      <c r="G5" s="256"/>
    </row>
    <row r="6" spans="1:9" s="257" customFormat="1" ht="13.5" customHeight="1">
      <c r="A6" s="948" t="s">
        <v>2288</v>
      </c>
      <c r="B6" s="258" t="s">
        <v>2289</v>
      </c>
      <c r="C6" s="259">
        <f>'土地比较法-住宅、综合'!B2</f>
        <v>100470</v>
      </c>
      <c r="D6" s="260"/>
      <c r="E6" s="261"/>
      <c r="F6" s="261"/>
      <c r="G6" s="262"/>
    </row>
    <row r="7" spans="1:9" s="257" customFormat="1" ht="13.5" customHeight="1">
      <c r="A7" s="948" t="s">
        <v>2290</v>
      </c>
      <c r="B7" s="258" t="s">
        <v>2291</v>
      </c>
      <c r="C7" s="263">
        <f>ROUND(C6*F7,0)</f>
        <v>4069</v>
      </c>
      <c r="D7" s="263"/>
      <c r="E7" s="261"/>
      <c r="F7" s="264">
        <f>'数据-取费表'!B48+'数据-取费表'!B49</f>
        <v>4.0500000000000001E-2</v>
      </c>
      <c r="G7" s="262"/>
    </row>
    <row r="8" spans="1:9" s="266" customFormat="1">
      <c r="A8" s="948" t="s">
        <v>2292</v>
      </c>
      <c r="B8" s="258" t="s">
        <v>2293</v>
      </c>
      <c r="C8" s="263">
        <f>IF(G8="已包含在土地购买价格中","0",IF(B1="",'数据-取费表'!B29,IF(G9="全部缴纳",C9+C10,H9)))</f>
        <v>0</v>
      </c>
      <c r="D8" s="265"/>
      <c r="E8" s="263"/>
      <c r="F8" s="264"/>
      <c r="G8" s="2545" t="s">
        <v>3029</v>
      </c>
    </row>
    <row r="9" spans="1:9" s="257" customFormat="1" ht="13.5" customHeight="1">
      <c r="A9" s="949" t="s">
        <v>799</v>
      </c>
      <c r="B9" s="267" t="s">
        <v>2294</v>
      </c>
      <c r="C9" s="268">
        <f ca="1">ROUND(D9*E9/10000,0)</f>
        <v>907</v>
      </c>
      <c r="D9" s="1031">
        <f ca="1">IF(B1="",'数据-汇总表'!E5,IF(INDIRECT("'数据-取费表'!c"&amp;$G$1)="住宅",INDIRECT("'数据-取费表'!k"&amp;$G$1),0))</f>
        <v>129585.88999999998</v>
      </c>
      <c r="E9" s="268">
        <f>'数据-取费表'!B27</f>
        <v>70</v>
      </c>
      <c r="F9" s="264"/>
      <c r="G9" s="2546" t="s">
        <v>3031</v>
      </c>
      <c r="H9" s="1389"/>
      <c r="I9" s="2547" t="s">
        <v>2295</v>
      </c>
    </row>
    <row r="10" spans="1:9" s="257" customFormat="1" ht="13.5" customHeight="1">
      <c r="A10" s="949" t="s">
        <v>800</v>
      </c>
      <c r="B10" s="267" t="s">
        <v>2296</v>
      </c>
      <c r="C10" s="268">
        <f ca="1">ROUND(D10*E10/10000,0)</f>
        <v>415</v>
      </c>
      <c r="D10" s="1031">
        <f ca="1">IF(B1="",'数据-汇总表'!E6,IF(INDIRECT("'数据-取费表'!c"&amp;$G$1)="住宅",INDIRECT("'数据-取费表'!s"&amp;$G$1),INDIRECT("'数据-取费表'!k"&amp;$G$1)+INDIRECT("'数据-取费表'!s"&amp;$G$1)))</f>
        <v>37739.420000000042</v>
      </c>
      <c r="E10" s="268">
        <f>'数据-取费表'!B28</f>
        <v>110</v>
      </c>
      <c r="F10" s="264"/>
      <c r="G10" s="269"/>
    </row>
    <row r="11" spans="1:9" s="257" customFormat="1" ht="13.5" hidden="1" customHeight="1">
      <c r="A11" s="270" t="s">
        <v>7</v>
      </c>
      <c r="B11" s="258" t="s">
        <v>2297</v>
      </c>
      <c r="C11" s="254"/>
      <c r="D11" s="1033"/>
      <c r="E11" s="261"/>
      <c r="F11" s="261"/>
      <c r="G11" s="262"/>
    </row>
    <row r="12" spans="1:9" s="257" customFormat="1" ht="13.5" hidden="1" customHeight="1">
      <c r="A12" s="270" t="s">
        <v>8</v>
      </c>
      <c r="B12" s="258" t="s">
        <v>2298</v>
      </c>
      <c r="C12" s="254">
        <v>0</v>
      </c>
      <c r="D12" s="1033"/>
      <c r="E12" s="271"/>
      <c r="F12" s="264">
        <v>3.0499999999999999E-2</v>
      </c>
      <c r="G12" s="262"/>
    </row>
    <row r="13" spans="1:9" s="257" customFormat="1" ht="13.5" hidden="1" customHeight="1">
      <c r="A13" s="270" t="s">
        <v>9</v>
      </c>
      <c r="B13" s="258" t="s">
        <v>2299</v>
      </c>
      <c r="C13" s="254"/>
      <c r="D13" s="1033"/>
      <c r="E13" s="261"/>
      <c r="F13" s="261"/>
      <c r="G13" s="262"/>
    </row>
    <row r="14" spans="1:9" s="257" customFormat="1" ht="13.5" hidden="1" customHeight="1">
      <c r="A14" s="270" t="s">
        <v>10</v>
      </c>
      <c r="B14" s="258" t="s">
        <v>2300</v>
      </c>
      <c r="C14" s="254"/>
      <c r="D14" s="1033"/>
      <c r="E14" s="261"/>
      <c r="F14" s="261"/>
      <c r="G14" s="262" t="s">
        <v>2301</v>
      </c>
    </row>
    <row r="15" spans="1:9" s="257" customFormat="1" ht="13.5" hidden="1" customHeight="1">
      <c r="A15" s="270" t="s">
        <v>11</v>
      </c>
      <c r="B15" s="258" t="s">
        <v>2302</v>
      </c>
      <c r="C15" s="263"/>
      <c r="D15" s="1033"/>
      <c r="E15" s="261"/>
      <c r="F15" s="261"/>
      <c r="G15" s="262" t="s">
        <v>2303</v>
      </c>
    </row>
    <row r="16" spans="1:9" s="257" customFormat="1" ht="13.5" hidden="1" customHeight="1">
      <c r="A16" s="270" t="s">
        <v>12</v>
      </c>
      <c r="B16" s="258" t="s">
        <v>2300</v>
      </c>
      <c r="C16" s="263"/>
      <c r="D16" s="1033"/>
      <c r="E16" s="261"/>
      <c r="F16" s="261"/>
      <c r="G16" s="262"/>
    </row>
    <row r="17" spans="1:7" s="257" customFormat="1" ht="13.5" hidden="1" customHeight="1">
      <c r="A17" s="270" t="s">
        <v>13</v>
      </c>
      <c r="B17" s="258" t="s">
        <v>2304</v>
      </c>
      <c r="C17" s="272"/>
      <c r="D17" s="1034"/>
      <c r="E17" s="272"/>
      <c r="F17" s="272"/>
      <c r="G17" s="262" t="s">
        <v>2303</v>
      </c>
    </row>
    <row r="18" spans="1:7" s="257" customFormat="1" ht="13.5" hidden="1" customHeight="1">
      <c r="A18" s="270" t="s">
        <v>14</v>
      </c>
      <c r="B18" s="258" t="s">
        <v>2305</v>
      </c>
      <c r="C18" s="263">
        <v>0</v>
      </c>
      <c r="D18" s="1033"/>
      <c r="E18" s="261"/>
      <c r="F18" s="264">
        <v>3.0499999999999999E-2</v>
      </c>
      <c r="G18" s="262" t="s">
        <v>2306</v>
      </c>
    </row>
    <row r="19" spans="1:7" s="266" customFormat="1" ht="13.5" customHeight="1">
      <c r="A19" s="298" t="s">
        <v>2307</v>
      </c>
      <c r="B19" s="253" t="s">
        <v>2308</v>
      </c>
      <c r="C19" s="254" t="str">
        <f>IF(G19="已包含在土地取得成本中","0",ROUND(D19*E19/10000,0))</f>
        <v>0</v>
      </c>
      <c r="D19" s="1035">
        <f ca="1">D9+D10</f>
        <v>167325.31000000003</v>
      </c>
      <c r="E19" s="254">
        <f>'数据-取费表'!B31</f>
        <v>200</v>
      </c>
      <c r="F19" s="274"/>
      <c r="G19" s="2545" t="s">
        <v>3030</v>
      </c>
    </row>
    <row r="20" spans="1:7" s="257" customFormat="1" ht="13.5" customHeight="1">
      <c r="A20" s="298" t="s">
        <v>2309</v>
      </c>
      <c r="B20" s="253" t="s">
        <v>2310</v>
      </c>
      <c r="C20" s="275">
        <f>ROUND((C5+C19)*F20,0)</f>
        <v>3136</v>
      </c>
      <c r="D20" s="275"/>
      <c r="E20" s="275"/>
      <c r="F20" s="276">
        <f>'数据-取费表'!B37</f>
        <v>0.03</v>
      </c>
      <c r="G20" s="277" t="s">
        <v>2311</v>
      </c>
    </row>
    <row r="21" spans="1:7" s="257" customFormat="1" ht="13.5" customHeight="1">
      <c r="A21" s="298" t="s">
        <v>2312</v>
      </c>
      <c r="B21" s="253" t="s">
        <v>2313</v>
      </c>
      <c r="C21" s="278">
        <f>F21</f>
        <v>0.03</v>
      </c>
      <c r="D21" s="279" t="s">
        <v>2314</v>
      </c>
      <c r="E21" s="275"/>
      <c r="F21" s="276">
        <f>'数据-取费表'!B38</f>
        <v>0.03</v>
      </c>
      <c r="G21" s="277" t="s">
        <v>2315</v>
      </c>
    </row>
    <row r="22" spans="1:7" s="257" customFormat="1" ht="13.5" customHeight="1">
      <c r="A22" s="298" t="s">
        <v>2316</v>
      </c>
      <c r="B22" s="253" t="s">
        <v>2317</v>
      </c>
      <c r="C22" s="1353">
        <f ca="1">ROUND(SUM(C23:C25),0)</f>
        <v>6597</v>
      </c>
      <c r="D22" s="278">
        <f ca="1">C26</f>
        <v>8.9999999999999998E-4</v>
      </c>
      <c r="E22" s="279" t="s">
        <v>2314</v>
      </c>
      <c r="F22" s="280">
        <f ca="1">'数据-取费表'!B40</f>
        <v>4.7500000000000001E-2</v>
      </c>
      <c r="G22" s="277" t="str">
        <f>IF('数据-取费表'!B22&lt;=1,"单利计息","复利计息")</f>
        <v>复利计息</v>
      </c>
    </row>
    <row r="23" spans="1:7" s="257" customFormat="1" ht="13.5" customHeight="1">
      <c r="A23" s="950" t="s">
        <v>2318</v>
      </c>
      <c r="B23" s="258" t="s">
        <v>2319</v>
      </c>
      <c r="C23" s="1354">
        <f ca="1">ROUND(IF('数据-取费表'!B22&lt;=1,C5*F22*'数据-取费表'!B23,C5*(POWER((1+F22),'数据-取费表'!B23)-1)),0)</f>
        <v>6501</v>
      </c>
      <c r="D23" s="281"/>
      <c r="E23" s="281"/>
      <c r="F23" s="282"/>
      <c r="G23" s="283" t="s">
        <v>2320</v>
      </c>
    </row>
    <row r="24" spans="1:7" s="257" customFormat="1" ht="13.5" customHeight="1">
      <c r="A24" s="950" t="s">
        <v>2321</v>
      </c>
      <c r="B24" s="258" t="s">
        <v>2322</v>
      </c>
      <c r="C24" s="1354">
        <f ca="1">ROUND(IF('数据-取费表'!B22&lt;=1,C19*F22*('数据-取费表'!B19/2+'数据-取费表'!B21),C19*(POWER((1+F22),('数据-取费表'!B19/2+'数据-取费表'!B21))-1)),0)</f>
        <v>0</v>
      </c>
      <c r="D24" s="281"/>
      <c r="E24" s="281"/>
      <c r="F24" s="282"/>
      <c r="G24" s="283" t="s">
        <v>2323</v>
      </c>
    </row>
    <row r="25" spans="1:7" s="257" customFormat="1" ht="24">
      <c r="A25" s="950" t="s">
        <v>2324</v>
      </c>
      <c r="B25" s="258" t="s">
        <v>2325</v>
      </c>
      <c r="C25" s="1354">
        <f ca="1">ROUND(IF('数据-取费表'!B22&lt;=1,C20*F22*'数据-取费表'!B23/2,C20*(POWER((1+F22),'数据-取费表'!B23/2)-1)),0)</f>
        <v>96</v>
      </c>
      <c r="D25" s="281"/>
      <c r="E25" s="284"/>
      <c r="F25" s="282"/>
      <c r="G25" s="285" t="s">
        <v>2326</v>
      </c>
    </row>
    <row r="26" spans="1:7" s="257" customFormat="1">
      <c r="A26" s="950" t="s">
        <v>794</v>
      </c>
      <c r="B26" s="258" t="s">
        <v>2327</v>
      </c>
      <c r="C26" s="281">
        <f ca="1">ROUND(IF('数据-取费表'!B22&lt;=1,F21*F22*'数据-取费表'!B23/2,F21*(POWER((1+F22),'数据-取费表'!B23/2)-1)),4)</f>
        <v>8.9999999999999998E-4</v>
      </c>
      <c r="D26" s="281"/>
      <c r="E26" s="284"/>
      <c r="F26" s="282"/>
      <c r="G26" s="286"/>
    </row>
    <row r="27" spans="1:7" s="257" customFormat="1" ht="24.75">
      <c r="A27" s="298" t="s">
        <v>2328</v>
      </c>
      <c r="B27" s="287" t="s">
        <v>2329</v>
      </c>
      <c r="C27" s="288">
        <f ca="1">C28</f>
        <v>5599</v>
      </c>
      <c r="D27" s="278">
        <f ca="1">C29</f>
        <v>1.6000000000000001E-3</v>
      </c>
      <c r="E27" s="279" t="s">
        <v>2330</v>
      </c>
      <c r="F27" s="289">
        <f ca="1">IF(B1="",'数据-取费表'!Q16,INDIRECT("'数据-取费表'!q"&amp;$G$1))</f>
        <v>0.08</v>
      </c>
      <c r="G27" s="290" t="s">
        <v>2331</v>
      </c>
    </row>
    <row r="28" spans="1:7" s="257" customFormat="1" ht="13.5" customHeight="1">
      <c r="A28" s="950" t="s">
        <v>790</v>
      </c>
      <c r="B28" s="291" t="s">
        <v>2332</v>
      </c>
      <c r="C28" s="292">
        <f ca="1">ROUND((C5+C19+C20)*F27*'数据-取费表'!B21/'数据-取费表'!B20,0)</f>
        <v>5599</v>
      </c>
      <c r="D28" s="278"/>
      <c r="E28" s="279"/>
      <c r="F28" s="289"/>
      <c r="G28" s="290"/>
    </row>
    <row r="29" spans="1:7" s="257" customFormat="1" ht="13.5" customHeight="1">
      <c r="A29" s="950" t="s">
        <v>791</v>
      </c>
      <c r="B29" s="291" t="s">
        <v>2333</v>
      </c>
      <c r="C29" s="281">
        <f ca="1">ROUND(C21*F27*'数据-取费表'!B21/'数据-取费表'!B20,4)</f>
        <v>1.6000000000000001E-3</v>
      </c>
      <c r="D29" s="278"/>
      <c r="E29" s="279"/>
      <c r="F29" s="289"/>
      <c r="G29" s="290"/>
    </row>
    <row r="30" spans="1:7" s="257" customFormat="1" ht="13.5" customHeight="1">
      <c r="A30" s="298" t="s">
        <v>2334</v>
      </c>
      <c r="B30" s="253" t="s">
        <v>2335</v>
      </c>
      <c r="C30" s="278">
        <f>ROUND(F30/(1+'数据-取费表'!C42),4)</f>
        <v>5.33E-2</v>
      </c>
      <c r="D30" s="279" t="s">
        <v>2330</v>
      </c>
      <c r="E30" s="284"/>
      <c r="F30" s="280">
        <f>'数据-取费表'!B41</f>
        <v>5.6000000000000001E-2</v>
      </c>
      <c r="G30" s="277" t="s">
        <v>2336</v>
      </c>
    </row>
    <row r="31" spans="1:7" ht="16.5" customHeight="1">
      <c r="A31" s="252">
        <v>1</v>
      </c>
      <c r="B31" s="253" t="s">
        <v>2337</v>
      </c>
      <c r="C31" s="254">
        <f ca="1">ROUND((C5+C19+C20+C22+C27)/(1-C21-D22-D27-C30),0)</f>
        <v>131121</v>
      </c>
      <c r="D31" s="273"/>
      <c r="E31" s="254"/>
      <c r="F31" s="293"/>
      <c r="G31" s="277" t="s">
        <v>2338</v>
      </c>
    </row>
    <row r="32" spans="1:7" s="251" customFormat="1" ht="15.75">
      <c r="A32" s="295" t="s">
        <v>2339</v>
      </c>
      <c r="B32" s="296"/>
      <c r="C32" s="296"/>
      <c r="D32" s="296"/>
      <c r="E32" s="296"/>
      <c r="F32" s="296"/>
      <c r="G32" s="297"/>
    </row>
    <row r="33" spans="1:7" s="257" customFormat="1" ht="13.5" customHeight="1">
      <c r="A33" s="298" t="s">
        <v>781</v>
      </c>
      <c r="B33" s="253" t="s">
        <v>2340</v>
      </c>
      <c r="C33" s="299">
        <f ca="1">SUM(C34:C38)</f>
        <v>23052</v>
      </c>
      <c r="D33" s="275"/>
      <c r="E33" s="255"/>
      <c r="F33" s="284"/>
      <c r="G33" s="277"/>
    </row>
    <row r="34" spans="1:7" s="301" customFormat="1" ht="13.5" customHeight="1">
      <c r="A34" s="950" t="s">
        <v>790</v>
      </c>
      <c r="B34" s="258" t="s">
        <v>2341</v>
      </c>
      <c r="C34" s="263">
        <f ca="1">IF(B1="",IF(F34=100%,'数据-取费表'!M16,'数据-取费表'!O16),IF(F34=100%,INDIRECT("'数据-取费表'!m"&amp;$G$1)+INDIRECT("'数据-取费表'!t"&amp;$G$1),INDIRECT("'数据-取费表'!o"&amp;$G$1)+INDIRECT("'数据-取费表'!aq"&amp;$G$1)))</f>
        <v>19644</v>
      </c>
      <c r="D34" s="260"/>
      <c r="E34" s="263"/>
      <c r="F34" s="300">
        <f ca="1">IF('数据-取费表'!B24=0,1,IF(B1="",'数据-取费表'!N16,INDIRECT("'数据-取费表'!n"&amp;$G$1)))</f>
        <v>0.62</v>
      </c>
      <c r="G34" s="262" t="s">
        <v>2342</v>
      </c>
    </row>
    <row r="35" spans="1:7" ht="13.5" customHeight="1">
      <c r="A35" s="950" t="s">
        <v>795</v>
      </c>
      <c r="B35" s="258" t="s">
        <v>2343</v>
      </c>
      <c r="C35" s="263">
        <f ca="1">ROUND(C34*F35,0)</f>
        <v>589</v>
      </c>
      <c r="D35" s="263"/>
      <c r="E35" s="263"/>
      <c r="F35" s="302">
        <f>'数据-取费表'!B33</f>
        <v>0.03</v>
      </c>
      <c r="G35" s="262" t="s">
        <v>2344</v>
      </c>
    </row>
    <row r="36" spans="1:7" ht="24">
      <c r="A36" s="950" t="s">
        <v>796</v>
      </c>
      <c r="B36" s="258" t="s">
        <v>2345</v>
      </c>
      <c r="C36" s="263">
        <f ca="1">ROUND(IF(B1="",SUMIF('数据-取费表'!C:C,"住宅",IF(F34=100%,'数据-取费表'!M:M,'数据-取费表'!O:O))*F36,IF(INDIRECT("'数据-取费表'!c"&amp;$G$1)="住宅",IF(F34=100%,INDIRECT("'数据-取费表'!m"&amp;$G$1)*F36,INDIRECT("'数据-取费表'!o"&amp;$G$1)*F36),0)),0)</f>
        <v>449</v>
      </c>
      <c r="D36" s="263"/>
      <c r="E36" s="263"/>
      <c r="F36" s="302">
        <f>'数据-取费表'!B34</f>
        <v>0.03</v>
      </c>
      <c r="G36" s="303" t="s">
        <v>2346</v>
      </c>
    </row>
    <row r="37" spans="1:7" s="301" customFormat="1" ht="13.5" customHeight="1">
      <c r="A37" s="950" t="s">
        <v>797</v>
      </c>
      <c r="B37" s="258" t="s">
        <v>2347</v>
      </c>
      <c r="C37" s="292">
        <f ca="1">ROUND(E37*D37*F34/10000,0)</f>
        <v>2075</v>
      </c>
      <c r="D37" s="260">
        <f ca="1">D19</f>
        <v>167325.31000000003</v>
      </c>
      <c r="E37" s="292">
        <f>'数据-取费表'!B35</f>
        <v>200</v>
      </c>
      <c r="F37" s="302"/>
      <c r="G37" s="304" t="s">
        <v>2348</v>
      </c>
    </row>
    <row r="38" spans="1:7" ht="13.5" customHeight="1">
      <c r="A38" s="950" t="s">
        <v>798</v>
      </c>
      <c r="B38" s="258" t="s">
        <v>2349</v>
      </c>
      <c r="C38" s="263">
        <f ca="1">ROUND(C34*F38,0)</f>
        <v>295</v>
      </c>
      <c r="D38" s="263"/>
      <c r="E38" s="263"/>
      <c r="F38" s="302">
        <f>'数据-取费表'!B36</f>
        <v>1.4999999999999999E-2</v>
      </c>
      <c r="G38" s="262" t="s">
        <v>2344</v>
      </c>
    </row>
    <row r="39" spans="1:7" s="257" customFormat="1" ht="13.5" customHeight="1">
      <c r="A39" s="298" t="s">
        <v>2350</v>
      </c>
      <c r="B39" s="253" t="s">
        <v>2351</v>
      </c>
      <c r="C39" s="275">
        <f ca="1">ROUND(C33*F20,0)</f>
        <v>692</v>
      </c>
      <c r="D39" s="275"/>
      <c r="E39" s="275"/>
      <c r="F39" s="276"/>
      <c r="G39" s="277" t="s">
        <v>2352</v>
      </c>
    </row>
    <row r="40" spans="1:7" s="257" customFormat="1" ht="13.5" customHeight="1">
      <c r="A40" s="298" t="s">
        <v>2353</v>
      </c>
      <c r="B40" s="253" t="s">
        <v>2354</v>
      </c>
      <c r="C40" s="1726">
        <f>F21</f>
        <v>0.03</v>
      </c>
      <c r="D40" s="279" t="s">
        <v>2355</v>
      </c>
      <c r="E40" s="275"/>
      <c r="F40" s="276"/>
      <c r="G40" s="277" t="s">
        <v>2356</v>
      </c>
    </row>
    <row r="41" spans="1:7" s="257" customFormat="1" ht="13.5" customHeight="1">
      <c r="A41" s="298" t="s">
        <v>2357</v>
      </c>
      <c r="B41" s="253" t="s">
        <v>2358</v>
      </c>
      <c r="C41" s="275">
        <f ca="1">ROUND(SUM(C42:C43),0)</f>
        <v>727</v>
      </c>
      <c r="D41" s="278">
        <f ca="1">C44</f>
        <v>8.9999999999999998E-4</v>
      </c>
      <c r="E41" s="279" t="s">
        <v>2355</v>
      </c>
      <c r="F41" s="280"/>
      <c r="G41" s="277" t="str">
        <f>IF('数据-取费表'!B22&lt;=1,"单利计息","复利计息")</f>
        <v>复利计息</v>
      </c>
    </row>
    <row r="42" spans="1:7" ht="13.5" customHeight="1">
      <c r="A42" s="950" t="s">
        <v>790</v>
      </c>
      <c r="B42" s="258" t="s">
        <v>2359</v>
      </c>
      <c r="C42" s="281">
        <f ca="1">ROUND(IF('数据-取费表'!B22&lt;=1,C33*F22*'数据-取费表'!B21/2,C33*(POWER((1+F22),'数据-取费表'!B21/2)-1)),0)</f>
        <v>706</v>
      </c>
      <c r="D42" s="281"/>
      <c r="E42" s="281"/>
      <c r="F42" s="282"/>
      <c r="G42" s="3247" t="s">
        <v>2360</v>
      </c>
    </row>
    <row r="43" spans="1:7" ht="13.5" customHeight="1">
      <c r="A43" s="950" t="s">
        <v>791</v>
      </c>
      <c r="B43" s="258" t="s">
        <v>2361</v>
      </c>
      <c r="C43" s="281">
        <f ca="1">ROUND(IF('数据-取费表'!B22&lt;=1,C39*F22*'数据-取费表'!B21/2,C39*(POWER((1+F22),'数据-取费表'!B21/2)-1)),0)</f>
        <v>21</v>
      </c>
      <c r="D43" s="281"/>
      <c r="E43" s="281"/>
      <c r="F43" s="282"/>
      <c r="G43" s="3248"/>
    </row>
    <row r="44" spans="1:7" ht="13.5" customHeight="1">
      <c r="A44" s="950" t="s">
        <v>792</v>
      </c>
      <c r="B44" s="258" t="s">
        <v>2362</v>
      </c>
      <c r="C44" s="281">
        <f ca="1">ROUND(IF('数据-取费表'!B22&lt;=1,C40*F22*'数据-取费表'!B21/2,C40*(POWER((1+F22),'数据-取费表'!B21/2)-1)),4)</f>
        <v>8.9999999999999998E-4</v>
      </c>
      <c r="D44" s="281"/>
      <c r="E44" s="281"/>
      <c r="F44" s="282"/>
      <c r="G44" s="3249"/>
    </row>
    <row r="45" spans="1:7" s="257" customFormat="1" ht="13.5" customHeight="1">
      <c r="A45" s="298" t="s">
        <v>2363</v>
      </c>
      <c r="B45" s="287" t="s">
        <v>2329</v>
      </c>
      <c r="C45" s="288">
        <f ca="1">C46</f>
        <v>1900</v>
      </c>
      <c r="D45" s="278">
        <f ca="1">C47</f>
        <v>2.3999999999999998E-3</v>
      </c>
      <c r="E45" s="279" t="s">
        <v>2355</v>
      </c>
      <c r="F45" s="289"/>
      <c r="G45" s="290" t="s">
        <v>2364</v>
      </c>
    </row>
    <row r="46" spans="1:7" s="257" customFormat="1" ht="13.5" customHeight="1">
      <c r="A46" s="950" t="s">
        <v>790</v>
      </c>
      <c r="B46" s="291" t="s">
        <v>2365</v>
      </c>
      <c r="C46" s="292">
        <f ca="1">ROUND((C33+C39)*F27,0)</f>
        <v>1900</v>
      </c>
      <c r="D46" s="306"/>
      <c r="E46" s="279"/>
      <c r="F46" s="289"/>
      <c r="G46" s="290"/>
    </row>
    <row r="47" spans="1:7" s="257" customFormat="1" ht="13.5" customHeight="1">
      <c r="A47" s="950" t="s">
        <v>791</v>
      </c>
      <c r="B47" s="291" t="s">
        <v>2366</v>
      </c>
      <c r="C47" s="281">
        <f ca="1">ROUND(C40*F27,4)</f>
        <v>2.3999999999999998E-3</v>
      </c>
      <c r="D47" s="306"/>
      <c r="E47" s="279"/>
      <c r="F47" s="289"/>
      <c r="G47" s="290"/>
    </row>
    <row r="48" spans="1:7" s="257" customFormat="1" ht="13.5" customHeight="1">
      <c r="A48" s="298" t="s">
        <v>2328</v>
      </c>
      <c r="B48" s="253" t="s">
        <v>2367</v>
      </c>
      <c r="C48" s="1726">
        <f>ROUND(F30/(1+'数据-取费表'!C42),4)</f>
        <v>5.33E-2</v>
      </c>
      <c r="D48" s="279" t="s">
        <v>2355</v>
      </c>
      <c r="E48" s="275"/>
      <c r="F48" s="280"/>
      <c r="G48" s="277" t="s">
        <v>2368</v>
      </c>
    </row>
    <row r="49" spans="1:7" ht="16.5" customHeight="1">
      <c r="A49" s="298" t="s">
        <v>2334</v>
      </c>
      <c r="B49" s="253" t="s">
        <v>2369</v>
      </c>
      <c r="C49" s="275">
        <f ca="1">ROUND((C33+C39+C41+C45)/(1-C40-D41-D45-C48),0)</f>
        <v>28871</v>
      </c>
      <c r="D49" s="275"/>
      <c r="E49" s="275"/>
      <c r="F49" s="307"/>
      <c r="G49" s="277" t="s">
        <v>2370</v>
      </c>
    </row>
    <row r="50" spans="1:7" s="301" customFormat="1" ht="24">
      <c r="A50" s="298" t="s">
        <v>2371</v>
      </c>
      <c r="B50" s="253" t="s">
        <v>2372</v>
      </c>
      <c r="C50" s="275"/>
      <c r="D50" s="275"/>
      <c r="E50" s="275"/>
      <c r="F50" s="307">
        <f>IF('数据-取费表'!B24=0,'数据-取费表'!N16,1)</f>
        <v>1</v>
      </c>
      <c r="G50" s="290" t="s">
        <v>2373</v>
      </c>
    </row>
    <row r="51" spans="1:7" ht="16.5" customHeight="1">
      <c r="A51" s="298" t="s">
        <v>2374</v>
      </c>
      <c r="B51" s="253" t="s">
        <v>2375</v>
      </c>
      <c r="C51" s="275">
        <f ca="1">ROUND(C49*F50,0)</f>
        <v>28871</v>
      </c>
      <c r="D51" s="275"/>
      <c r="E51" s="275"/>
      <c r="F51" s="307"/>
      <c r="G51" s="277" t="s">
        <v>2376</v>
      </c>
    </row>
    <row r="52" spans="1:7" s="251" customFormat="1" ht="16.5" thickBot="1">
      <c r="A52" s="308" t="s">
        <v>2377</v>
      </c>
      <c r="B52" s="309"/>
      <c r="C52" s="310">
        <f ca="1">C31+C51</f>
        <v>159992</v>
      </c>
      <c r="D52" s="309"/>
      <c r="E52" s="309"/>
      <c r="F52" s="309"/>
      <c r="G52" s="311"/>
    </row>
    <row r="55" spans="1:7" ht="15">
      <c r="B55" s="313" t="s">
        <v>2378</v>
      </c>
      <c r="C55" s="314"/>
    </row>
    <row r="56" spans="1:7">
      <c r="B56" s="316" t="s">
        <v>1505</v>
      </c>
      <c r="C56" s="318">
        <f ca="1">1-C57</f>
        <v>0.82000000000000006</v>
      </c>
    </row>
    <row r="57" spans="1:7">
      <c r="B57" s="316" t="s">
        <v>1506</v>
      </c>
      <c r="C57" s="317">
        <f ca="1">ROUND(C51/C52,3)</f>
        <v>0.18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2277</v>
      </c>
      <c r="B1" s="1935"/>
      <c r="C1" s="2548" t="s">
        <v>2379</v>
      </c>
      <c r="D1" s="241"/>
      <c r="E1" s="241"/>
      <c r="F1" s="241"/>
      <c r="G1" s="1378">
        <f>MATCH(B1,'数据-取费表'!A6:A16,0)+5</f>
        <v>11</v>
      </c>
      <c r="H1" s="1281" t="str">
        <f>IF(ISERROR(FIND("住宅",B1)),"非住宅","住宅")</f>
        <v>非住宅</v>
      </c>
    </row>
    <row r="2" spans="1:8" s="243" customFormat="1" ht="18" customHeight="1">
      <c r="A2" s="244" t="s">
        <v>2278</v>
      </c>
      <c r="B2" s="245">
        <f ca="1">ROUND(IF(D2="——",C52/10000,C52/10000-E2),0)</f>
        <v>53492</v>
      </c>
      <c r="C2" s="242" t="s">
        <v>2279</v>
      </c>
      <c r="D2" s="2542" t="s">
        <v>70</v>
      </c>
      <c r="E2" s="1439" t="e">
        <f ca="1">SUMIF(INDIRECT("'"&amp;G2&amp;"'"&amp;"!A:A"),"承租人权益价值",INDIRECT("'"&amp;G2&amp;"'"&amp;"!c:c"))</f>
        <v>#REF!</v>
      </c>
      <c r="F2" s="2543" t="s">
        <v>2279</v>
      </c>
      <c r="G2" s="2544"/>
    </row>
    <row r="3" spans="1:8" s="243" customFormat="1" ht="18" customHeight="1" thickBot="1">
      <c r="A3" s="246" t="s">
        <v>2280</v>
      </c>
      <c r="B3" s="247">
        <f ca="1">ROUND(B2*10000/(IF(B1="",'数据-汇总表'!E3,INDIRECT("'数据-取费表'!k"&amp;$G$1))),0)</f>
        <v>3197</v>
      </c>
      <c r="C3" s="242" t="s">
        <v>2281</v>
      </c>
      <c r="D3" s="242"/>
      <c r="E3" s="242"/>
      <c r="F3" s="242"/>
      <c r="G3" s="242"/>
    </row>
    <row r="4" spans="1:8" s="251" customFormat="1" ht="15.75">
      <c r="A4" s="248" t="s">
        <v>2282</v>
      </c>
      <c r="B4" s="249"/>
      <c r="C4" s="249"/>
      <c r="D4" s="249"/>
      <c r="E4" s="249"/>
      <c r="F4" s="249"/>
      <c r="G4" s="250"/>
    </row>
    <row r="5" spans="1:8" s="257" customFormat="1" ht="13.5" customHeight="1">
      <c r="A5" s="298" t="s">
        <v>2283</v>
      </c>
      <c r="B5" s="253" t="s">
        <v>2284</v>
      </c>
      <c r="C5" s="254">
        <f ca="1">C6+C7+C8</f>
        <v>13222348</v>
      </c>
      <c r="D5" s="254" t="s">
        <v>2285</v>
      </c>
      <c r="E5" s="255" t="s">
        <v>2286</v>
      </c>
      <c r="F5" s="255" t="s">
        <v>2287</v>
      </c>
      <c r="G5" s="256"/>
    </row>
    <row r="6" spans="1:8" s="257" customFormat="1" ht="13.5" customHeight="1">
      <c r="A6" s="948" t="s">
        <v>2288</v>
      </c>
      <c r="B6" s="258" t="s">
        <v>2289</v>
      </c>
      <c r="C6" s="259"/>
      <c r="D6" s="260"/>
      <c r="E6" s="261"/>
      <c r="F6" s="261"/>
      <c r="G6" s="262"/>
    </row>
    <row r="7" spans="1:8" s="257" customFormat="1" ht="13.5" customHeight="1">
      <c r="A7" s="948" t="s">
        <v>2290</v>
      </c>
      <c r="B7" s="258" t="s">
        <v>2291</v>
      </c>
      <c r="C7" s="263">
        <f>ROUND(C6*F7,0)</f>
        <v>0</v>
      </c>
      <c r="D7" s="263"/>
      <c r="E7" s="261"/>
      <c r="F7" s="264">
        <f>'数据-取费表'!B48+'数据-取费表'!B49</f>
        <v>4.0500000000000001E-2</v>
      </c>
      <c r="G7" s="262"/>
    </row>
    <row r="8" spans="1:8" s="266" customFormat="1">
      <c r="A8" s="948" t="s">
        <v>2292</v>
      </c>
      <c r="B8" s="258" t="s">
        <v>2293</v>
      </c>
      <c r="C8" s="263">
        <f ca="1">IF(G8="已包含在土地购买价格中",0,C9+C10)</f>
        <v>13222348</v>
      </c>
      <c r="D8" s="265"/>
      <c r="E8" s="263"/>
      <c r="F8" s="264"/>
      <c r="G8" s="2545"/>
    </row>
    <row r="9" spans="1:8" s="257" customFormat="1" ht="13.5" customHeight="1">
      <c r="A9" s="949" t="s">
        <v>799</v>
      </c>
      <c r="B9" s="267" t="s">
        <v>2294</v>
      </c>
      <c r="C9" s="268">
        <f ca="1">ROUND(D9*E9,0)</f>
        <v>9071012</v>
      </c>
      <c r="D9" s="1031">
        <f ca="1">IF(B1="",'数据-汇总表'!E5,IF(INDIRECT("'数据-取费表'!c"&amp;$G$1)="住宅",INDIRECT("'数据-取费表'!k"&amp;$G$1),0))</f>
        <v>129585.88999999998</v>
      </c>
      <c r="E9" s="268">
        <f>'数据-取费表'!B27</f>
        <v>70</v>
      </c>
      <c r="F9" s="264"/>
      <c r="G9" s="269"/>
    </row>
    <row r="10" spans="1:8" s="257" customFormat="1" ht="13.5" customHeight="1">
      <c r="A10" s="949" t="s">
        <v>800</v>
      </c>
      <c r="B10" s="267" t="s">
        <v>2296</v>
      </c>
      <c r="C10" s="268">
        <f ca="1">ROUND(D10*E10,0)</f>
        <v>4151336</v>
      </c>
      <c r="D10" s="1031">
        <f ca="1">IF(B1="",'数据-汇总表'!E6,IF(INDIRECT("'数据-取费表'!c"&amp;$G$1)="住宅",INDIRECT("'数据-取费表'!s"&amp;$G$1),INDIRECT("'数据-取费表'!k"&amp;$G$1)+INDIRECT("'数据-取费表'!s"&amp;$G$1)))</f>
        <v>37739.420000000042</v>
      </c>
      <c r="E10" s="268">
        <f>'数据-取费表'!B28</f>
        <v>110</v>
      </c>
      <c r="F10" s="264"/>
      <c r="G10" s="269"/>
    </row>
    <row r="11" spans="1:8" s="257" customFormat="1" ht="13.5" hidden="1" customHeight="1">
      <c r="A11" s="270" t="s">
        <v>7</v>
      </c>
      <c r="B11" s="258" t="s">
        <v>2297</v>
      </c>
      <c r="C11" s="254"/>
      <c r="D11" s="1033"/>
      <c r="E11" s="261"/>
      <c r="F11" s="261"/>
      <c r="G11" s="262"/>
    </row>
    <row r="12" spans="1:8" s="257" customFormat="1" ht="13.5" hidden="1" customHeight="1">
      <c r="A12" s="270" t="s">
        <v>8</v>
      </c>
      <c r="B12" s="258" t="s">
        <v>2380</v>
      </c>
      <c r="C12" s="254">
        <v>0</v>
      </c>
      <c r="D12" s="1033"/>
      <c r="E12" s="271"/>
      <c r="F12" s="264">
        <v>3.0499999999999999E-2</v>
      </c>
      <c r="G12" s="262"/>
    </row>
    <row r="13" spans="1:8" s="257" customFormat="1" ht="13.5" hidden="1" customHeight="1">
      <c r="A13" s="270" t="s">
        <v>9</v>
      </c>
      <c r="B13" s="258" t="s">
        <v>2381</v>
      </c>
      <c r="C13" s="254"/>
      <c r="D13" s="1033"/>
      <c r="E13" s="261"/>
      <c r="F13" s="261"/>
      <c r="G13" s="262"/>
    </row>
    <row r="14" spans="1:8" s="257" customFormat="1" ht="13.5" hidden="1" customHeight="1">
      <c r="A14" s="270" t="s">
        <v>10</v>
      </c>
      <c r="B14" s="258" t="s">
        <v>2293</v>
      </c>
      <c r="C14" s="254"/>
      <c r="D14" s="1033"/>
      <c r="E14" s="261"/>
      <c r="F14" s="261"/>
      <c r="G14" s="262" t="s">
        <v>2382</v>
      </c>
    </row>
    <row r="15" spans="1:8" s="257" customFormat="1" ht="13.5" hidden="1" customHeight="1">
      <c r="A15" s="270" t="s">
        <v>11</v>
      </c>
      <c r="B15" s="258" t="s">
        <v>2383</v>
      </c>
      <c r="C15" s="263"/>
      <c r="D15" s="1033"/>
      <c r="E15" s="261"/>
      <c r="F15" s="261"/>
      <c r="G15" s="262" t="s">
        <v>2384</v>
      </c>
    </row>
    <row r="16" spans="1:8" s="257" customFormat="1" ht="13.5" hidden="1" customHeight="1">
      <c r="A16" s="270" t="s">
        <v>12</v>
      </c>
      <c r="B16" s="258" t="s">
        <v>2293</v>
      </c>
      <c r="C16" s="263"/>
      <c r="D16" s="1033"/>
      <c r="E16" s="261"/>
      <c r="F16" s="261"/>
      <c r="G16" s="262"/>
    </row>
    <row r="17" spans="1:7" s="257" customFormat="1" ht="13.5" hidden="1" customHeight="1">
      <c r="A17" s="270" t="s">
        <v>13</v>
      </c>
      <c r="B17" s="258" t="s">
        <v>2385</v>
      </c>
      <c r="C17" s="272"/>
      <c r="D17" s="1034"/>
      <c r="E17" s="272"/>
      <c r="F17" s="272"/>
      <c r="G17" s="262" t="s">
        <v>2384</v>
      </c>
    </row>
    <row r="18" spans="1:7" s="257" customFormat="1" ht="13.5" hidden="1" customHeight="1">
      <c r="A18" s="270" t="s">
        <v>14</v>
      </c>
      <c r="B18" s="258" t="s">
        <v>2386</v>
      </c>
      <c r="C18" s="263">
        <v>0</v>
      </c>
      <c r="D18" s="1033"/>
      <c r="E18" s="261"/>
      <c r="F18" s="264">
        <v>3.0499999999999999E-2</v>
      </c>
      <c r="G18" s="262" t="s">
        <v>2387</v>
      </c>
    </row>
    <row r="19" spans="1:7" s="266" customFormat="1" ht="13.5" customHeight="1">
      <c r="A19" s="298" t="s">
        <v>2388</v>
      </c>
      <c r="B19" s="253" t="s">
        <v>2389</v>
      </c>
      <c r="C19" s="254">
        <f ca="1">IF(G19="已包含在土地取得成本中","0",ROUND(D19*E19,0))</f>
        <v>33465062</v>
      </c>
      <c r="D19" s="1035">
        <f ca="1">D9+D10</f>
        <v>167325.31000000003</v>
      </c>
      <c r="E19" s="254">
        <f>'数据-取费表'!B31</f>
        <v>200</v>
      </c>
      <c r="F19" s="274"/>
      <c r="G19" s="2545"/>
    </row>
    <row r="20" spans="1:7" s="257" customFormat="1" ht="13.5" customHeight="1">
      <c r="A20" s="298" t="s">
        <v>2390</v>
      </c>
      <c r="B20" s="253" t="s">
        <v>2391</v>
      </c>
      <c r="C20" s="275">
        <f ca="1">ROUND((C5+C19)*F20,0)</f>
        <v>1400622</v>
      </c>
      <c r="D20" s="275"/>
      <c r="E20" s="275"/>
      <c r="F20" s="276">
        <f>'数据-取费表'!B37</f>
        <v>0.03</v>
      </c>
      <c r="G20" s="277" t="s">
        <v>2392</v>
      </c>
    </row>
    <row r="21" spans="1:7" s="257" customFormat="1" ht="13.5" customHeight="1">
      <c r="A21" s="298" t="s">
        <v>2393</v>
      </c>
      <c r="B21" s="253" t="s">
        <v>2394</v>
      </c>
      <c r="C21" s="278">
        <f>F21</f>
        <v>0.03</v>
      </c>
      <c r="D21" s="279" t="s">
        <v>2395</v>
      </c>
      <c r="E21" s="275"/>
      <c r="F21" s="276">
        <f>'数据-取费表'!B38</f>
        <v>0.03</v>
      </c>
      <c r="G21" s="277" t="s">
        <v>2396</v>
      </c>
    </row>
    <row r="22" spans="1:7" s="257" customFormat="1" ht="13.5" customHeight="1">
      <c r="A22" s="298" t="s">
        <v>2397</v>
      </c>
      <c r="B22" s="253" t="s">
        <v>2398</v>
      </c>
      <c r="C22" s="1379">
        <f ca="1">ROUND(SUM(C23:C25),0)</f>
        <v>4607172</v>
      </c>
      <c r="D22" s="278">
        <f ca="1">C26</f>
        <v>1.4E-3</v>
      </c>
      <c r="E22" s="279" t="s">
        <v>2395</v>
      </c>
      <c r="F22" s="280">
        <f ca="1">'数据-取费表'!B40</f>
        <v>4.7500000000000001E-2</v>
      </c>
      <c r="G22" s="277" t="str">
        <f>IF('数据-取费表'!B22&lt;=1,"单利计息","复利计息")</f>
        <v>复利计息</v>
      </c>
    </row>
    <row r="23" spans="1:7" s="257" customFormat="1" ht="13.5" customHeight="1">
      <c r="A23" s="950" t="s">
        <v>2288</v>
      </c>
      <c r="B23" s="258" t="s">
        <v>2399</v>
      </c>
      <c r="C23" s="1380">
        <f ca="1">ROUND(IF('数据-取费表'!B22&lt;=1,C5*F22*'数据-取费表'!B22,C5*(POWER((1+F22),'数据-取费表'!B22)-1)),0)</f>
        <v>1285956</v>
      </c>
      <c r="D23" s="281"/>
      <c r="E23" s="281"/>
      <c r="F23" s="282"/>
      <c r="G23" s="283" t="s">
        <v>2400</v>
      </c>
    </row>
    <row r="24" spans="1:7" s="257" customFormat="1" ht="13.5" customHeight="1">
      <c r="A24" s="950" t="s">
        <v>2290</v>
      </c>
      <c r="B24" s="258" t="s">
        <v>2401</v>
      </c>
      <c r="C24" s="1380">
        <f ca="1">ROUND(IF('数据-取费表'!B22&lt;=1,C19*F22*('数据-取费表'!B19/2+'数据-取费表'!B20),C19*(POWER((1+F22),('数据-取费表'!B19/2+'数据-取费表'!B20))-1)),0)</f>
        <v>3254686</v>
      </c>
      <c r="D24" s="281"/>
      <c r="E24" s="281"/>
      <c r="F24" s="282"/>
      <c r="G24" s="283" t="s">
        <v>2402</v>
      </c>
    </row>
    <row r="25" spans="1:7" s="257" customFormat="1" ht="24">
      <c r="A25" s="950" t="s">
        <v>2292</v>
      </c>
      <c r="B25" s="258" t="s">
        <v>2403</v>
      </c>
      <c r="C25" s="1380">
        <f ca="1">ROUND(IF('数据-取费表'!B22&lt;=1,C20*F22*'数据-取费表'!B22/2,C20*(POWER((1+F22),'数据-取费表'!B22/2)-1)),0)</f>
        <v>66530</v>
      </c>
      <c r="D25" s="281"/>
      <c r="E25" s="284"/>
      <c r="F25" s="282"/>
      <c r="G25" s="285" t="s">
        <v>2404</v>
      </c>
    </row>
    <row r="26" spans="1:7" s="257" customFormat="1">
      <c r="A26" s="950" t="s">
        <v>794</v>
      </c>
      <c r="B26" s="258" t="s">
        <v>2327</v>
      </c>
      <c r="C26" s="281">
        <f ca="1">ROUND(IF('数据-取费表'!B22&lt;=1,F21*F22*'数据-取费表'!B22/2,F21*(POWER((1+F22),'数据-取费表'!B22/2)-1)),4)</f>
        <v>1.4E-3</v>
      </c>
      <c r="D26" s="281"/>
      <c r="E26" s="284"/>
      <c r="F26" s="282"/>
      <c r="G26" s="286"/>
    </row>
    <row r="27" spans="1:7" s="257" customFormat="1" ht="24.75">
      <c r="A27" s="298" t="s">
        <v>2328</v>
      </c>
      <c r="B27" s="287" t="s">
        <v>2329</v>
      </c>
      <c r="C27" s="288">
        <f ca="1">C28</f>
        <v>3847043</v>
      </c>
      <c r="D27" s="278">
        <f ca="1">C29</f>
        <v>2.3999999999999998E-3</v>
      </c>
      <c r="E27" s="279" t="s">
        <v>2330</v>
      </c>
      <c r="F27" s="289">
        <f ca="1">IF(B1="",'数据-取费表'!Q16,INDIRECT("'数据-取费表'!q"&amp;$G$1))</f>
        <v>0.08</v>
      </c>
      <c r="G27" s="290" t="s">
        <v>2331</v>
      </c>
    </row>
    <row r="28" spans="1:7" s="257" customFormat="1" ht="13.5" customHeight="1">
      <c r="A28" s="950" t="s">
        <v>790</v>
      </c>
      <c r="B28" s="291" t="s">
        <v>2332</v>
      </c>
      <c r="C28" s="292">
        <f ca="1">ROUND((C5+C19+C20)*F27,0)</f>
        <v>3847043</v>
      </c>
      <c r="D28" s="278"/>
      <c r="E28" s="279"/>
      <c r="F28" s="289"/>
      <c r="G28" s="290"/>
    </row>
    <row r="29" spans="1:7" s="257" customFormat="1" ht="13.5" customHeight="1">
      <c r="A29" s="950" t="s">
        <v>791</v>
      </c>
      <c r="B29" s="291" t="s">
        <v>2333</v>
      </c>
      <c r="C29" s="281">
        <f ca="1">ROUND(C21*F27,4)</f>
        <v>2.3999999999999998E-3</v>
      </c>
      <c r="D29" s="278"/>
      <c r="E29" s="279"/>
      <c r="F29" s="289"/>
      <c r="G29" s="290"/>
    </row>
    <row r="30" spans="1:7" s="257" customFormat="1" ht="13.5" customHeight="1">
      <c r="A30" s="298" t="s">
        <v>2334</v>
      </c>
      <c r="B30" s="253" t="s">
        <v>2335</v>
      </c>
      <c r="C30" s="278">
        <f>ROUND(F30/(1+'数据-取费表'!C42),4)</f>
        <v>5.33E-2</v>
      </c>
      <c r="D30" s="279" t="s">
        <v>2330</v>
      </c>
      <c r="E30" s="284"/>
      <c r="F30" s="280">
        <f>'数据-取费表'!B41</f>
        <v>5.6000000000000001E-2</v>
      </c>
      <c r="G30" s="277" t="s">
        <v>2336</v>
      </c>
    </row>
    <row r="31" spans="1:7" ht="16.5" customHeight="1">
      <c r="A31" s="252">
        <v>1</v>
      </c>
      <c r="B31" s="253" t="s">
        <v>2337</v>
      </c>
      <c r="C31" s="254">
        <f ca="1">ROUND((C5+C19+C20+C22+C27)/(1-C21-D22-D27-C30),0)</f>
        <v>61936956</v>
      </c>
      <c r="D31" s="273"/>
      <c r="E31" s="254"/>
      <c r="F31" s="293"/>
      <c r="G31" s="277" t="s">
        <v>2338</v>
      </c>
    </row>
    <row r="32" spans="1:7" s="251" customFormat="1" ht="15.75">
      <c r="A32" s="295" t="s">
        <v>2405</v>
      </c>
      <c r="B32" s="296"/>
      <c r="C32" s="296"/>
      <c r="D32" s="296"/>
      <c r="E32" s="296"/>
      <c r="F32" s="296"/>
      <c r="G32" s="297"/>
    </row>
    <row r="33" spans="1:7" s="257" customFormat="1" ht="13.5" customHeight="1">
      <c r="A33" s="298" t="s">
        <v>781</v>
      </c>
      <c r="B33" s="253" t="s">
        <v>2406</v>
      </c>
      <c r="C33" s="299">
        <f ca="1">SUM(C34:C38)</f>
        <v>371805772</v>
      </c>
      <c r="D33" s="275"/>
      <c r="E33" s="255"/>
      <c r="F33" s="284"/>
      <c r="G33" s="277"/>
    </row>
    <row r="34" spans="1:7" s="301" customFormat="1" ht="13.5" customHeight="1">
      <c r="A34" s="950" t="s">
        <v>790</v>
      </c>
      <c r="B34" s="258" t="s">
        <v>2341</v>
      </c>
      <c r="C34" s="263">
        <f ca="1">ROUND(IF(B1="",SUMPRODUCT('数据-取费表'!K6:K14,'数据-取费表'!L6:L14),INDIRECT("'数据-取费表'!l"&amp;$G$1)*INDIRECT("'数据-取费表'!k"&amp;$G$1)+'数据-取费表'!L14*INDIRECT("'数据-取费表'!S"&amp;$G$1)),0)</f>
        <v>316841930</v>
      </c>
      <c r="D34" s="260"/>
      <c r="E34" s="263"/>
      <c r="F34" s="300"/>
      <c r="G34" s="262"/>
    </row>
    <row r="35" spans="1:7" ht="13.5" customHeight="1">
      <c r="A35" s="950" t="s">
        <v>795</v>
      </c>
      <c r="B35" s="258" t="s">
        <v>2343</v>
      </c>
      <c r="C35" s="263">
        <f ca="1">ROUND(C34*F35,0)</f>
        <v>9505258</v>
      </c>
      <c r="D35" s="263"/>
      <c r="E35" s="263"/>
      <c r="F35" s="302">
        <f>'数据-取费表'!B33</f>
        <v>0.03</v>
      </c>
      <c r="G35" s="262" t="s">
        <v>2344</v>
      </c>
    </row>
    <row r="36" spans="1:7" ht="24">
      <c r="A36" s="950" t="s">
        <v>796</v>
      </c>
      <c r="B36" s="258" t="s">
        <v>2345</v>
      </c>
      <c r="C36" s="263">
        <f ca="1">ROUND(IF(B1="",SUM('数据-取费表'!AP6:AP13)*F36,IF(INDIRECT("'数据-取费表'!c"&amp;$G$1)="住宅",INDIRECT("'数据-取费表'!k"&amp;$G$1)*INDIRECT("'数据-取费表'!l"&amp;$G$1)*F36,0)),0)</f>
        <v>7240893</v>
      </c>
      <c r="D36" s="263"/>
      <c r="E36" s="263"/>
      <c r="F36" s="302">
        <f>'数据-取费表'!B34</f>
        <v>0.03</v>
      </c>
      <c r="G36" s="303" t="s">
        <v>2346</v>
      </c>
    </row>
    <row r="37" spans="1:7" s="301" customFormat="1" ht="13.5" customHeight="1">
      <c r="A37" s="950" t="s">
        <v>797</v>
      </c>
      <c r="B37" s="258" t="s">
        <v>2347</v>
      </c>
      <c r="C37" s="292">
        <f ca="1">ROUND(E37*D37,0)</f>
        <v>33465062</v>
      </c>
      <c r="D37" s="260">
        <f ca="1">D19</f>
        <v>167325.31000000003</v>
      </c>
      <c r="E37" s="292">
        <f>'数据-取费表'!B35</f>
        <v>200</v>
      </c>
      <c r="F37" s="302"/>
      <c r="G37" s="304"/>
    </row>
    <row r="38" spans="1:7" ht="13.5" customHeight="1">
      <c r="A38" s="950" t="s">
        <v>798</v>
      </c>
      <c r="B38" s="258" t="s">
        <v>2349</v>
      </c>
      <c r="C38" s="263">
        <f ca="1">ROUND(C34*F38,0)</f>
        <v>4752629</v>
      </c>
      <c r="D38" s="263"/>
      <c r="E38" s="263"/>
      <c r="F38" s="302">
        <f>'数据-取费表'!B36</f>
        <v>1.4999999999999999E-2</v>
      </c>
      <c r="G38" s="262" t="s">
        <v>2344</v>
      </c>
    </row>
    <row r="39" spans="1:7" s="257" customFormat="1" ht="13.5" customHeight="1">
      <c r="A39" s="298" t="s">
        <v>2350</v>
      </c>
      <c r="B39" s="253" t="s">
        <v>2351</v>
      </c>
      <c r="C39" s="275">
        <f ca="1">ROUND(C33*F20,0)</f>
        <v>11154173</v>
      </c>
      <c r="D39" s="275"/>
      <c r="E39" s="275"/>
      <c r="F39" s="276"/>
      <c r="G39" s="277" t="s">
        <v>2352</v>
      </c>
    </row>
    <row r="40" spans="1:7" s="257" customFormat="1" ht="13.5" customHeight="1">
      <c r="A40" s="298" t="s">
        <v>2353</v>
      </c>
      <c r="B40" s="253" t="s">
        <v>2354</v>
      </c>
      <c r="C40" s="1726">
        <f>F21</f>
        <v>0.03</v>
      </c>
      <c r="D40" s="279" t="s">
        <v>2355</v>
      </c>
      <c r="E40" s="275"/>
      <c r="F40" s="276"/>
      <c r="G40" s="277" t="s">
        <v>2356</v>
      </c>
    </row>
    <row r="41" spans="1:7" s="257" customFormat="1" ht="13.5" customHeight="1">
      <c r="A41" s="298" t="s">
        <v>2357</v>
      </c>
      <c r="B41" s="253" t="s">
        <v>2358</v>
      </c>
      <c r="C41" s="275">
        <f ca="1">ROUND(SUM(C42:C43),0)</f>
        <v>18190597</v>
      </c>
      <c r="D41" s="278">
        <f ca="1">C44</f>
        <v>1.4E-3</v>
      </c>
      <c r="E41" s="279" t="s">
        <v>2355</v>
      </c>
      <c r="F41" s="280"/>
      <c r="G41" s="277" t="str">
        <f>IF('数据-取费表'!B22&lt;=1,"单利计息","复利计息")</f>
        <v>复利计息</v>
      </c>
    </row>
    <row r="42" spans="1:7" ht="13.5" customHeight="1">
      <c r="A42" s="950" t="s">
        <v>790</v>
      </c>
      <c r="B42" s="258" t="s">
        <v>2359</v>
      </c>
      <c r="C42" s="281">
        <f ca="1">ROUND(IF('数据-取费表'!B22&lt;=1,C33*F22*'数据-取费表'!B20/2,C33*(POWER((1+F22),'数据-取费表'!B20/2)-1)),0)</f>
        <v>17660774</v>
      </c>
      <c r="D42" s="281"/>
      <c r="E42" s="281"/>
      <c r="F42" s="282"/>
      <c r="G42" s="3247" t="s">
        <v>2407</v>
      </c>
    </row>
    <row r="43" spans="1:7" ht="13.5" customHeight="1">
      <c r="A43" s="950" t="s">
        <v>791</v>
      </c>
      <c r="B43" s="258" t="s">
        <v>2361</v>
      </c>
      <c r="C43" s="281">
        <f ca="1">ROUND(IF('数据-取费表'!B22&lt;=1,C39*F22*'数据-取费表'!B20/2,C39*(POWER((1+F22),'数据-取费表'!B20/2)-1)),0)</f>
        <v>529823</v>
      </c>
      <c r="D43" s="281"/>
      <c r="E43" s="281"/>
      <c r="F43" s="282"/>
      <c r="G43" s="3248"/>
    </row>
    <row r="44" spans="1:7" ht="13.5" customHeight="1">
      <c r="A44" s="950" t="s">
        <v>792</v>
      </c>
      <c r="B44" s="258" t="s">
        <v>2362</v>
      </c>
      <c r="C44" s="281">
        <f ca="1">ROUND(IF('数据-取费表'!B22&lt;=1,C40*F22*'数据-取费表'!B20/2,C40*(POWER((1+F22),'数据-取费表'!B20/2)-1)),4)</f>
        <v>1.4E-3</v>
      </c>
      <c r="D44" s="281"/>
      <c r="E44" s="281"/>
      <c r="F44" s="282"/>
      <c r="G44" s="3249"/>
    </row>
    <row r="45" spans="1:7" s="257" customFormat="1" ht="13.5" customHeight="1">
      <c r="A45" s="298" t="s">
        <v>2363</v>
      </c>
      <c r="B45" s="287" t="s">
        <v>2329</v>
      </c>
      <c r="C45" s="288">
        <f ca="1">C46</f>
        <v>30636796</v>
      </c>
      <c r="D45" s="278">
        <f ca="1">C47</f>
        <v>2.3999999999999998E-3</v>
      </c>
      <c r="E45" s="279" t="s">
        <v>2355</v>
      </c>
      <c r="F45" s="289"/>
      <c r="G45" s="290" t="s">
        <v>2364</v>
      </c>
    </row>
    <row r="46" spans="1:7" s="257" customFormat="1" ht="13.5" customHeight="1">
      <c r="A46" s="950" t="s">
        <v>790</v>
      </c>
      <c r="B46" s="291" t="s">
        <v>2365</v>
      </c>
      <c r="C46" s="292">
        <f ca="1">ROUND((C33+C39)*F27,0)</f>
        <v>30636796</v>
      </c>
      <c r="D46" s="306"/>
      <c r="E46" s="279"/>
      <c r="F46" s="289"/>
      <c r="G46" s="290"/>
    </row>
    <row r="47" spans="1:7" s="257" customFormat="1" ht="13.5" customHeight="1">
      <c r="A47" s="950" t="s">
        <v>791</v>
      </c>
      <c r="B47" s="291" t="s">
        <v>2366</v>
      </c>
      <c r="C47" s="281">
        <f ca="1">ROUND(C40*F27,4)</f>
        <v>2.3999999999999998E-3</v>
      </c>
      <c r="D47" s="306"/>
      <c r="E47" s="279"/>
      <c r="F47" s="289"/>
      <c r="G47" s="290"/>
    </row>
    <row r="48" spans="1:7" s="257" customFormat="1" ht="13.5" customHeight="1">
      <c r="A48" s="298" t="s">
        <v>2328</v>
      </c>
      <c r="B48" s="253" t="s">
        <v>2367</v>
      </c>
      <c r="C48" s="305">
        <f>ROUND(F30/(1+'数据-取费表'!C42),4)</f>
        <v>5.33E-2</v>
      </c>
      <c r="D48" s="279" t="s">
        <v>2355</v>
      </c>
      <c r="E48" s="275"/>
      <c r="F48" s="280"/>
      <c r="G48" s="277" t="s">
        <v>2368</v>
      </c>
    </row>
    <row r="49" spans="1:7" ht="16.5" customHeight="1">
      <c r="A49" s="298" t="s">
        <v>2334</v>
      </c>
      <c r="B49" s="253" t="s">
        <v>2408</v>
      </c>
      <c r="C49" s="275">
        <f ca="1">ROUND((C33+C39+C41+C45)/(1-C40-D41-D45-C48),0)</f>
        <v>472984268</v>
      </c>
      <c r="D49" s="275"/>
      <c r="E49" s="275"/>
      <c r="F49" s="307"/>
      <c r="G49" s="277" t="s">
        <v>2370</v>
      </c>
    </row>
    <row r="50" spans="1:7" s="301" customFormat="1">
      <c r="A50" s="298" t="s">
        <v>2371</v>
      </c>
      <c r="B50" s="253" t="s">
        <v>2372</v>
      </c>
      <c r="C50" s="275"/>
      <c r="D50" s="275"/>
      <c r="E50" s="275"/>
      <c r="F50" s="307">
        <f>IF('数据-取费表'!B24=0,'数据-取费表'!N16,1)</f>
        <v>1</v>
      </c>
      <c r="G50" s="290"/>
    </row>
    <row r="51" spans="1:7" ht="16.5" customHeight="1">
      <c r="A51" s="298" t="s">
        <v>2374</v>
      </c>
      <c r="B51" s="253" t="s">
        <v>2409</v>
      </c>
      <c r="C51" s="275">
        <f ca="1">ROUND(C49*F50,0)</f>
        <v>472984268</v>
      </c>
      <c r="D51" s="275"/>
      <c r="E51" s="275"/>
      <c r="F51" s="307"/>
      <c r="G51" s="277" t="s">
        <v>2376</v>
      </c>
    </row>
    <row r="52" spans="1:7" s="251" customFormat="1" ht="16.5" thickBot="1">
      <c r="A52" s="308" t="s">
        <v>2377</v>
      </c>
      <c r="B52" s="309"/>
      <c r="C52" s="310">
        <f ca="1">C31+C51</f>
        <v>534921224</v>
      </c>
      <c r="D52" s="309"/>
      <c r="E52" s="309"/>
      <c r="F52" s="309"/>
      <c r="G52" s="311"/>
    </row>
    <row r="55" spans="1:7" ht="15">
      <c r="B55" s="313" t="s">
        <v>2378</v>
      </c>
      <c r="C55" s="314"/>
    </row>
    <row r="56" spans="1:7">
      <c r="B56" s="316" t="s">
        <v>1505</v>
      </c>
      <c r="C56" s="318">
        <f ca="1">1-C57</f>
        <v>0.11599999999999999</v>
      </c>
    </row>
    <row r="57" spans="1:7">
      <c r="B57" s="316" t="s">
        <v>1506</v>
      </c>
      <c r="C57" s="317">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23" sqref="G23"/>
    </sheetView>
  </sheetViews>
  <sheetFormatPr defaultColWidth="6.625" defaultRowHeight="12.75"/>
  <cols>
    <col min="1" max="1" width="9.75" style="797" customWidth="1"/>
    <col min="2" max="2" width="25.75" style="951" customWidth="1"/>
    <col min="3" max="3" width="10.375" style="994" customWidth="1"/>
    <col min="4" max="4" width="12.25" style="951" customWidth="1"/>
    <col min="5" max="5" width="12.12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2410</v>
      </c>
      <c r="B1" s="1579"/>
      <c r="C1" s="1580"/>
      <c r="D1" s="1578"/>
      <c r="E1" s="319"/>
      <c r="F1" s="319"/>
      <c r="G1" s="1579"/>
      <c r="H1" s="319"/>
      <c r="I1" s="319"/>
      <c r="J1" s="319"/>
      <c r="K1" s="319">
        <f>MATCH(C1,'数据-取费表'!A6:A16,0)+5</f>
        <v>11</v>
      </c>
    </row>
    <row r="2" spans="1:33" ht="18" customHeight="1">
      <c r="A2" s="244" t="s">
        <v>2278</v>
      </c>
      <c r="B2" s="247">
        <f ca="1">C32</f>
        <v>222233</v>
      </c>
      <c r="C2" s="319" t="s">
        <v>2411</v>
      </c>
      <c r="D2" s="319"/>
      <c r="E2" s="319"/>
      <c r="F2" s="319"/>
      <c r="G2" s="319"/>
      <c r="H2" s="319"/>
      <c r="I2" s="319"/>
      <c r="J2" s="319"/>
      <c r="K2" s="319"/>
    </row>
    <row r="3" spans="1:33" ht="18" customHeight="1" thickBot="1">
      <c r="A3" s="246" t="s">
        <v>2280</v>
      </c>
      <c r="B3" s="247">
        <f ca="1">ROUND(B2*10000/IF(C1="",'数据-汇总表'!E3,INDIRECT("'数据-取费表'!K"&amp;$K$1)),0)</f>
        <v>13281</v>
      </c>
      <c r="C3" s="319" t="s">
        <v>2412</v>
      </c>
      <c r="D3" s="319"/>
      <c r="E3" s="319"/>
      <c r="F3" s="319"/>
      <c r="G3" s="319"/>
      <c r="H3" s="319"/>
      <c r="I3" s="319"/>
      <c r="J3" s="319"/>
      <c r="K3" s="319"/>
    </row>
    <row r="4" spans="1:33" s="955" customFormat="1" ht="16.5" customHeight="1">
      <c r="A4" s="952" t="s">
        <v>2413</v>
      </c>
      <c r="B4" s="953"/>
      <c r="C4" s="995">
        <f ca="1">SUM(C8:K8)</f>
        <v>280839</v>
      </c>
      <c r="D4" s="953"/>
      <c r="E4" s="953"/>
      <c r="F4" s="953"/>
      <c r="G4" s="953"/>
      <c r="H4" s="953"/>
      <c r="I4" s="953"/>
      <c r="J4" s="953"/>
      <c r="K4" s="954"/>
    </row>
    <row r="5" spans="1:33" s="959" customFormat="1" ht="19.5" customHeight="1">
      <c r="A5" s="956" t="s">
        <v>2414</v>
      </c>
      <c r="B5" s="957" t="s">
        <v>2415</v>
      </c>
      <c r="C5" s="2549" t="s">
        <v>3062</v>
      </c>
      <c r="D5" s="2549" t="s">
        <v>3074</v>
      </c>
      <c r="E5" s="2549" t="s">
        <v>3076</v>
      </c>
      <c r="F5" s="2549" t="s">
        <v>3061</v>
      </c>
      <c r="G5" s="2549" t="s">
        <v>3001</v>
      </c>
      <c r="H5" s="2549"/>
      <c r="I5" s="2549"/>
      <c r="J5" s="2549"/>
      <c r="K5" s="2549"/>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801</v>
      </c>
      <c r="B6" s="139" t="s">
        <v>2416</v>
      </c>
      <c r="C6" s="961">
        <f>'比较法-高层含地下'!B3</f>
        <v>19724</v>
      </c>
      <c r="D6" s="961">
        <f>'比较法-高层不含'!B3</f>
        <v>20315</v>
      </c>
      <c r="E6" s="961">
        <f>'比较法-高层含阁楼'!B3</f>
        <v>20114</v>
      </c>
      <c r="F6" s="961">
        <f>'比较法-合院'!B3</f>
        <v>24548</v>
      </c>
      <c r="G6" s="961">
        <f ca="1">收益法!B2/'数据-取费表'!AH10</f>
        <v>10.333333333333334</v>
      </c>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2417</v>
      </c>
      <c r="B7" s="139" t="s">
        <v>2418</v>
      </c>
      <c r="C7" s="320">
        <f>SUMIF('数据-汇总表'!$C19:$C33,假设开发法!C5,'数据-汇总表'!$E19:$E33)</f>
        <v>46137.96</v>
      </c>
      <c r="D7" s="320">
        <f>SUMIF('数据-汇总表'!$C19:$C33,假设开发法!D5,'数据-汇总表'!$E19:$E33)</f>
        <v>49937.2</v>
      </c>
      <c r="E7" s="320">
        <f>SUMIF('数据-汇总表'!$C19:$C33,假设开发法!E5,'数据-汇总表'!$E19:$E33)</f>
        <v>13239.509999999998</v>
      </c>
      <c r="F7" s="320">
        <f>SUMIF('数据-汇总表'!$C19:$C33,假设开发法!F5,'数据-汇总表'!$E19:$E33)</f>
        <v>20271.22</v>
      </c>
      <c r="G7" s="320">
        <f>SUMIF('数据-汇总表'!$C19:$C33,假设开发法!G5,'数据-汇总表'!$E19:$E33)</f>
        <v>37739.420000000006</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0" t="s">
        <v>2419</v>
      </c>
      <c r="B8" s="176" t="s">
        <v>2420</v>
      </c>
      <c r="C8" s="996">
        <f>'比较法-高层含地下'!B2</f>
        <v>91003</v>
      </c>
      <c r="D8" s="996">
        <f>'比较法-高层不含'!B2</f>
        <v>101447</v>
      </c>
      <c r="E8" s="996">
        <f>'比较法-高层含阁楼'!B2</f>
        <v>26630</v>
      </c>
      <c r="F8" s="997">
        <f>'比较法-合院'!B2</f>
        <v>49762</v>
      </c>
      <c r="G8" s="997">
        <f ca="1">收益法!B2</f>
        <v>11997</v>
      </c>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2421</v>
      </c>
      <c r="B9" s="953"/>
      <c r="C9" s="953"/>
      <c r="D9" s="953"/>
      <c r="E9" s="953"/>
      <c r="F9" s="953"/>
      <c r="G9" s="953"/>
      <c r="H9" s="953"/>
      <c r="I9" s="953"/>
      <c r="J9" s="953"/>
      <c r="K9" s="954"/>
    </row>
    <row r="10" spans="1:33" s="969" customFormat="1" ht="13.5" customHeight="1">
      <c r="A10" s="956" t="s">
        <v>2422</v>
      </c>
      <c r="B10" s="8" t="s">
        <v>2423</v>
      </c>
      <c r="C10" s="965" t="s">
        <v>2424</v>
      </c>
      <c r="D10" s="966" t="s">
        <v>2425</v>
      </c>
      <c r="E10" s="966" t="s">
        <v>2426</v>
      </c>
      <c r="F10" s="966" t="s">
        <v>2427</v>
      </c>
      <c r="G10" s="8"/>
      <c r="H10" s="967"/>
      <c r="I10" s="967"/>
      <c r="J10" s="967"/>
      <c r="K10" s="968"/>
    </row>
    <row r="11" spans="1:33" s="974" customFormat="1" ht="13.5" customHeight="1">
      <c r="A11" s="970" t="s">
        <v>1326</v>
      </c>
      <c r="B11" s="971" t="s">
        <v>2428</v>
      </c>
      <c r="C11" s="322">
        <f ca="1">IF(C1="",'数据-取费表'!P16,INDIRECT("'数据-取费表'!p"&amp;$K$1)+INDIRECT("'数据-取费表'!ar"&amp;$K$1))</f>
        <v>12041</v>
      </c>
      <c r="D11" s="972"/>
      <c r="E11" s="374"/>
      <c r="F11" s="973">
        <f ca="1">1-IF('数据-取费表'!B24=0,1,IF(C1="",'数据-取费表'!N16,INDIRECT("'数据-取费表'!n"&amp;$K$1)))</f>
        <v>0.38</v>
      </c>
      <c r="G11" s="8"/>
      <c r="H11" s="967"/>
      <c r="I11" s="967"/>
      <c r="J11" s="967"/>
      <c r="K11" s="968"/>
    </row>
    <row r="12" spans="1:33" s="974" customFormat="1" ht="13.5" customHeight="1">
      <c r="A12" s="970" t="s">
        <v>1327</v>
      </c>
      <c r="B12" s="971" t="s">
        <v>2429</v>
      </c>
      <c r="C12" s="24">
        <f ca="1">ROUND(C11*F12,0)</f>
        <v>361</v>
      </c>
      <c r="D12" s="972"/>
      <c r="E12" s="374"/>
      <c r="F12" s="975">
        <f>'数据-取费表'!B33</f>
        <v>0.03</v>
      </c>
      <c r="G12" s="8" t="s">
        <v>2430</v>
      </c>
      <c r="H12" s="967"/>
      <c r="I12" s="967"/>
      <c r="J12" s="967"/>
      <c r="K12" s="968"/>
    </row>
    <row r="13" spans="1:33" s="974" customFormat="1" ht="13.5" customHeight="1">
      <c r="A13" s="970" t="s">
        <v>1328</v>
      </c>
      <c r="B13" s="971" t="s">
        <v>2431</v>
      </c>
      <c r="C13" s="24">
        <f ca="1">ROUND(IF(C1="",SUMIF('数据-取费表'!C:C,"住宅",'数据-取费表'!P:P)*F13,IF(INDIRECT("'数据-取费表'!c"&amp;$K$1)="住宅",INDIRECT("'数据-取费表'!P"&amp;$K$1)*F13,0)),0)</f>
        <v>275</v>
      </c>
      <c r="D13" s="1032"/>
      <c r="E13" s="374"/>
      <c r="F13" s="975">
        <f>'数据-取费表'!B34</f>
        <v>0.03</v>
      </c>
      <c r="G13" s="8" t="s">
        <v>2432</v>
      </c>
      <c r="H13" s="967"/>
      <c r="I13" s="967"/>
      <c r="J13" s="967"/>
      <c r="K13" s="968"/>
    </row>
    <row r="14" spans="1:33" s="976" customFormat="1" ht="13.5" customHeight="1">
      <c r="A14" s="970" t="s">
        <v>1329</v>
      </c>
      <c r="B14" s="971" t="s">
        <v>2433</v>
      </c>
      <c r="C14" s="24">
        <f ca="1">ROUND(D14*E14*F11/10000,0)</f>
        <v>1272</v>
      </c>
      <c r="D14" s="1032">
        <f ca="1">IF(C1="",'数据-汇总表'!E3,INDIRECT("'数据-取费表'!K"&amp;$K$1)+INDIRECT("'数据-取费表'!S"&amp;$K$1))</f>
        <v>167325.31000000003</v>
      </c>
      <c r="E14" s="24">
        <f>'数据-取费表'!B35</f>
        <v>200</v>
      </c>
      <c r="F14" s="975"/>
      <c r="G14" s="8" t="s">
        <v>2434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1330</v>
      </c>
      <c r="B15" s="971" t="s">
        <v>2435</v>
      </c>
      <c r="C15" s="982">
        <f ca="1">ROUND(C11*F15,0)</f>
        <v>181</v>
      </c>
      <c r="D15" s="977"/>
      <c r="E15" s="982"/>
      <c r="F15" s="983">
        <f>'数据-取费表'!B36</f>
        <v>1.4999999999999999E-2</v>
      </c>
      <c r="G15" s="139" t="s">
        <v>2436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802</v>
      </c>
      <c r="B16" s="971" t="s">
        <v>2437</v>
      </c>
      <c r="C16" s="982">
        <f ca="1">SUM(C11:C15)</f>
        <v>14130</v>
      </c>
      <c r="D16" s="977"/>
      <c r="E16" s="982"/>
      <c r="F16" s="983"/>
      <c r="G16" s="139"/>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803</v>
      </c>
      <c r="B17" s="971" t="s">
        <v>2438</v>
      </c>
      <c r="C17" s="24">
        <f ca="1">ROUND(D17*E17/10000,0)</f>
        <v>0</v>
      </c>
      <c r="D17" s="1032">
        <f ca="1">D14</f>
        <v>167325.31000000003</v>
      </c>
      <c r="E17" s="24">
        <f>'数据-取费表'!B32</f>
        <v>0</v>
      </c>
      <c r="F17" s="977"/>
      <c r="G17" s="139" t="s">
        <v>2439</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1331</v>
      </c>
      <c r="B18" s="971" t="s">
        <v>2440</v>
      </c>
      <c r="C18" s="24">
        <f ca="1">C19+C20-IF(C1="",'数据-取费表'!B29,IF(G18="已全部缴纳",C19+C20,H18))</f>
        <v>1322</v>
      </c>
      <c r="D18" s="1032"/>
      <c r="E18" s="24"/>
      <c r="F18" s="975"/>
      <c r="G18" s="2551" t="s">
        <v>3032</v>
      </c>
      <c r="H18" s="1575"/>
      <c r="I18" s="2552" t="s">
        <v>2441</v>
      </c>
      <c r="J18" s="978"/>
      <c r="K18" s="979"/>
    </row>
    <row r="19" spans="1:33" s="974" customFormat="1" ht="13.5" customHeight="1">
      <c r="A19" s="970" t="s">
        <v>804</v>
      </c>
      <c r="B19" s="971" t="s">
        <v>2442</v>
      </c>
      <c r="C19" s="24">
        <f ca="1">ROUND(D19*E19/10000,0)</f>
        <v>907</v>
      </c>
      <c r="D19" s="1032">
        <f ca="1">IF(C1="",'数据-汇总表'!E5,IF(INDIRECT("'数据-取费表'!c"&amp;$K$1)="住宅",INDIRECT("'数据-取费表'!k"&amp;$K$1),0))</f>
        <v>129585.88999999998</v>
      </c>
      <c r="E19" s="24">
        <f>'数据-取费表'!B27</f>
        <v>70</v>
      </c>
      <c r="F19" s="975"/>
      <c r="G19" s="15"/>
      <c r="H19" s="1577"/>
      <c r="I19" s="980"/>
      <c r="J19" s="980"/>
      <c r="K19" s="981"/>
    </row>
    <row r="20" spans="1:33" s="974" customFormat="1" ht="13.5" customHeight="1">
      <c r="A20" s="970" t="s">
        <v>805</v>
      </c>
      <c r="B20" s="971" t="s">
        <v>2443</v>
      </c>
      <c r="C20" s="24">
        <f ca="1">ROUND(D20*E20/10000,0)</f>
        <v>415</v>
      </c>
      <c r="D20" s="1032">
        <f ca="1">IF(C1="",'数据-汇总表'!E6,IF(INDIRECT("'数据-取费表'!c"&amp;$K$1)="住宅",INDIRECT("'数据-取费表'!s"&amp;$K$1),INDIRECT("'数据-取费表'!k"&amp;$K$1)+INDIRECT("'数据-取费表'!s"&amp;$K$1)))</f>
        <v>37739.420000000042</v>
      </c>
      <c r="E20" s="24">
        <f>'数据-取费表'!B28</f>
        <v>110</v>
      </c>
      <c r="F20" s="975"/>
      <c r="G20" s="15"/>
      <c r="H20" s="980"/>
      <c r="I20" s="980"/>
      <c r="J20" s="980"/>
      <c r="K20" s="981"/>
    </row>
    <row r="21" spans="1:33" s="974" customFormat="1" ht="13.5" customHeight="1">
      <c r="A21" s="960" t="s">
        <v>801</v>
      </c>
      <c r="B21" s="984" t="s">
        <v>2444</v>
      </c>
      <c r="C21" s="985">
        <f ca="1">C16+C17+C18</f>
        <v>15452</v>
      </c>
      <c r="D21" s="986"/>
      <c r="E21" s="324"/>
      <c r="F21" s="324"/>
      <c r="G21" s="139" t="s">
        <v>2445</v>
      </c>
      <c r="H21" s="978"/>
      <c r="I21" s="978"/>
      <c r="J21" s="978"/>
      <c r="K21" s="979"/>
    </row>
    <row r="22" spans="1:33" s="974" customFormat="1" ht="13.5" customHeight="1">
      <c r="A22" s="960" t="s">
        <v>2417</v>
      </c>
      <c r="B22" s="984" t="s">
        <v>2446</v>
      </c>
      <c r="C22" s="985">
        <f ca="1">ROUND(C21*F22,0)</f>
        <v>464</v>
      </c>
      <c r="D22" s="324"/>
      <c r="E22" s="324"/>
      <c r="F22" s="987">
        <f>'数据-取费表'!B37</f>
        <v>0.03</v>
      </c>
      <c r="G22" s="8" t="s">
        <v>2447</v>
      </c>
      <c r="H22" s="967"/>
      <c r="I22" s="967"/>
      <c r="J22" s="967"/>
      <c r="K22" s="968"/>
    </row>
    <row r="23" spans="1:33" s="974" customFormat="1" ht="13.5" customHeight="1">
      <c r="A23" s="960" t="s">
        <v>2419</v>
      </c>
      <c r="B23" s="984" t="s">
        <v>2448</v>
      </c>
      <c r="C23" s="985">
        <f ca="1">ROUND(C4*F23*F11,0)</f>
        <v>3202</v>
      </c>
      <c r="D23" s="324"/>
      <c r="E23" s="324"/>
      <c r="F23" s="987">
        <f>'数据-取费表'!B38</f>
        <v>0.03</v>
      </c>
      <c r="G23" s="8" t="s">
        <v>2449</v>
      </c>
      <c r="H23" s="967"/>
      <c r="I23" s="967"/>
      <c r="J23" s="967"/>
      <c r="K23" s="968"/>
    </row>
    <row r="24" spans="1:33" s="974" customFormat="1" ht="13.5" customHeight="1">
      <c r="A24" s="960" t="s">
        <v>2450</v>
      </c>
      <c r="B24" s="984" t="s">
        <v>2451</v>
      </c>
      <c r="C24" s="323">
        <f>ROUND(F24/(1+'数据-取费表'!C42),4)</f>
        <v>3.8600000000000002E-2</v>
      </c>
      <c r="D24" s="324" t="s">
        <v>15</v>
      </c>
      <c r="E24" s="324"/>
      <c r="F24" s="987">
        <f>'数据-取费表'!B48+'数据-取费表'!B49</f>
        <v>4.0500000000000001E-2</v>
      </c>
      <c r="G24" s="8" t="s">
        <v>2452</v>
      </c>
      <c r="H24" s="989"/>
      <c r="I24" s="989"/>
      <c r="J24" s="989"/>
      <c r="K24" s="990"/>
    </row>
    <row r="25" spans="1:33" s="974" customFormat="1" ht="13.5" customHeight="1">
      <c r="A25" s="960" t="s">
        <v>2453</v>
      </c>
      <c r="B25" s="986" t="s">
        <v>2454</v>
      </c>
      <c r="C25" s="1355">
        <f ca="1">C27</f>
        <v>313</v>
      </c>
      <c r="D25" s="323">
        <f ca="1">C26</f>
        <v>3.4299999999999997E-2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802</v>
      </c>
      <c r="B26" s="991" t="s">
        <v>2455</v>
      </c>
      <c r="C26" s="1356">
        <f ca="1">ROUND(IF('数据-取费表'!B22&lt;=1,(1+C24)*F25*'数据-取费表'!B24,(1+C24)*(POWER((1+F25),'数据-取费表'!B24)-1)),4)</f>
        <v>3.4299999999999997E-2</v>
      </c>
      <c r="D26" s="327"/>
      <c r="E26" s="328"/>
      <c r="F26" s="329"/>
      <c r="G26" s="2553" t="str">
        <f>IF('数据-取费表'!B22&lt;=1,"（(1)+取得税费率/(1+5%)）×年利率×建设期","（(1)+取得税费率）/(1+5%)×((1+年利率)^建设期-1)")</f>
        <v>（(1)+取得税费率）/(1+5%)×((1+年利率)^建设期-1)</v>
      </c>
      <c r="H26" s="978"/>
      <c r="I26" s="978"/>
      <c r="J26" s="978"/>
      <c r="K26" s="979"/>
    </row>
    <row r="27" spans="1:33" s="992" customFormat="1" ht="13.5" customHeight="1">
      <c r="A27" s="970" t="s">
        <v>803</v>
      </c>
      <c r="B27" s="991" t="s">
        <v>2456</v>
      </c>
      <c r="C27" s="1357">
        <f ca="1">ROUND(IF('数据-取费表'!B22&lt;=1,(C21+C22+C23)*F25*'数据-取费表'!B24/2,(C21+C22+C23)*(POWER((1+F25),'数据-取费表'!B24/2)-1)),0)</f>
        <v>313</v>
      </c>
      <c r="D27" s="327"/>
      <c r="E27" s="328"/>
      <c r="F27" s="329"/>
      <c r="G27" s="2553" t="str">
        <f>IF('数据-取费表'!B22&lt;=1,"（1）-（3）项×年利率×建设期÷2","（1）-（3）项×((1+年利率)^(建设期÷2)-1)")</f>
        <v>（1）-（3）项×((1+年利率)^(建设期÷2)-1)</v>
      </c>
      <c r="H27" s="978"/>
      <c r="I27" s="978"/>
      <c r="J27" s="978"/>
      <c r="K27" s="979"/>
    </row>
    <row r="28" spans="1:33" s="332" customFormat="1" ht="13.5" customHeight="1">
      <c r="A28" s="960" t="s">
        <v>2457</v>
      </c>
      <c r="B28" s="2554" t="s">
        <v>2458</v>
      </c>
      <c r="C28" s="330">
        <f ca="1">C30</f>
        <v>1529</v>
      </c>
      <c r="D28" s="323">
        <f ca="1">C29</f>
        <v>2.9100000000000001E-2</v>
      </c>
      <c r="E28" s="325" t="s">
        <v>15</v>
      </c>
      <c r="F28" s="331">
        <f ca="1">IF(C1="",'数据-取费表'!Q16,INDIRECT("'数据-取费表'!q"&amp;$K$1))</f>
        <v>0.08</v>
      </c>
      <c r="G28" s="988"/>
      <c r="H28" s="989"/>
      <c r="I28" s="989"/>
      <c r="J28" s="989"/>
      <c r="K28" s="990"/>
    </row>
    <row r="29" spans="1:33" s="334" customFormat="1" ht="13.5" customHeight="1">
      <c r="A29" s="970" t="s">
        <v>802</v>
      </c>
      <c r="B29" s="993" t="s">
        <v>2459</v>
      </c>
      <c r="C29" s="327">
        <f ca="1">ROUND((1+C24)*F28*'数据-取费表'!B24/'数据-取费表'!B20,4)</f>
        <v>2.9100000000000001E-2</v>
      </c>
      <c r="D29" s="327"/>
      <c r="E29" s="328"/>
      <c r="F29" s="333"/>
      <c r="G29" s="139" t="s">
        <v>2460</v>
      </c>
      <c r="H29" s="978"/>
      <c r="I29" s="978"/>
      <c r="J29" s="978"/>
      <c r="K29" s="979"/>
    </row>
    <row r="30" spans="1:33" s="334" customFormat="1" ht="13.5" customHeight="1">
      <c r="A30" s="970" t="s">
        <v>803</v>
      </c>
      <c r="B30" s="993" t="s">
        <v>2461</v>
      </c>
      <c r="C30" s="335">
        <f ca="1">ROUND((C21+C22+C23)*F28,0)</f>
        <v>1529</v>
      </c>
      <c r="D30" s="327"/>
      <c r="E30" s="328"/>
      <c r="F30" s="333"/>
      <c r="G30" s="139"/>
      <c r="H30" s="978"/>
      <c r="I30" s="978"/>
      <c r="J30" s="978"/>
      <c r="K30" s="979"/>
    </row>
    <row r="31" spans="1:33" s="974" customFormat="1" ht="13.5" customHeight="1" thickBot="1">
      <c r="A31" s="2555" t="s">
        <v>2462</v>
      </c>
      <c r="B31" s="1004" t="s">
        <v>2463</v>
      </c>
      <c r="C31" s="1005">
        <f ca="1">ROUND(C4*F31/(1+'数据-取费表'!C42),0)</f>
        <v>14978</v>
      </c>
      <c r="D31" s="1006"/>
      <c r="E31" s="1007"/>
      <c r="F31" s="1008">
        <f>'数据-取费表'!B41</f>
        <v>5.6000000000000001E-2</v>
      </c>
      <c r="G31" s="1009" t="s">
        <v>2464</v>
      </c>
      <c r="H31" s="1010"/>
      <c r="I31" s="1010"/>
      <c r="J31" s="1010"/>
      <c r="K31" s="1011"/>
    </row>
    <row r="32" spans="1:33" s="969" customFormat="1" ht="13.5" customHeight="1" thickBot="1">
      <c r="A32" s="999" t="s">
        <v>2465</v>
      </c>
      <c r="B32" s="1000"/>
      <c r="C32" s="1001">
        <f ca="1">ROUND((C4-C21-C22-C23-C25-C28-C31)/(1+C24+D25+D28),0)</f>
        <v>222233</v>
      </c>
      <c r="D32" s="1000"/>
      <c r="E32" s="1000"/>
      <c r="F32" s="1000"/>
      <c r="G32" s="1002" t="s">
        <v>2466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K23" sqref="K23"/>
    </sheetView>
  </sheetViews>
  <sheetFormatPr defaultRowHeight="14.25"/>
  <cols>
    <col min="1" max="1" width="10.5" style="402" customWidth="1"/>
    <col min="2" max="2" width="15.75" style="402" customWidth="1"/>
    <col min="3" max="3" width="14.8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2476</v>
      </c>
      <c r="B1" s="2577" t="s">
        <v>2477</v>
      </c>
      <c r="C1" s="1632" t="s">
        <v>2478</v>
      </c>
      <c r="D1" s="1619" t="s">
        <v>3062</v>
      </c>
      <c r="E1" s="2578"/>
      <c r="F1" s="2579" t="s">
        <v>2479</v>
      </c>
      <c r="G1" s="1629" t="s">
        <v>2480</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2" customFormat="1" ht="28.5" customHeight="1" thickTop="1">
      <c r="A2" s="2994" t="s">
        <v>1386</v>
      </c>
      <c r="B2" s="1417">
        <f>IF(C2="——",ROUND(C49*D3/10000,0),ROUND(C49*D3/10000,0)-D2)</f>
        <v>91003</v>
      </c>
      <c r="C2" s="2995" t="s">
        <v>70</v>
      </c>
      <c r="D2" s="1364" t="e">
        <f ca="1">SUMIF(INDIRECT("'"&amp;F2&amp;"'"&amp;"!A:A"),"承租人权益价值",INDIRECT("'"&amp;F2&amp;"'"&amp;"!c:c"))</f>
        <v>#REF!</v>
      </c>
      <c r="E2" s="2996" t="s">
        <v>2481</v>
      </c>
      <c r="F2" s="2997"/>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2" customFormat="1" ht="28.5" customHeight="1" thickBot="1">
      <c r="A3" s="2993" t="s">
        <v>1387</v>
      </c>
      <c r="B3" s="398">
        <f>IF(C2="——",C49,ROUND(B2*10000/D3,0))</f>
        <v>19724</v>
      </c>
      <c r="C3" s="399" t="s">
        <v>2482</v>
      </c>
      <c r="D3" s="398">
        <f>IF(D1="",'数据-汇总表'!E3,SUMIF('数据-汇总表'!$C19:$C33,D1,'数据-汇总表'!$E19:$E33))</f>
        <v>46137.96</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5">
      <c r="A4" s="400" t="s">
        <v>2483</v>
      </c>
      <c r="B4" s="401"/>
      <c r="C4" s="3222" t="s">
        <v>2484</v>
      </c>
      <c r="D4" s="3223"/>
      <c r="E4" s="3224" t="s">
        <v>2485</v>
      </c>
      <c r="F4" s="3225"/>
      <c r="G4" s="3222" t="s">
        <v>2486</v>
      </c>
      <c r="H4" s="3223"/>
      <c r="I4" s="3222" t="s">
        <v>2487</v>
      </c>
      <c r="J4" s="3223"/>
      <c r="K4" s="2591" t="s">
        <v>2488</v>
      </c>
      <c r="L4" s="1129"/>
      <c r="M4" s="1130"/>
      <c r="N4" s="1130"/>
      <c r="O4" s="1130"/>
      <c r="P4" s="3226" t="s">
        <v>2489</v>
      </c>
      <c r="Q4" s="3227"/>
      <c r="R4" s="3208" t="s">
        <v>2485</v>
      </c>
      <c r="S4" s="3209"/>
      <c r="T4" s="3208" t="s">
        <v>2486</v>
      </c>
      <c r="U4" s="3209"/>
      <c r="V4" s="3234" t="s">
        <v>2487</v>
      </c>
      <c r="W4" s="3234"/>
      <c r="X4" s="2942"/>
      <c r="Y4" s="3208" t="s">
        <v>2489</v>
      </c>
      <c r="Z4" s="3209"/>
      <c r="AA4" s="3203" t="s">
        <v>2485</v>
      </c>
      <c r="AB4" s="3203" t="s">
        <v>2486</v>
      </c>
      <c r="AC4" s="3203" t="s">
        <v>2487</v>
      </c>
    </row>
    <row r="5" spans="1:29" ht="15">
      <c r="A5" s="403"/>
      <c r="B5" s="404"/>
      <c r="C5" s="3214" t="s">
        <v>3340</v>
      </c>
      <c r="D5" s="3215"/>
      <c r="E5" s="3258" t="s">
        <v>3344</v>
      </c>
      <c r="F5" s="3213"/>
      <c r="G5" s="3214" t="s">
        <v>3345</v>
      </c>
      <c r="H5" s="3215"/>
      <c r="I5" s="3214" t="s">
        <v>3351</v>
      </c>
      <c r="J5" s="3215"/>
      <c r="K5" s="2592"/>
      <c r="L5" s="1129"/>
      <c r="M5" s="1130"/>
      <c r="N5" s="1130"/>
      <c r="O5" s="1130"/>
      <c r="P5" s="3228"/>
      <c r="Q5" s="3229"/>
      <c r="R5" s="3210"/>
      <c r="S5" s="3211"/>
      <c r="T5" s="3210"/>
      <c r="U5" s="3211"/>
      <c r="V5" s="3234"/>
      <c r="W5" s="3234"/>
      <c r="X5" s="2942"/>
      <c r="Y5" s="3210"/>
      <c r="Z5" s="3211"/>
      <c r="AA5" s="3204"/>
      <c r="AB5" s="3204"/>
      <c r="AC5" s="3204"/>
    </row>
    <row r="6" spans="1:29" ht="15.75" thickBot="1">
      <c r="A6" s="405"/>
      <c r="B6" s="406"/>
      <c r="C6" s="3216" t="s">
        <v>2494</v>
      </c>
      <c r="D6" s="3217"/>
      <c r="E6" s="3219" t="s">
        <v>2494</v>
      </c>
      <c r="F6" s="3220"/>
      <c r="G6" s="3216" t="s">
        <v>2494</v>
      </c>
      <c r="H6" s="3217"/>
      <c r="I6" s="3216" t="s">
        <v>2494</v>
      </c>
      <c r="J6" s="3217"/>
      <c r="K6" s="2592" t="s">
        <v>2495</v>
      </c>
      <c r="L6" s="1129"/>
      <c r="M6" s="1130"/>
      <c r="N6" s="1130"/>
      <c r="O6" s="1130"/>
      <c r="P6" s="3230"/>
      <c r="Q6" s="3231"/>
      <c r="R6" s="3210"/>
      <c r="S6" s="3211"/>
      <c r="T6" s="3232"/>
      <c r="U6" s="3233"/>
      <c r="V6" s="3234"/>
      <c r="W6" s="3234"/>
      <c r="X6" s="2942"/>
      <c r="Y6" s="3232"/>
      <c r="Z6" s="3233"/>
      <c r="AA6" s="3205"/>
      <c r="AB6" s="3205"/>
      <c r="AC6" s="3205"/>
    </row>
    <row r="7" spans="1:29" s="117" customFormat="1" ht="15.75" thickBot="1">
      <c r="A7" s="407" t="s">
        <v>2496</v>
      </c>
      <c r="B7" s="408"/>
      <c r="C7" s="409">
        <f>'数据-取费表'!B2</f>
        <v>43452</v>
      </c>
      <c r="D7" s="410">
        <v>100</v>
      </c>
      <c r="E7" s="411">
        <f>C7</f>
        <v>43452</v>
      </c>
      <c r="F7" s="412">
        <f>SUMIF(58:58,YEAR(E7)&amp;"-"&amp;MONTH(E7),59:59)</f>
        <v>100</v>
      </c>
      <c r="G7" s="411">
        <f>C7</f>
        <v>43452</v>
      </c>
      <c r="H7" s="410">
        <f>SUMIF(58:58,YEAR(G7)&amp;"-"&amp;MONTH(G7),59:59)</f>
        <v>100</v>
      </c>
      <c r="I7" s="411">
        <f>C7</f>
        <v>43452</v>
      </c>
      <c r="J7" s="410">
        <f>SUMIF(58:58,YEAR(I7)&amp;"-"&amp;MONTH(I7),59:59)</f>
        <v>100</v>
      </c>
      <c r="K7" s="2593"/>
      <c r="L7" s="1131"/>
      <c r="M7" s="1132"/>
      <c r="N7" s="1132"/>
      <c r="O7" s="1132"/>
      <c r="P7" s="3206" t="s">
        <v>2497</v>
      </c>
      <c r="Q7" s="3235"/>
      <c r="R7" s="769" t="s">
        <v>23</v>
      </c>
      <c r="S7" s="770">
        <f t="shared" ref="S7:S15" si="0">F7</f>
        <v>100</v>
      </c>
      <c r="T7" s="769" t="s">
        <v>23</v>
      </c>
      <c r="U7" s="770">
        <f t="shared" ref="U7:U15" si="1">H7</f>
        <v>100</v>
      </c>
      <c r="V7" s="769" t="s">
        <v>23</v>
      </c>
      <c r="W7" s="770">
        <f t="shared" ref="W7:W15" si="2">J7</f>
        <v>100</v>
      </c>
      <c r="X7" s="771"/>
      <c r="Y7" s="3206" t="s">
        <v>2497</v>
      </c>
      <c r="Z7" s="3207"/>
      <c r="AA7" s="772">
        <f>D7/F7</f>
        <v>1</v>
      </c>
      <c r="AB7" s="772">
        <f>D7/H7</f>
        <v>1</v>
      </c>
      <c r="AC7" s="772">
        <f>D7/J7</f>
        <v>1</v>
      </c>
    </row>
    <row r="8" spans="1:29" s="117" customFormat="1" ht="15.75" thickBot="1">
      <c r="A8" s="407" t="s">
        <v>2498</v>
      </c>
      <c r="B8" s="408"/>
      <c r="C8" s="413" t="s">
        <v>2499</v>
      </c>
      <c r="D8" s="410">
        <v>100</v>
      </c>
      <c r="E8" s="2594" t="s">
        <v>3309</v>
      </c>
      <c r="F8" s="412">
        <f>SUMIF(61:61,E8,62:62)-SUMIF(61:61,C8,62:62)+100</f>
        <v>100</v>
      </c>
      <c r="G8" s="413" t="s">
        <v>3309</v>
      </c>
      <c r="H8" s="410">
        <f>SUMIF(61:61,G8,62:62)-SUMIF(61:61,C8,62:62)+100</f>
        <v>100</v>
      </c>
      <c r="I8" s="413" t="s">
        <v>3309</v>
      </c>
      <c r="J8" s="410">
        <f>SUMIF(61:61,I8,62:62)-SUMIF(61:61,C8,62:62)+100</f>
        <v>100</v>
      </c>
      <c r="K8" s="2593"/>
      <c r="L8" s="1131"/>
      <c r="M8" s="1132"/>
      <c r="N8" s="1132"/>
      <c r="O8" s="1132"/>
      <c r="P8" s="3206" t="s">
        <v>2500</v>
      </c>
      <c r="Q8" s="3207"/>
      <c r="R8" s="769" t="s">
        <v>23</v>
      </c>
      <c r="S8" s="770">
        <f t="shared" si="0"/>
        <v>100</v>
      </c>
      <c r="T8" s="769" t="s">
        <v>23</v>
      </c>
      <c r="U8" s="770">
        <f t="shared" si="1"/>
        <v>100</v>
      </c>
      <c r="V8" s="769" t="s">
        <v>23</v>
      </c>
      <c r="W8" s="770">
        <f t="shared" si="2"/>
        <v>100</v>
      </c>
      <c r="X8" s="771"/>
      <c r="Y8" s="3206" t="s">
        <v>2500</v>
      </c>
      <c r="Z8" s="3207"/>
      <c r="AA8" s="772">
        <f t="shared" ref="AA8:AA19" si="3">D8/F8</f>
        <v>1</v>
      </c>
      <c r="AB8" s="772">
        <f t="shared" ref="AB8:AB19" si="4">D8/H8</f>
        <v>1</v>
      </c>
      <c r="AC8" s="772">
        <f t="shared" ref="AC8:AC19" si="5">D8/J8</f>
        <v>1</v>
      </c>
    </row>
    <row r="9" spans="1:29" s="117" customFormat="1">
      <c r="A9" s="414" t="s">
        <v>2501</v>
      </c>
      <c r="B9" s="71" t="s">
        <v>2502</v>
      </c>
      <c r="C9" s="3004" t="s">
        <v>3325</v>
      </c>
      <c r="D9" s="134">
        <v>100</v>
      </c>
      <c r="E9" s="416" t="s">
        <v>3003</v>
      </c>
      <c r="F9" s="417">
        <f>SUMIF(63:63,E9,64:64)-SUMIF(63:63,C9,64:64)+100</f>
        <v>100</v>
      </c>
      <c r="G9" s="418" t="s">
        <v>3003</v>
      </c>
      <c r="H9" s="134">
        <f>SUMIF(63:63,G9,64:64)-SUMIF(63:63,C9,64:64)+100</f>
        <v>100</v>
      </c>
      <c r="I9" s="418" t="s">
        <v>3003</v>
      </c>
      <c r="J9" s="134">
        <f>SUMIF(63:63,I9,64:64)-SUMIF(63:63,C9,64:64)+100</f>
        <v>100</v>
      </c>
      <c r="K9" s="2593"/>
      <c r="L9" s="1131"/>
      <c r="M9" s="1132"/>
      <c r="N9" s="1132"/>
      <c r="O9" s="1132"/>
      <c r="P9" s="3245" t="s">
        <v>2503</v>
      </c>
      <c r="Q9" s="2938" t="str">
        <f t="shared" ref="Q9:Q15" si="6">B9</f>
        <v>用途</v>
      </c>
      <c r="R9" s="769" t="s">
        <v>17</v>
      </c>
      <c r="S9" s="770">
        <f t="shared" si="0"/>
        <v>100</v>
      </c>
      <c r="T9" s="769" t="s">
        <v>17</v>
      </c>
      <c r="U9" s="770">
        <f t="shared" si="1"/>
        <v>100</v>
      </c>
      <c r="V9" s="769" t="s">
        <v>17</v>
      </c>
      <c r="W9" s="770">
        <f t="shared" si="2"/>
        <v>100</v>
      </c>
      <c r="X9" s="771"/>
      <c r="Y9" s="3083" t="s">
        <v>2504</v>
      </c>
      <c r="Z9" s="2939" t="str">
        <f t="shared" ref="Z9:Z15" si="7">Q9</f>
        <v>用途</v>
      </c>
      <c r="AA9" s="772">
        <f t="shared" si="3"/>
        <v>1</v>
      </c>
      <c r="AB9" s="772">
        <f t="shared" si="4"/>
        <v>1</v>
      </c>
      <c r="AC9" s="772">
        <f t="shared" si="5"/>
        <v>1</v>
      </c>
    </row>
    <row r="10" spans="1:29" s="426" customFormat="1" ht="27">
      <c r="A10" s="420"/>
      <c r="B10" s="2941" t="s">
        <v>2505</v>
      </c>
      <c r="C10" s="422" t="s">
        <v>3339</v>
      </c>
      <c r="D10" s="135">
        <v>100</v>
      </c>
      <c r="E10" s="423" t="s">
        <v>3339</v>
      </c>
      <c r="F10" s="424">
        <f>SUMIF(65:65,E10,66:66)-SUMIF(65:65,C10,66:66)+100</f>
        <v>100</v>
      </c>
      <c r="G10" s="422" t="s">
        <v>3339</v>
      </c>
      <c r="H10" s="135">
        <f>SUMIF(65:65,G10,66:66)-SUMIF(65:65,C10,66:66)+100</f>
        <v>100</v>
      </c>
      <c r="I10" s="422" t="s">
        <v>3339</v>
      </c>
      <c r="J10" s="135">
        <f>SUMIF(65:65,I10,66:66)-SUMIF(65:65,C10,66:66)+100</f>
        <v>100</v>
      </c>
      <c r="K10" s="425">
        <v>1</v>
      </c>
      <c r="L10" s="1134"/>
      <c r="M10" s="1135"/>
      <c r="N10" s="1135"/>
      <c r="O10" s="1135"/>
      <c r="P10" s="3245"/>
      <c r="Q10" s="2938" t="str">
        <f t="shared" si="6"/>
        <v>土地使用年限（年）</v>
      </c>
      <c r="R10" s="769" t="s">
        <v>17</v>
      </c>
      <c r="S10" s="770">
        <f t="shared" si="0"/>
        <v>100</v>
      </c>
      <c r="T10" s="769" t="s">
        <v>17</v>
      </c>
      <c r="U10" s="770">
        <f t="shared" si="1"/>
        <v>100</v>
      </c>
      <c r="V10" s="769" t="s">
        <v>17</v>
      </c>
      <c r="W10" s="770">
        <f t="shared" si="2"/>
        <v>100</v>
      </c>
      <c r="X10" s="771"/>
      <c r="Y10" s="3083"/>
      <c r="Z10" s="2939" t="str">
        <f t="shared" si="7"/>
        <v>土地使用年限（年）</v>
      </c>
      <c r="AA10" s="772">
        <f t="shared" si="3"/>
        <v>1</v>
      </c>
      <c r="AB10" s="772">
        <f t="shared" si="4"/>
        <v>1</v>
      </c>
      <c r="AC10" s="772">
        <f t="shared" si="5"/>
        <v>1</v>
      </c>
    </row>
    <row r="11" spans="1:29" ht="15">
      <c r="A11" s="427"/>
      <c r="B11" s="2941" t="s">
        <v>2506</v>
      </c>
      <c r="C11" s="428">
        <f>'比较法-高层不含'!C11</f>
        <v>1.52</v>
      </c>
      <c r="D11" s="135">
        <v>100</v>
      </c>
      <c r="E11" s="429">
        <v>1.83</v>
      </c>
      <c r="F11" s="424">
        <f>LOOKUP(E11,68:68,69:69)-LOOKUP(C11,68:68,69:69)+100</f>
        <v>100</v>
      </c>
      <c r="G11" s="428">
        <v>2</v>
      </c>
      <c r="H11" s="135">
        <f>LOOKUP(G11,68:68,69:69)-LOOKUP(C11,68:68,69:69)+100</f>
        <v>97</v>
      </c>
      <c r="I11" s="428">
        <v>2.5</v>
      </c>
      <c r="J11" s="135">
        <f>LOOKUP(I11,68:68,69:69)-LOOKUP(C11,68:68,69:69)+100</f>
        <v>94</v>
      </c>
      <c r="K11" s="425">
        <v>3</v>
      </c>
      <c r="L11" s="1137"/>
      <c r="M11" s="1130"/>
      <c r="N11" s="1130"/>
      <c r="O11" s="1130"/>
      <c r="P11" s="3245"/>
      <c r="Q11" s="2938" t="str">
        <f t="shared" si="6"/>
        <v>容积率</v>
      </c>
      <c r="R11" s="769" t="s">
        <v>21</v>
      </c>
      <c r="S11" s="770">
        <f t="shared" si="0"/>
        <v>100</v>
      </c>
      <c r="T11" s="769" t="s">
        <v>21</v>
      </c>
      <c r="U11" s="770">
        <f t="shared" si="1"/>
        <v>97</v>
      </c>
      <c r="V11" s="769" t="s">
        <v>21</v>
      </c>
      <c r="W11" s="770">
        <f t="shared" si="2"/>
        <v>94</v>
      </c>
      <c r="X11" s="771"/>
      <c r="Y11" s="3083"/>
      <c r="Z11" s="2939" t="str">
        <f t="shared" si="7"/>
        <v>容积率</v>
      </c>
      <c r="AA11" s="772">
        <f t="shared" si="3"/>
        <v>1</v>
      </c>
      <c r="AB11" s="772">
        <f t="shared" si="4"/>
        <v>1.0309278350515463</v>
      </c>
      <c r="AC11" s="772">
        <f t="shared" si="5"/>
        <v>1.0638297872340425</v>
      </c>
    </row>
    <row r="12" spans="1:29" s="117" customFormat="1" ht="15">
      <c r="A12" s="430"/>
      <c r="B12" s="2595"/>
      <c r="C12" s="431"/>
      <c r="D12" s="432">
        <v>100</v>
      </c>
      <c r="E12" s="431"/>
      <c r="F12" s="424">
        <f>SUMIF(70:70,E12,71:71)-SUMIF(70:70,C12,71:71)+100</f>
        <v>100</v>
      </c>
      <c r="G12" s="431"/>
      <c r="H12" s="135">
        <f>SUMIF(70:70,G12,71:71)-SUMIF(70:70,C12,71:71)+100</f>
        <v>100</v>
      </c>
      <c r="I12" s="431"/>
      <c r="J12" s="135">
        <f>SUMIF(70:70,I12,71:71)-SUMIF(70:70,C12,71:71)+100</f>
        <v>100</v>
      </c>
      <c r="K12" s="2596"/>
      <c r="L12" s="1131"/>
      <c r="M12" s="1132"/>
      <c r="N12" s="1132"/>
      <c r="O12" s="1132"/>
      <c r="P12" s="3245"/>
      <c r="Q12" s="2938">
        <f t="shared" si="6"/>
        <v>0</v>
      </c>
      <c r="R12" s="769" t="s">
        <v>21</v>
      </c>
      <c r="S12" s="770">
        <f t="shared" si="0"/>
        <v>100</v>
      </c>
      <c r="T12" s="769" t="s">
        <v>21</v>
      </c>
      <c r="U12" s="770">
        <f t="shared" si="1"/>
        <v>100</v>
      </c>
      <c r="V12" s="769" t="s">
        <v>21</v>
      </c>
      <c r="W12" s="770">
        <f t="shared" si="2"/>
        <v>100</v>
      </c>
      <c r="X12" s="771"/>
      <c r="Y12" s="3083"/>
      <c r="Z12" s="2939">
        <f t="shared" si="7"/>
        <v>0</v>
      </c>
      <c r="AA12" s="772">
        <f>D12/F12</f>
        <v>1</v>
      </c>
      <c r="AB12" s="772">
        <f>D12/H12</f>
        <v>1</v>
      </c>
      <c r="AC12" s="772">
        <f>D12/J12</f>
        <v>1</v>
      </c>
    </row>
    <row r="13" spans="1:29" ht="15">
      <c r="A13" s="427"/>
      <c r="B13" s="2595"/>
      <c r="C13" s="433"/>
      <c r="D13" s="434">
        <v>100</v>
      </c>
      <c r="E13" s="433"/>
      <c r="F13" s="424">
        <f>SUMIF(72:72,E13,73:73)-SUMIF(72:72,C13,73:73)+100</f>
        <v>100</v>
      </c>
      <c r="G13" s="433"/>
      <c r="H13" s="434">
        <f>SUMIF(72:72,G13,73:73)-SUMIF(72:72,C13,73:73)+100</f>
        <v>100</v>
      </c>
      <c r="I13" s="433"/>
      <c r="J13" s="434">
        <f>SUMIF(72:72,I13,73:73)-SUMIF(72:72,C13,73:73)+100</f>
        <v>100</v>
      </c>
      <c r="K13" s="2596"/>
      <c r="L13" s="1139"/>
      <c r="M13" s="1130"/>
      <c r="N13" s="1130"/>
      <c r="O13" s="1130"/>
      <c r="P13" s="3245"/>
      <c r="Q13" s="2938">
        <f t="shared" si="6"/>
        <v>0</v>
      </c>
      <c r="R13" s="769" t="s">
        <v>21</v>
      </c>
      <c r="S13" s="770">
        <f t="shared" si="0"/>
        <v>100</v>
      </c>
      <c r="T13" s="769" t="s">
        <v>21</v>
      </c>
      <c r="U13" s="770">
        <f t="shared" si="1"/>
        <v>100</v>
      </c>
      <c r="V13" s="769" t="s">
        <v>21</v>
      </c>
      <c r="W13" s="770">
        <f t="shared" si="2"/>
        <v>100</v>
      </c>
      <c r="X13" s="771"/>
      <c r="Y13" s="3083"/>
      <c r="Z13" s="2939">
        <f t="shared" si="7"/>
        <v>0</v>
      </c>
      <c r="AA13" s="772">
        <f t="shared" si="3"/>
        <v>1</v>
      </c>
      <c r="AB13" s="772">
        <f t="shared" si="4"/>
        <v>1</v>
      </c>
      <c r="AC13" s="772">
        <f t="shared" si="5"/>
        <v>1</v>
      </c>
    </row>
    <row r="14" spans="1:29" ht="15.75" thickBot="1">
      <c r="A14" s="435"/>
      <c r="B14" s="2597"/>
      <c r="C14" s="436"/>
      <c r="D14" s="437">
        <v>100</v>
      </c>
      <c r="E14" s="436"/>
      <c r="F14" s="438">
        <f>SUMIF(74:74,E14,75:75)-SUMIF(74:74,C14,75:75)+100</f>
        <v>100</v>
      </c>
      <c r="G14" s="436"/>
      <c r="H14" s="437">
        <f>SUMIF(74:74,G14,75:75)-SUMIF(74:74,C14,75:75)+100</f>
        <v>100</v>
      </c>
      <c r="I14" s="436"/>
      <c r="J14" s="437">
        <f>SUMIF(74:74,I14,75:75)-SUMIF(74:74,C14,75:75)+100</f>
        <v>100</v>
      </c>
      <c r="K14" s="2596"/>
      <c r="L14" s="1139"/>
      <c r="M14" s="1130"/>
      <c r="N14" s="1130"/>
      <c r="O14" s="1130"/>
      <c r="P14" s="3245"/>
      <c r="Q14" s="2938">
        <f t="shared" si="6"/>
        <v>0</v>
      </c>
      <c r="R14" s="769" t="s">
        <v>21</v>
      </c>
      <c r="S14" s="770">
        <f t="shared" si="0"/>
        <v>100</v>
      </c>
      <c r="T14" s="769" t="s">
        <v>21</v>
      </c>
      <c r="U14" s="770">
        <f t="shared" si="1"/>
        <v>100</v>
      </c>
      <c r="V14" s="769" t="s">
        <v>21</v>
      </c>
      <c r="W14" s="770">
        <f t="shared" si="2"/>
        <v>100</v>
      </c>
      <c r="X14" s="771"/>
      <c r="Y14" s="3083"/>
      <c r="Z14" s="2939">
        <f t="shared" si="7"/>
        <v>0</v>
      </c>
      <c r="AA14" s="772">
        <f t="shared" si="3"/>
        <v>1</v>
      </c>
      <c r="AB14" s="772">
        <f t="shared" si="4"/>
        <v>1</v>
      </c>
      <c r="AC14" s="772">
        <f t="shared" si="5"/>
        <v>1</v>
      </c>
    </row>
    <row r="15" spans="1:29" ht="142.5">
      <c r="A15" s="439" t="s">
        <v>2507</v>
      </c>
      <c r="B15" s="69" t="s">
        <v>2043</v>
      </c>
      <c r="C15" s="2598" t="str">
        <f>估价对象房地状况!C3</f>
        <v>估价对象周边居住用地比例较好、居住小区规模和社区发展完善程度较好，周边有碧桂园时代倾城、江山庐州印等，综合评价居住社区成熟度较好</v>
      </c>
      <c r="D15" s="440">
        <v>100</v>
      </c>
      <c r="E15" s="443" t="s">
        <v>3310</v>
      </c>
      <c r="F15" s="440">
        <f>SUMIF(76:76,E16,77:77)-SUMIF(76:76,C16,77:77)+100</f>
        <v>100</v>
      </c>
      <c r="G15" s="441" t="s">
        <v>3310</v>
      </c>
      <c r="H15" s="440">
        <f>SUMIF(76:76,G16,77:77)-SUMIF(76:76,C16,77:77)+100</f>
        <v>100</v>
      </c>
      <c r="I15" s="441" t="s">
        <v>3317</v>
      </c>
      <c r="J15" s="440">
        <f>SUMIF(76:76,I16,77:77)-SUMIF(76:76,C16,77:77)+100</f>
        <v>97</v>
      </c>
      <c r="K15" s="444">
        <v>3</v>
      </c>
      <c r="L15" s="1139"/>
      <c r="M15" s="1130"/>
      <c r="N15" s="1130"/>
      <c r="O15" s="1130"/>
      <c r="P15" s="3252" t="s">
        <v>2508</v>
      </c>
      <c r="Q15" s="2943" t="str">
        <f t="shared" si="6"/>
        <v>居住社区成熟度</v>
      </c>
      <c r="R15" s="773" t="s">
        <v>21</v>
      </c>
      <c r="S15" s="774">
        <f t="shared" si="0"/>
        <v>100</v>
      </c>
      <c r="T15" s="773" t="s">
        <v>21</v>
      </c>
      <c r="U15" s="774">
        <f t="shared" si="1"/>
        <v>100</v>
      </c>
      <c r="V15" s="773" t="s">
        <v>21</v>
      </c>
      <c r="W15" s="774">
        <f t="shared" si="2"/>
        <v>97</v>
      </c>
      <c r="X15" s="2942"/>
      <c r="Y15" s="3236" t="s">
        <v>2508</v>
      </c>
      <c r="Z15" s="2944" t="str">
        <f t="shared" si="7"/>
        <v>居住社区成熟度</v>
      </c>
      <c r="AA15" s="2945">
        <f t="shared" si="3"/>
        <v>1</v>
      </c>
      <c r="AB15" s="2945">
        <f t="shared" si="4"/>
        <v>1</v>
      </c>
      <c r="AC15" s="2945">
        <f t="shared" si="5"/>
        <v>1.0309278350515463</v>
      </c>
    </row>
    <row r="16" spans="1:29" ht="15">
      <c r="A16" s="427"/>
      <c r="B16" s="445"/>
      <c r="C16" s="446" t="s">
        <v>3093</v>
      </c>
      <c r="D16" s="447"/>
      <c r="E16" s="2599" t="s">
        <v>3093</v>
      </c>
      <c r="F16" s="447"/>
      <c r="G16" s="2600" t="s">
        <v>3093</v>
      </c>
      <c r="H16" s="449"/>
      <c r="I16" s="2600" t="s">
        <v>3095</v>
      </c>
      <c r="J16" s="447"/>
      <c r="K16" s="2601"/>
      <c r="L16" s="1139"/>
      <c r="M16" s="1130"/>
      <c r="N16" s="1130"/>
      <c r="O16" s="1130"/>
      <c r="P16" s="3253"/>
      <c r="Q16" s="2943"/>
      <c r="R16" s="773"/>
      <c r="S16" s="774"/>
      <c r="T16" s="773"/>
      <c r="U16" s="774"/>
      <c r="V16" s="773"/>
      <c r="W16" s="774"/>
      <c r="X16" s="2942"/>
      <c r="Y16" s="3237"/>
      <c r="Z16" s="2944"/>
      <c r="AA16" s="2945">
        <v>1</v>
      </c>
      <c r="AB16" s="2945">
        <v>1</v>
      </c>
      <c r="AC16" s="2945">
        <v>1</v>
      </c>
    </row>
    <row r="17" spans="1:29" ht="128.25">
      <c r="A17" s="427"/>
      <c r="B17" s="450" t="s">
        <v>2049</v>
      </c>
      <c r="C17" s="2602" t="str">
        <f>估价对象房地状况!C6</f>
        <v>估价对象周边道路状况一般、公共交通通达情况一般、停车便捷程度较好，周边有143、300路等公交线路，综合评价交通便捷度一般</v>
      </c>
      <c r="D17" s="449">
        <v>100</v>
      </c>
      <c r="E17" s="453" t="s">
        <v>3308</v>
      </c>
      <c r="F17" s="449">
        <f>SUMIF(78:78,E18,79:79)-SUMIF(78:78,C18,79:79)+100</f>
        <v>100</v>
      </c>
      <c r="G17" s="451" t="s">
        <v>3308</v>
      </c>
      <c r="H17" s="454">
        <f>SUMIF(78:78,G18,79:79)-SUMIF(78:78,C18,79:79)+100</f>
        <v>100</v>
      </c>
      <c r="I17" s="451" t="s">
        <v>3352</v>
      </c>
      <c r="J17" s="454">
        <f>SUMIF(78:78,I18,79:79)-SUMIF(78:78,C18,79:79)+100</f>
        <v>100</v>
      </c>
      <c r="K17" s="444">
        <v>1</v>
      </c>
      <c r="L17" s="1139"/>
      <c r="M17" s="1130"/>
      <c r="N17" s="1130"/>
      <c r="O17" s="1130"/>
      <c r="P17" s="3253"/>
      <c r="Q17" s="2943" t="str">
        <f>B17</f>
        <v>交通便捷度</v>
      </c>
      <c r="R17" s="773" t="s">
        <v>21</v>
      </c>
      <c r="S17" s="774">
        <f>F17</f>
        <v>100</v>
      </c>
      <c r="T17" s="773" t="s">
        <v>21</v>
      </c>
      <c r="U17" s="774">
        <f>H17</f>
        <v>100</v>
      </c>
      <c r="V17" s="773" t="s">
        <v>21</v>
      </c>
      <c r="W17" s="774">
        <f>J17</f>
        <v>100</v>
      </c>
      <c r="X17" s="2942"/>
      <c r="Y17" s="3237"/>
      <c r="Z17" s="2944" t="str">
        <f>Q17</f>
        <v>交通便捷度</v>
      </c>
      <c r="AA17" s="2945">
        <f t="shared" si="3"/>
        <v>1</v>
      </c>
      <c r="AB17" s="2945">
        <f t="shared" si="4"/>
        <v>1</v>
      </c>
      <c r="AC17" s="2945">
        <f t="shared" si="5"/>
        <v>1</v>
      </c>
    </row>
    <row r="18" spans="1:29" ht="15">
      <c r="A18" s="427"/>
      <c r="B18" s="455"/>
      <c r="C18" s="3014" t="s">
        <v>3093</v>
      </c>
      <c r="D18" s="449"/>
      <c r="E18" s="3015" t="s">
        <v>3093</v>
      </c>
      <c r="F18" s="449"/>
      <c r="G18" s="3016" t="s">
        <v>3093</v>
      </c>
      <c r="H18" s="447"/>
      <c r="I18" s="3016" t="s">
        <v>3093</v>
      </c>
      <c r="J18" s="447"/>
      <c r="K18" s="2601"/>
      <c r="L18" s="1139"/>
      <c r="M18" s="1130"/>
      <c r="N18" s="1130"/>
      <c r="O18" s="1130"/>
      <c r="P18" s="3253"/>
      <c r="Q18" s="2943"/>
      <c r="R18" s="773"/>
      <c r="S18" s="774"/>
      <c r="T18" s="773"/>
      <c r="U18" s="774"/>
      <c r="V18" s="773"/>
      <c r="W18" s="774"/>
      <c r="X18" s="2942"/>
      <c r="Y18" s="3237"/>
      <c r="Z18" s="2944"/>
      <c r="AA18" s="2945">
        <v>1</v>
      </c>
      <c r="AB18" s="2945">
        <v>1</v>
      </c>
      <c r="AC18" s="2945">
        <v>1</v>
      </c>
    </row>
    <row r="19" spans="1:29" ht="42.75">
      <c r="A19" s="427"/>
      <c r="B19" s="450" t="s">
        <v>2048</v>
      </c>
      <c r="C19" s="2602" t="str">
        <f>估价对象房地状况!C7</f>
        <v>估价对象所在区域公共配套设施齐备情况一般</v>
      </c>
      <c r="D19" s="454">
        <v>100</v>
      </c>
      <c r="E19" s="458" t="s">
        <v>3085</v>
      </c>
      <c r="F19" s="454">
        <f>SUMIF(80:80,E20,81:81)-SUMIF(80:80,C20,81:81)+100</f>
        <v>100</v>
      </c>
      <c r="G19" s="456" t="s">
        <v>3085</v>
      </c>
      <c r="H19" s="449">
        <f>SUMIF(80:80,G20,81:81)-SUMIF(80:80,C20,81:81)+100</f>
        <v>100</v>
      </c>
      <c r="I19" s="456" t="s">
        <v>3085</v>
      </c>
      <c r="J19" s="449">
        <f>SUMIF(80:80,I20,81:81)-SUMIF(80:80,C20,81:81)+100</f>
        <v>100</v>
      </c>
      <c r="K19" s="444">
        <v>1</v>
      </c>
      <c r="L19" s="1139"/>
      <c r="M19" s="1130"/>
      <c r="N19" s="1130"/>
      <c r="O19" s="1130"/>
      <c r="P19" s="3253"/>
      <c r="Q19" s="2943" t="str">
        <f>B19</f>
        <v>公共配套设施</v>
      </c>
      <c r="R19" s="773" t="s">
        <v>21</v>
      </c>
      <c r="S19" s="774">
        <f>F19</f>
        <v>100</v>
      </c>
      <c r="T19" s="773" t="s">
        <v>21</v>
      </c>
      <c r="U19" s="774">
        <f>H19</f>
        <v>100</v>
      </c>
      <c r="V19" s="773" t="s">
        <v>21</v>
      </c>
      <c r="W19" s="774">
        <f>J19</f>
        <v>100</v>
      </c>
      <c r="X19" s="2942"/>
      <c r="Y19" s="3237"/>
      <c r="Z19" s="2944" t="str">
        <f>Q19</f>
        <v>公共配套设施</v>
      </c>
      <c r="AA19" s="2945">
        <f t="shared" si="3"/>
        <v>1</v>
      </c>
      <c r="AB19" s="2945">
        <f t="shared" si="4"/>
        <v>1</v>
      </c>
      <c r="AC19" s="2945">
        <f t="shared" si="5"/>
        <v>1</v>
      </c>
    </row>
    <row r="20" spans="1:29" ht="15">
      <c r="A20" s="427"/>
      <c r="B20" s="455"/>
      <c r="C20" s="446" t="s">
        <v>3095</v>
      </c>
      <c r="D20" s="447"/>
      <c r="E20" s="2599" t="s">
        <v>3095</v>
      </c>
      <c r="F20" s="447"/>
      <c r="G20" s="2600" t="s">
        <v>3095</v>
      </c>
      <c r="H20" s="447"/>
      <c r="I20" s="2600" t="s">
        <v>3095</v>
      </c>
      <c r="J20" s="447"/>
      <c r="K20" s="2601"/>
      <c r="L20" s="1139"/>
      <c r="M20" s="1130"/>
      <c r="N20" s="1130"/>
      <c r="O20" s="1130"/>
      <c r="P20" s="3253"/>
      <c r="Q20" s="2943"/>
      <c r="R20" s="773"/>
      <c r="S20" s="774"/>
      <c r="T20" s="773"/>
      <c r="U20" s="774"/>
      <c r="V20" s="773"/>
      <c r="W20" s="774"/>
      <c r="X20" s="2942"/>
      <c r="Y20" s="3237"/>
      <c r="Z20" s="2944"/>
      <c r="AA20" s="2945">
        <v>1</v>
      </c>
      <c r="AB20" s="2945">
        <v>1</v>
      </c>
      <c r="AC20" s="2945">
        <v>1</v>
      </c>
    </row>
    <row r="21" spans="1:29" ht="42.75">
      <c r="A21" s="427"/>
      <c r="B21" s="1383" t="s">
        <v>2050</v>
      </c>
      <c r="C21" s="2602" t="str">
        <f>估价对象房地状况!C8</f>
        <v>估价对象所在区域基础设施水平较好</v>
      </c>
      <c r="D21" s="449">
        <v>100</v>
      </c>
      <c r="E21" s="458" t="s">
        <v>3083</v>
      </c>
      <c r="F21" s="454">
        <f>SUMIF(82:82,E22,83:83)-SUMIF(82:82,C22,83:83)+100</f>
        <v>100</v>
      </c>
      <c r="G21" s="456" t="s">
        <v>3083</v>
      </c>
      <c r="H21" s="449">
        <f>SUMIF(82:82,G22,83:83)-SUMIF(82:82,C22,83:83)+100</f>
        <v>100</v>
      </c>
      <c r="I21" s="456" t="s">
        <v>3083</v>
      </c>
      <c r="J21" s="449">
        <f>SUMIF(82:82,I22,83:83)-SUMIF(82:82,C22,83:83)+100</f>
        <v>100</v>
      </c>
      <c r="K21" s="444">
        <v>1</v>
      </c>
      <c r="L21" s="1139"/>
      <c r="M21" s="1130"/>
      <c r="N21" s="1130"/>
      <c r="O21" s="1130"/>
      <c r="P21" s="3253"/>
      <c r="Q21" s="2943" t="str">
        <f>B21</f>
        <v>基础设施水平</v>
      </c>
      <c r="R21" s="773" t="s">
        <v>17</v>
      </c>
      <c r="S21" s="774">
        <f>F21</f>
        <v>100</v>
      </c>
      <c r="T21" s="773" t="s">
        <v>17</v>
      </c>
      <c r="U21" s="774">
        <f>H21</f>
        <v>100</v>
      </c>
      <c r="V21" s="773" t="s">
        <v>17</v>
      </c>
      <c r="W21" s="774">
        <f>J21</f>
        <v>100</v>
      </c>
      <c r="X21" s="2942"/>
      <c r="Y21" s="3237"/>
      <c r="Z21" s="2944" t="str">
        <f>Q21</f>
        <v>基础设施水平</v>
      </c>
      <c r="AA21" s="2945">
        <f t="shared" ref="AA21" si="8">D21/F21</f>
        <v>1</v>
      </c>
      <c r="AB21" s="2945">
        <f t="shared" ref="AB21" si="9">D21/H21</f>
        <v>1</v>
      </c>
      <c r="AC21" s="2945">
        <f t="shared" ref="AC21" si="10">D21/J21</f>
        <v>1</v>
      </c>
    </row>
    <row r="22" spans="1:29" ht="15">
      <c r="A22" s="427"/>
      <c r="B22" s="1383"/>
      <c r="C22" s="2603" t="s">
        <v>3096</v>
      </c>
      <c r="D22" s="447"/>
      <c r="E22" s="446" t="s">
        <v>3096</v>
      </c>
      <c r="F22" s="447"/>
      <c r="G22" s="2606" t="s">
        <v>3096</v>
      </c>
      <c r="H22" s="447"/>
      <c r="I22" s="2606" t="s">
        <v>3096</v>
      </c>
      <c r="J22" s="447"/>
      <c r="K22" s="2607"/>
      <c r="L22" s="1139"/>
      <c r="M22" s="1130"/>
      <c r="N22" s="1130"/>
      <c r="O22" s="1130"/>
      <c r="P22" s="3253"/>
      <c r="Q22" s="2943"/>
      <c r="R22" s="773"/>
      <c r="S22" s="774"/>
      <c r="T22" s="773"/>
      <c r="U22" s="774"/>
      <c r="V22" s="773"/>
      <c r="W22" s="774"/>
      <c r="X22" s="2942"/>
      <c r="Y22" s="3237"/>
      <c r="Z22" s="2944"/>
      <c r="AA22" s="2945">
        <v>1</v>
      </c>
      <c r="AB22" s="2945">
        <v>1</v>
      </c>
      <c r="AC22" s="2945">
        <v>1</v>
      </c>
    </row>
    <row r="23" spans="1:29" ht="114">
      <c r="A23" s="427"/>
      <c r="B23" s="450" t="s">
        <v>2052</v>
      </c>
      <c r="C23" s="2602" t="str">
        <f>估价对象房地状况!C9</f>
        <v>区域自然环境及人文环境好；周边有合肥半岛花博园、大房郢水库、合肥经济技术职业学院等，综合评价环境状况好</v>
      </c>
      <c r="D23" s="449">
        <v>100</v>
      </c>
      <c r="E23" s="453" t="s">
        <v>3312</v>
      </c>
      <c r="F23" s="449">
        <f>SUMIF(84:84,E24,85:85)-SUMIF(84:84,C24,85:85)+100</f>
        <v>95</v>
      </c>
      <c r="G23" s="451" t="s">
        <v>3312</v>
      </c>
      <c r="H23" s="449">
        <f>SUMIF(84:84,G24,85:85)-SUMIF(84:84,C24,85:85)+100</f>
        <v>95</v>
      </c>
      <c r="I23" s="451" t="s">
        <v>3315</v>
      </c>
      <c r="J23" s="449">
        <f>SUMIF(84:84,I24,85:85)-SUMIF(84:84,C24,85:85)+100</f>
        <v>95</v>
      </c>
      <c r="K23" s="444">
        <v>5</v>
      </c>
      <c r="L23" s="1139"/>
      <c r="M23" s="1130"/>
      <c r="N23" s="1130"/>
      <c r="O23" s="1130"/>
      <c r="P23" s="3253"/>
      <c r="Q23" s="2943" t="str">
        <f>B23</f>
        <v>自然及人文环境</v>
      </c>
      <c r="R23" s="773" t="s">
        <v>21</v>
      </c>
      <c r="S23" s="774">
        <f>F23</f>
        <v>95</v>
      </c>
      <c r="T23" s="773" t="s">
        <v>21</v>
      </c>
      <c r="U23" s="774">
        <f>H23</f>
        <v>95</v>
      </c>
      <c r="V23" s="773" t="s">
        <v>21</v>
      </c>
      <c r="W23" s="774">
        <f>J23</f>
        <v>95</v>
      </c>
      <c r="X23" s="2942"/>
      <c r="Y23" s="3237"/>
      <c r="Z23" s="2944" t="str">
        <f>Q23</f>
        <v>自然及人文环境</v>
      </c>
      <c r="AA23" s="2945">
        <f>D23/F23</f>
        <v>1.0526315789473684</v>
      </c>
      <c r="AB23" s="2945">
        <f>D23/H23</f>
        <v>1.0526315789473684</v>
      </c>
      <c r="AC23" s="2945">
        <f>D23/J23</f>
        <v>1.0526315789473684</v>
      </c>
    </row>
    <row r="24" spans="1:29" ht="15">
      <c r="A24" s="427"/>
      <c r="B24" s="455"/>
      <c r="C24" s="446" t="s">
        <v>3094</v>
      </c>
      <c r="D24" s="447"/>
      <c r="E24" s="2599" t="s">
        <v>3093</v>
      </c>
      <c r="F24" s="447"/>
      <c r="G24" s="2600" t="s">
        <v>3093</v>
      </c>
      <c r="H24" s="447"/>
      <c r="I24" s="2600" t="s">
        <v>3093</v>
      </c>
      <c r="J24" s="447"/>
      <c r="K24" s="2601"/>
      <c r="L24" s="1139"/>
      <c r="M24" s="1130"/>
      <c r="N24" s="1130"/>
      <c r="O24" s="1130"/>
      <c r="P24" s="3253"/>
      <c r="Q24" s="2943"/>
      <c r="R24" s="773"/>
      <c r="S24" s="774"/>
      <c r="T24" s="773"/>
      <c r="U24" s="774"/>
      <c r="V24" s="773"/>
      <c r="W24" s="774"/>
      <c r="X24" s="2942"/>
      <c r="Y24" s="3237"/>
      <c r="Z24" s="2944"/>
      <c r="AA24" s="2945">
        <v>1</v>
      </c>
      <c r="AB24" s="2945">
        <v>1</v>
      </c>
      <c r="AC24" s="2945">
        <v>1</v>
      </c>
    </row>
    <row r="25" spans="1:29" ht="15">
      <c r="A25" s="427"/>
      <c r="B25" s="2941" t="s">
        <v>2509</v>
      </c>
      <c r="C25" s="459" t="s">
        <v>3326</v>
      </c>
      <c r="D25" s="434">
        <v>100</v>
      </c>
      <c r="E25" s="459" t="s">
        <v>3326</v>
      </c>
      <c r="F25" s="434">
        <f>SUMIF(86:86,E25,87:87)-SUMIF(86:86,C25,87:87)+100</f>
        <v>100</v>
      </c>
      <c r="G25" s="2609" t="s">
        <v>70</v>
      </c>
      <c r="H25" s="434">
        <f>SUMIF(86:86,G25,87:87)-SUMIF(86:86,C25,87:87)+100</f>
        <v>100</v>
      </c>
      <c r="I25" s="2609" t="s">
        <v>70</v>
      </c>
      <c r="J25" s="434">
        <f>SUMIF(86:86,I25,87:87)-SUMIF(86:86,C25,87:87)+100</f>
        <v>100</v>
      </c>
      <c r="K25" s="425">
        <v>1</v>
      </c>
      <c r="L25" s="1139"/>
      <c r="M25" s="1130"/>
      <c r="N25" s="1130"/>
      <c r="O25" s="1130"/>
      <c r="P25" s="3253"/>
      <c r="Q25" s="2943" t="str">
        <f t="shared" ref="Q25:Q46" si="11">B25</f>
        <v>楼层-1</v>
      </c>
      <c r="R25" s="773" t="s">
        <v>21</v>
      </c>
      <c r="S25" s="774">
        <f t="shared" ref="S25:S46" si="12">F25</f>
        <v>100</v>
      </c>
      <c r="T25" s="773" t="s">
        <v>21</v>
      </c>
      <c r="U25" s="774">
        <f t="shared" ref="U25:U46" si="13">H25</f>
        <v>100</v>
      </c>
      <c r="V25" s="773" t="s">
        <v>21</v>
      </c>
      <c r="W25" s="774">
        <f t="shared" ref="W25:W46" si="14">J25</f>
        <v>100</v>
      </c>
      <c r="X25" s="2942"/>
      <c r="Y25" s="3237"/>
      <c r="Z25" s="2944" t="str">
        <f>Q25</f>
        <v>楼层-1</v>
      </c>
      <c r="AA25" s="2945">
        <f t="shared" ref="AA25:AA46" si="15">D25/F25</f>
        <v>1</v>
      </c>
      <c r="AB25" s="2945">
        <f t="shared" ref="AB25:AB46" si="16">D25/H25</f>
        <v>1</v>
      </c>
      <c r="AC25" s="2945">
        <f t="shared" ref="AC25:AC46" si="17">D25/J25</f>
        <v>1</v>
      </c>
    </row>
    <row r="26" spans="1:29" ht="15">
      <c r="A26" s="427"/>
      <c r="B26" s="2941" t="s">
        <v>2510</v>
      </c>
      <c r="C26" s="459" t="s">
        <v>3327</v>
      </c>
      <c r="D26" s="434">
        <v>100</v>
      </c>
      <c r="E26" s="459" t="s">
        <v>3327</v>
      </c>
      <c r="F26" s="434">
        <f>SUMIF(88:88,E26,89:89)-SUMIF(88:88,C26,89:89)+100</f>
        <v>100</v>
      </c>
      <c r="G26" s="2609" t="s">
        <v>70</v>
      </c>
      <c r="H26" s="434">
        <f>SUMIF(88:88,G26,89:89)-SUMIF(88:88,C26,89:89)+100</f>
        <v>100</v>
      </c>
      <c r="I26" s="2609" t="s">
        <v>70</v>
      </c>
      <c r="J26" s="434">
        <f>SUMIF(88:88,I26,89:89)-SUMIF(88:88,C26,89:89)+100</f>
        <v>100</v>
      </c>
      <c r="K26" s="425">
        <v>1</v>
      </c>
      <c r="L26" s="1139"/>
      <c r="M26" s="1130"/>
      <c r="N26" s="1130"/>
      <c r="O26" s="1130"/>
      <c r="P26" s="3253"/>
      <c r="Q26" s="2943" t="str">
        <f t="shared" si="11"/>
        <v>朝向</v>
      </c>
      <c r="R26" s="773" t="s">
        <v>21</v>
      </c>
      <c r="S26" s="774">
        <f t="shared" si="12"/>
        <v>100</v>
      </c>
      <c r="T26" s="773" t="s">
        <v>21</v>
      </c>
      <c r="U26" s="774">
        <f t="shared" si="13"/>
        <v>100</v>
      </c>
      <c r="V26" s="773" t="s">
        <v>21</v>
      </c>
      <c r="W26" s="774">
        <f t="shared" si="14"/>
        <v>100</v>
      </c>
      <c r="X26" s="2942"/>
      <c r="Y26" s="3237"/>
      <c r="Z26" s="2944" t="str">
        <f>Q26</f>
        <v>朝向</v>
      </c>
      <c r="AA26" s="2945">
        <f t="shared" si="15"/>
        <v>1</v>
      </c>
      <c r="AB26" s="2945">
        <f t="shared" si="16"/>
        <v>1</v>
      </c>
      <c r="AC26" s="2945">
        <f t="shared" si="17"/>
        <v>1</v>
      </c>
    </row>
    <row r="27" spans="1:29" s="117" customFormat="1" ht="15">
      <c r="A27" s="430"/>
      <c r="B27" s="1385"/>
      <c r="C27" s="3007" t="s">
        <v>3348</v>
      </c>
      <c r="D27" s="461">
        <v>100</v>
      </c>
      <c r="E27" s="3006" t="s">
        <v>3347</v>
      </c>
      <c r="F27" s="461">
        <f>SUMIF(90:90,E27,91:91)-SUMIF(90:90,C27,91:91)+100</f>
        <v>100</v>
      </c>
      <c r="G27" s="3005" t="s">
        <v>3346</v>
      </c>
      <c r="H27" s="461">
        <f>SUMIF(90:90,G27,91:91)-SUMIF(90:90,C27,91:91)+100</f>
        <v>100</v>
      </c>
      <c r="I27" s="3005" t="s">
        <v>3347</v>
      </c>
      <c r="J27" s="461">
        <f>SUMIF(90:90,I27,91:91)-SUMIF(90:90,C27,91:91)+100</f>
        <v>100</v>
      </c>
      <c r="K27" s="2596"/>
      <c r="L27" s="1131"/>
      <c r="M27" s="1132"/>
      <c r="N27" s="1132"/>
      <c r="O27" s="1132"/>
      <c r="P27" s="3253"/>
      <c r="Q27" s="2938">
        <f t="shared" si="11"/>
        <v>0</v>
      </c>
      <c r="R27" s="769" t="s">
        <v>21</v>
      </c>
      <c r="S27" s="770">
        <f t="shared" si="12"/>
        <v>100</v>
      </c>
      <c r="T27" s="769" t="s">
        <v>21</v>
      </c>
      <c r="U27" s="770">
        <f t="shared" si="13"/>
        <v>100</v>
      </c>
      <c r="V27" s="769" t="s">
        <v>21</v>
      </c>
      <c r="W27" s="770">
        <f t="shared" si="14"/>
        <v>100</v>
      </c>
      <c r="X27" s="771"/>
      <c r="Y27" s="3237"/>
      <c r="Z27" s="2939">
        <f>Q27</f>
        <v>0</v>
      </c>
      <c r="AA27" s="2945">
        <f t="shared" si="15"/>
        <v>1</v>
      </c>
      <c r="AB27" s="2945">
        <f t="shared" si="16"/>
        <v>1</v>
      </c>
      <c r="AC27" s="2945">
        <f t="shared" si="17"/>
        <v>1</v>
      </c>
    </row>
    <row r="28" spans="1:29" ht="15">
      <c r="A28" s="427"/>
      <c r="B28" s="3008" t="s">
        <v>3355</v>
      </c>
      <c r="C28" s="3009" t="s">
        <v>3356</v>
      </c>
      <c r="D28" s="434">
        <v>100</v>
      </c>
      <c r="E28" s="3009" t="s">
        <v>3357</v>
      </c>
      <c r="F28" s="434">
        <f>SUMIF(92:92,E28,93:93)-SUMIF(92:92,C28,93:93)+100</f>
        <v>103</v>
      </c>
      <c r="G28" s="3009" t="s">
        <v>3357</v>
      </c>
      <c r="H28" s="434">
        <f>SUMIF(92:92,G28,93:93)-SUMIF(92:92,C28,93:93)+100</f>
        <v>103</v>
      </c>
      <c r="I28" s="3009" t="s">
        <v>3357</v>
      </c>
      <c r="J28" s="434">
        <f>SUMIF(92:92,I28,93:93)-SUMIF(92:92,C28,93:93)+100</f>
        <v>103</v>
      </c>
      <c r="K28" s="2596"/>
      <c r="L28" s="1139"/>
      <c r="M28" s="1130"/>
      <c r="N28" s="1130"/>
      <c r="O28" s="1130"/>
      <c r="P28" s="3253"/>
      <c r="Q28" s="2943" t="str">
        <f t="shared" si="11"/>
        <v>其他</v>
      </c>
      <c r="R28" s="773" t="s">
        <v>21</v>
      </c>
      <c r="S28" s="774">
        <f t="shared" si="12"/>
        <v>103</v>
      </c>
      <c r="T28" s="773" t="s">
        <v>21</v>
      </c>
      <c r="U28" s="774">
        <f t="shared" si="13"/>
        <v>103</v>
      </c>
      <c r="V28" s="773" t="s">
        <v>21</v>
      </c>
      <c r="W28" s="774">
        <f t="shared" si="14"/>
        <v>103</v>
      </c>
      <c r="X28" s="2942"/>
      <c r="Y28" s="3237"/>
      <c r="Z28" s="2944" t="str">
        <f t="shared" ref="Z28:Z46" si="18">Q28</f>
        <v>其他</v>
      </c>
      <c r="AA28" s="2945">
        <f t="shared" si="15"/>
        <v>0.970873786407767</v>
      </c>
      <c r="AB28" s="2945">
        <f t="shared" si="16"/>
        <v>0.970873786407767</v>
      </c>
      <c r="AC28" s="2945">
        <f t="shared" si="17"/>
        <v>0.970873786407767</v>
      </c>
    </row>
    <row r="29" spans="1:29" ht="15">
      <c r="A29" s="427"/>
      <c r="B29" s="1385"/>
      <c r="C29" s="433"/>
      <c r="D29" s="434">
        <v>100</v>
      </c>
      <c r="E29" s="433"/>
      <c r="F29" s="434">
        <f>SUMIF(94:94,E29,95:95)-SUMIF(94:94,C29,95:95)+100</f>
        <v>100</v>
      </c>
      <c r="G29" s="2610"/>
      <c r="H29" s="434">
        <f>SUMIF(94:94,G29,95:95)-SUMIF(94:94,C29,95:95)+100</f>
        <v>100</v>
      </c>
      <c r="I29" s="433"/>
      <c r="J29" s="434">
        <f>SUMIF(94:94,I29,95:95)-SUMIF(94:94,C29,95:95)+100</f>
        <v>100</v>
      </c>
      <c r="K29" s="2596"/>
      <c r="L29" s="1139"/>
      <c r="M29" s="1130"/>
      <c r="N29" s="1130"/>
      <c r="O29" s="1130"/>
      <c r="P29" s="3253"/>
      <c r="Q29" s="2943">
        <f t="shared" si="11"/>
        <v>0</v>
      </c>
      <c r="R29" s="773" t="s">
        <v>21</v>
      </c>
      <c r="S29" s="774">
        <f t="shared" si="12"/>
        <v>100</v>
      </c>
      <c r="T29" s="773" t="s">
        <v>21</v>
      </c>
      <c r="U29" s="774">
        <f t="shared" si="13"/>
        <v>100</v>
      </c>
      <c r="V29" s="773" t="s">
        <v>21</v>
      </c>
      <c r="W29" s="774">
        <f t="shared" si="14"/>
        <v>100</v>
      </c>
      <c r="X29" s="2942"/>
      <c r="Y29" s="3237"/>
      <c r="Z29" s="2944">
        <f t="shared" si="18"/>
        <v>0</v>
      </c>
      <c r="AA29" s="2945">
        <f t="shared" si="15"/>
        <v>1</v>
      </c>
      <c r="AB29" s="2945">
        <f t="shared" si="16"/>
        <v>1</v>
      </c>
      <c r="AC29" s="2945">
        <f t="shared" si="17"/>
        <v>1</v>
      </c>
    </row>
    <row r="30" spans="1:29" ht="15">
      <c r="A30" s="427"/>
      <c r="B30" s="1385"/>
      <c r="C30" s="433"/>
      <c r="D30" s="434">
        <v>100</v>
      </c>
      <c r="E30" s="433"/>
      <c r="F30" s="434">
        <f>SUMIF(96:96,E30,97:97)-SUMIF(96:96,C30,97:97)+100</f>
        <v>100</v>
      </c>
      <c r="G30" s="2610"/>
      <c r="H30" s="434">
        <f>SUMIF(96:96,G30,97:97)-SUMIF(96:96,C30,97:97)+100</f>
        <v>100</v>
      </c>
      <c r="I30" s="433"/>
      <c r="J30" s="434">
        <f>SUMIF(96:96,I30,97:97)-SUMIF(96:96,C30,97:97)+100</f>
        <v>100</v>
      </c>
      <c r="K30" s="2596"/>
      <c r="L30" s="1139"/>
      <c r="M30" s="1130"/>
      <c r="N30" s="1130"/>
      <c r="O30" s="1130"/>
      <c r="P30" s="3253"/>
      <c r="Q30" s="2943">
        <f t="shared" si="11"/>
        <v>0</v>
      </c>
      <c r="R30" s="773" t="s">
        <v>21</v>
      </c>
      <c r="S30" s="774">
        <f t="shared" si="12"/>
        <v>100</v>
      </c>
      <c r="T30" s="773" t="s">
        <v>21</v>
      </c>
      <c r="U30" s="774">
        <f t="shared" si="13"/>
        <v>100</v>
      </c>
      <c r="V30" s="773" t="s">
        <v>21</v>
      </c>
      <c r="W30" s="774">
        <f t="shared" si="14"/>
        <v>100</v>
      </c>
      <c r="X30" s="2942"/>
      <c r="Y30" s="3237"/>
      <c r="Z30" s="2944">
        <f t="shared" si="18"/>
        <v>0</v>
      </c>
      <c r="AA30" s="2945">
        <f t="shared" si="15"/>
        <v>1</v>
      </c>
      <c r="AB30" s="2945">
        <f t="shared" si="16"/>
        <v>1</v>
      </c>
      <c r="AC30" s="2945">
        <f t="shared" si="17"/>
        <v>1</v>
      </c>
    </row>
    <row r="31" spans="1:29" ht="15.75" thickBot="1">
      <c r="A31" s="435"/>
      <c r="B31" s="1385"/>
      <c r="C31" s="436"/>
      <c r="D31" s="437">
        <v>100</v>
      </c>
      <c r="E31" s="436"/>
      <c r="F31" s="437">
        <f>SUMIF(98:98,E31,99:99)-SUMIF(98:98,C31,99:99)+100</f>
        <v>100</v>
      </c>
      <c r="G31" s="2611"/>
      <c r="H31" s="437">
        <f>SUMIF(98:98,G31,99:99)-SUMIF(98:98,C31,99:99)+100</f>
        <v>100</v>
      </c>
      <c r="I31" s="436"/>
      <c r="J31" s="437">
        <f>SUMIF(98:98,I31,99:99)-SUMIF(98:98,C31,99:99)+100</f>
        <v>100</v>
      </c>
      <c r="K31" s="2596"/>
      <c r="L31" s="1139"/>
      <c r="M31" s="1130"/>
      <c r="N31" s="1130"/>
      <c r="O31" s="1130"/>
      <c r="P31" s="3253"/>
      <c r="Q31" s="2943">
        <f t="shared" si="11"/>
        <v>0</v>
      </c>
      <c r="R31" s="773" t="s">
        <v>21</v>
      </c>
      <c r="S31" s="774">
        <f t="shared" si="12"/>
        <v>100</v>
      </c>
      <c r="T31" s="773" t="s">
        <v>21</v>
      </c>
      <c r="U31" s="774">
        <f t="shared" si="13"/>
        <v>100</v>
      </c>
      <c r="V31" s="773" t="s">
        <v>21</v>
      </c>
      <c r="W31" s="774">
        <f t="shared" si="14"/>
        <v>100</v>
      </c>
      <c r="X31" s="2942"/>
      <c r="Y31" s="3237"/>
      <c r="Z31" s="2944">
        <f t="shared" si="18"/>
        <v>0</v>
      </c>
      <c r="AA31" s="2945">
        <f t="shared" si="15"/>
        <v>1</v>
      </c>
      <c r="AB31" s="2945">
        <f t="shared" si="16"/>
        <v>1</v>
      </c>
      <c r="AC31" s="2945">
        <f t="shared" si="17"/>
        <v>1</v>
      </c>
    </row>
    <row r="32" spans="1:29" ht="15">
      <c r="A32" s="439" t="s">
        <v>2511</v>
      </c>
      <c r="B32" s="71" t="s">
        <v>2512</v>
      </c>
      <c r="C32" s="2612" t="s">
        <v>3343</v>
      </c>
      <c r="D32" s="466">
        <v>100</v>
      </c>
      <c r="E32" s="2613" t="s">
        <v>3341</v>
      </c>
      <c r="F32" s="460">
        <f>SUMIF(100:100,E32,101:101)-SUMIF(100:100,C32,101:101)+100</f>
        <v>98</v>
      </c>
      <c r="G32" s="2612" t="s">
        <v>3341</v>
      </c>
      <c r="H32" s="466">
        <f>SUMIF(100:100,G32,101:101)-SUMIF(100:100,C32,101:101)+100</f>
        <v>98</v>
      </c>
      <c r="I32" s="2613" t="s">
        <v>3060</v>
      </c>
      <c r="J32" s="434">
        <f>SUMIF(100:100,I32,101:101)-SUMIF(100:100,C32,101:101)+100</f>
        <v>102</v>
      </c>
      <c r="K32" s="425">
        <v>2</v>
      </c>
      <c r="L32" s="1139"/>
      <c r="M32" s="1130"/>
      <c r="N32" s="1130"/>
      <c r="O32" s="1130"/>
      <c r="P32" s="3254" t="s">
        <v>2513</v>
      </c>
      <c r="Q32" s="2943" t="str">
        <f t="shared" si="11"/>
        <v>建筑类型</v>
      </c>
      <c r="R32" s="773" t="s">
        <v>21</v>
      </c>
      <c r="S32" s="774">
        <f t="shared" si="12"/>
        <v>98</v>
      </c>
      <c r="T32" s="773" t="s">
        <v>21</v>
      </c>
      <c r="U32" s="774">
        <f t="shared" si="13"/>
        <v>98</v>
      </c>
      <c r="V32" s="773" t="s">
        <v>21</v>
      </c>
      <c r="W32" s="774">
        <f t="shared" si="14"/>
        <v>102</v>
      </c>
      <c r="X32" s="2942"/>
      <c r="Y32" s="3239" t="s">
        <v>2513</v>
      </c>
      <c r="Z32" s="2944" t="str">
        <f t="shared" si="18"/>
        <v>建筑类型</v>
      </c>
      <c r="AA32" s="2945">
        <f t="shared" si="15"/>
        <v>1.0204081632653061</v>
      </c>
      <c r="AB32" s="2945">
        <f t="shared" si="16"/>
        <v>1.0204081632653061</v>
      </c>
      <c r="AC32" s="2945">
        <f t="shared" si="17"/>
        <v>0.98039215686274506</v>
      </c>
    </row>
    <row r="33" spans="1:29" s="470" customFormat="1" ht="15">
      <c r="A33" s="467"/>
      <c r="B33" s="2941" t="s">
        <v>2514</v>
      </c>
      <c r="C33" s="468">
        <f>'数据-基础表'!B3</f>
        <v>218843.90000000005</v>
      </c>
      <c r="D33" s="135">
        <v>100</v>
      </c>
      <c r="E33" s="429">
        <v>99000</v>
      </c>
      <c r="F33" s="424">
        <f>LOOKUP(E33,103:103,104:104)-LOOKUP(C33,103:103,104:104)+100</f>
        <v>98</v>
      </c>
      <c r="G33" s="428">
        <v>290000</v>
      </c>
      <c r="H33" s="135">
        <f>LOOKUP(G33,103:103,104:104)-LOOKUP(C33,103:103,104:104)+100</f>
        <v>100</v>
      </c>
      <c r="I33" s="429">
        <v>74431</v>
      </c>
      <c r="J33" s="135">
        <f>LOOKUP(I33,103:103,104:104)-LOOKUP(C33,103:103,104:104)+100</f>
        <v>98</v>
      </c>
      <c r="K33" s="2596"/>
      <c r="L33" s="1137"/>
      <c r="M33" s="1140"/>
      <c r="N33" s="1140"/>
      <c r="O33" s="1140"/>
      <c r="P33" s="3255"/>
      <c r="Q33" s="775" t="str">
        <f t="shared" si="11"/>
        <v>项目建筑规模</v>
      </c>
      <c r="R33" s="776" t="s">
        <v>21</v>
      </c>
      <c r="S33" s="777">
        <f t="shared" si="12"/>
        <v>98</v>
      </c>
      <c r="T33" s="776" t="s">
        <v>21</v>
      </c>
      <c r="U33" s="777">
        <f t="shared" si="13"/>
        <v>100</v>
      </c>
      <c r="V33" s="776" t="s">
        <v>21</v>
      </c>
      <c r="W33" s="777">
        <f t="shared" si="14"/>
        <v>98</v>
      </c>
      <c r="X33" s="778"/>
      <c r="Y33" s="3239"/>
      <c r="Z33" s="779" t="str">
        <f t="shared" si="18"/>
        <v>项目建筑规模</v>
      </c>
      <c r="AA33" s="2945">
        <f t="shared" si="15"/>
        <v>1.0204081632653061</v>
      </c>
      <c r="AB33" s="2945">
        <f t="shared" si="16"/>
        <v>1</v>
      </c>
      <c r="AC33" s="2945">
        <f t="shared" si="17"/>
        <v>1.0204081632653061</v>
      </c>
    </row>
    <row r="34" spans="1:29" ht="15">
      <c r="A34" s="471"/>
      <c r="B34" s="2941" t="s">
        <v>2515</v>
      </c>
      <c r="C34" s="2614" t="s">
        <v>3322</v>
      </c>
      <c r="D34" s="434">
        <v>100</v>
      </c>
      <c r="E34" s="2614" t="s">
        <v>3322</v>
      </c>
      <c r="F34" s="460">
        <f>SUMIF(105:105,E34,106:106)-SUMIF(105:105,C34,106:106)+100</f>
        <v>100</v>
      </c>
      <c r="G34" s="2614" t="s">
        <v>3322</v>
      </c>
      <c r="H34" s="434">
        <f>SUMIF(105:105,G34,106:106)-SUMIF(105:105,C34,106:106)+100</f>
        <v>100</v>
      </c>
      <c r="I34" s="2614" t="s">
        <v>3322</v>
      </c>
      <c r="J34" s="434">
        <f>SUMIF(105:105,I34,106:106)-SUMIF(105:105,C34,106:106)+100</f>
        <v>100</v>
      </c>
      <c r="K34" s="425">
        <v>1</v>
      </c>
      <c r="L34" s="1139"/>
      <c r="M34" s="1130"/>
      <c r="N34" s="1130"/>
      <c r="O34" s="1130"/>
      <c r="P34" s="3255"/>
      <c r="Q34" s="2943" t="str">
        <f t="shared" si="11"/>
        <v>建筑结构</v>
      </c>
      <c r="R34" s="773" t="s">
        <v>21</v>
      </c>
      <c r="S34" s="774">
        <f t="shared" si="12"/>
        <v>100</v>
      </c>
      <c r="T34" s="773" t="s">
        <v>21</v>
      </c>
      <c r="U34" s="774">
        <f t="shared" si="13"/>
        <v>100</v>
      </c>
      <c r="V34" s="773" t="s">
        <v>21</v>
      </c>
      <c r="W34" s="774">
        <f t="shared" si="14"/>
        <v>100</v>
      </c>
      <c r="X34" s="2942"/>
      <c r="Y34" s="3239"/>
      <c r="Z34" s="2944" t="str">
        <f t="shared" si="18"/>
        <v>建筑结构</v>
      </c>
      <c r="AA34" s="2945">
        <f t="shared" si="15"/>
        <v>1</v>
      </c>
      <c r="AB34" s="2945">
        <f t="shared" si="16"/>
        <v>1</v>
      </c>
      <c r="AC34" s="2945">
        <f t="shared" si="17"/>
        <v>1</v>
      </c>
    </row>
    <row r="35" spans="1:29" ht="15">
      <c r="A35" s="471"/>
      <c r="B35" s="2941" t="s">
        <v>2516</v>
      </c>
      <c r="C35" s="2608" t="s">
        <v>3329</v>
      </c>
      <c r="D35" s="434">
        <v>100</v>
      </c>
      <c r="E35" s="2608" t="s">
        <v>3329</v>
      </c>
      <c r="F35" s="460">
        <f>SUMIF(107:107,E35,108:108)-SUMIF(107:107,C35,108:108)+100</f>
        <v>100</v>
      </c>
      <c r="G35" s="2608" t="s">
        <v>3349</v>
      </c>
      <c r="H35" s="434">
        <f>SUMIF(107:107,G35,108:108)-SUMIF(107:107,C35,108:108)+100</f>
        <v>95</v>
      </c>
      <c r="I35" s="2608" t="s">
        <v>3329</v>
      </c>
      <c r="J35" s="434">
        <f>SUMIF(107:107,I35,108:108)-SUMIF(107:107,C35,108:108)+100</f>
        <v>100</v>
      </c>
      <c r="K35" s="425">
        <v>5</v>
      </c>
      <c r="L35" s="1139"/>
      <c r="M35" s="1130"/>
      <c r="N35" s="1130"/>
      <c r="O35" s="1130"/>
      <c r="P35" s="3255"/>
      <c r="Q35" s="2943" t="str">
        <f t="shared" si="11"/>
        <v>建筑品质</v>
      </c>
      <c r="R35" s="773" t="s">
        <v>21</v>
      </c>
      <c r="S35" s="774">
        <f t="shared" si="12"/>
        <v>100</v>
      </c>
      <c r="T35" s="773" t="s">
        <v>21</v>
      </c>
      <c r="U35" s="774">
        <f t="shared" si="13"/>
        <v>95</v>
      </c>
      <c r="V35" s="773" t="s">
        <v>21</v>
      </c>
      <c r="W35" s="774">
        <f t="shared" si="14"/>
        <v>100</v>
      </c>
      <c r="X35" s="2942"/>
      <c r="Y35" s="3239"/>
      <c r="Z35" s="2944" t="str">
        <f t="shared" si="18"/>
        <v>建筑品质</v>
      </c>
      <c r="AA35" s="2945">
        <f t="shared" si="15"/>
        <v>1</v>
      </c>
      <c r="AB35" s="2945">
        <f t="shared" si="16"/>
        <v>1.0526315789473684</v>
      </c>
      <c r="AC35" s="2945">
        <f t="shared" si="17"/>
        <v>1</v>
      </c>
    </row>
    <row r="36" spans="1:29" ht="15">
      <c r="A36" s="471"/>
      <c r="B36" s="2941" t="s">
        <v>2517</v>
      </c>
      <c r="C36" s="2608" t="s">
        <v>3331</v>
      </c>
      <c r="D36" s="434">
        <v>100</v>
      </c>
      <c r="E36" s="2608" t="s">
        <v>3331</v>
      </c>
      <c r="F36" s="460">
        <f>SUMIF(109:109,E36,110:110)-SUMIF(109:109,C36,110:110)+100</f>
        <v>100</v>
      </c>
      <c r="G36" s="2608" t="s">
        <v>3331</v>
      </c>
      <c r="H36" s="434">
        <f>SUMIF(109:109,G36,110:110)-SUMIF(109:109,C36,110:110)+100</f>
        <v>100</v>
      </c>
      <c r="I36" s="2608" t="s">
        <v>3331</v>
      </c>
      <c r="J36" s="434">
        <f>SUMIF(109:109,I36,110:110)-SUMIF(109:109,C36,110:110)+100</f>
        <v>100</v>
      </c>
      <c r="K36" s="425">
        <v>1</v>
      </c>
      <c r="L36" s="1139"/>
      <c r="M36" s="1130"/>
      <c r="N36" s="1130"/>
      <c r="O36" s="1130"/>
      <c r="P36" s="3255"/>
      <c r="Q36" s="2943" t="str">
        <f t="shared" si="11"/>
        <v>公共部分装修</v>
      </c>
      <c r="R36" s="773" t="s">
        <v>21</v>
      </c>
      <c r="S36" s="774">
        <f t="shared" si="12"/>
        <v>100</v>
      </c>
      <c r="T36" s="773" t="s">
        <v>21</v>
      </c>
      <c r="U36" s="774">
        <f t="shared" si="13"/>
        <v>100</v>
      </c>
      <c r="V36" s="773" t="s">
        <v>21</v>
      </c>
      <c r="W36" s="774">
        <f t="shared" si="14"/>
        <v>100</v>
      </c>
      <c r="X36" s="2942"/>
      <c r="Y36" s="3239"/>
      <c r="Z36" s="2944" t="str">
        <f t="shared" si="18"/>
        <v>公共部分装修</v>
      </c>
      <c r="AA36" s="2945">
        <f t="shared" si="15"/>
        <v>1</v>
      </c>
      <c r="AB36" s="2945">
        <f t="shared" si="16"/>
        <v>1</v>
      </c>
      <c r="AC36" s="2945">
        <f t="shared" si="17"/>
        <v>1</v>
      </c>
    </row>
    <row r="37" spans="1:29" s="117" customFormat="1" ht="15">
      <c r="A37" s="472"/>
      <c r="B37" s="2941" t="s">
        <v>2518</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1"/>
      <c r="M37" s="1132"/>
      <c r="N37" s="1132"/>
      <c r="O37" s="1132"/>
      <c r="P37" s="3255"/>
      <c r="Q37" s="2938" t="str">
        <f t="shared" si="11"/>
        <v>成新度</v>
      </c>
      <c r="R37" s="769" t="s">
        <v>21</v>
      </c>
      <c r="S37" s="770">
        <f t="shared" si="12"/>
        <v>100</v>
      </c>
      <c r="T37" s="769" t="s">
        <v>21</v>
      </c>
      <c r="U37" s="770">
        <f t="shared" si="13"/>
        <v>100</v>
      </c>
      <c r="V37" s="769" t="s">
        <v>21</v>
      </c>
      <c r="W37" s="770">
        <f t="shared" si="14"/>
        <v>100</v>
      </c>
      <c r="X37" s="771"/>
      <c r="Y37" s="3239"/>
      <c r="Z37" s="2939" t="str">
        <f t="shared" si="18"/>
        <v>成新度</v>
      </c>
      <c r="AA37" s="772">
        <f t="shared" si="15"/>
        <v>1</v>
      </c>
      <c r="AB37" s="772">
        <f t="shared" si="16"/>
        <v>1</v>
      </c>
      <c r="AC37" s="772">
        <f t="shared" si="17"/>
        <v>1</v>
      </c>
    </row>
    <row r="38" spans="1:29" ht="15">
      <c r="A38" s="471"/>
      <c r="B38" s="2941" t="s">
        <v>2519</v>
      </c>
      <c r="C38" s="2608" t="s">
        <v>3333</v>
      </c>
      <c r="D38" s="434">
        <v>100</v>
      </c>
      <c r="E38" s="2608" t="s">
        <v>3333</v>
      </c>
      <c r="F38" s="460">
        <f>SUMIF(114:114,E38,115:115)-SUMIF(114:114,C38,115:115)+100</f>
        <v>100</v>
      </c>
      <c r="G38" s="2608" t="s">
        <v>3333</v>
      </c>
      <c r="H38" s="434">
        <f>SUMIF(114:114,G38,115:115)-SUMIF(114:114,C38,115:115)+100</f>
        <v>100</v>
      </c>
      <c r="I38" s="2608" t="s">
        <v>3333</v>
      </c>
      <c r="J38" s="434">
        <f>SUMIF(114:114,I38,115:115)-SUMIF(114:114,C38,115:115)+100</f>
        <v>100</v>
      </c>
      <c r="K38" s="425">
        <v>1</v>
      </c>
      <c r="L38" s="1139"/>
      <c r="M38" s="1130"/>
      <c r="N38" s="1130"/>
      <c r="O38" s="1130"/>
      <c r="P38" s="3255" t="s">
        <v>2513</v>
      </c>
      <c r="Q38" s="2943" t="str">
        <f t="shared" si="11"/>
        <v>物业管理</v>
      </c>
      <c r="R38" s="773" t="s">
        <v>21</v>
      </c>
      <c r="S38" s="774">
        <f t="shared" si="12"/>
        <v>100</v>
      </c>
      <c r="T38" s="773" t="s">
        <v>21</v>
      </c>
      <c r="U38" s="774">
        <f t="shared" si="13"/>
        <v>100</v>
      </c>
      <c r="V38" s="773" t="s">
        <v>21</v>
      </c>
      <c r="W38" s="774">
        <f t="shared" si="14"/>
        <v>100</v>
      </c>
      <c r="X38" s="2942"/>
      <c r="Y38" s="3239" t="s">
        <v>2513</v>
      </c>
      <c r="Z38" s="2944" t="str">
        <f t="shared" si="18"/>
        <v>物业管理</v>
      </c>
      <c r="AA38" s="2945">
        <f t="shared" si="15"/>
        <v>1</v>
      </c>
      <c r="AB38" s="2945">
        <f t="shared" si="16"/>
        <v>1</v>
      </c>
      <c r="AC38" s="2945">
        <f t="shared" si="17"/>
        <v>1</v>
      </c>
    </row>
    <row r="39" spans="1:29" ht="15">
      <c r="A39" s="471"/>
      <c r="B39" s="2941" t="s">
        <v>2520</v>
      </c>
      <c r="C39" s="2608" t="s">
        <v>3096</v>
      </c>
      <c r="D39" s="434">
        <v>100</v>
      </c>
      <c r="E39" s="2608" t="s">
        <v>3096</v>
      </c>
      <c r="F39" s="460">
        <f>SUMIF(116:116,E39,117:117)-SUMIF(116:116,C39,117:117)+100</f>
        <v>100</v>
      </c>
      <c r="G39" s="2608" t="s">
        <v>3096</v>
      </c>
      <c r="H39" s="434">
        <f>SUMIF(116:116,G39,117:117)-SUMIF(116:116,C39,117:117)+100</f>
        <v>100</v>
      </c>
      <c r="I39" s="2608" t="s">
        <v>3096</v>
      </c>
      <c r="J39" s="434">
        <f>SUMIF(116:116,I39,117:117)-SUMIF(116:116,C39,117:117)+100</f>
        <v>100</v>
      </c>
      <c r="K39" s="425">
        <v>1</v>
      </c>
      <c r="L39" s="1139"/>
      <c r="M39" s="1130"/>
      <c r="N39" s="1130"/>
      <c r="O39" s="1130"/>
      <c r="P39" s="3255"/>
      <c r="Q39" s="2943" t="str">
        <f t="shared" si="11"/>
        <v>市政基础设施</v>
      </c>
      <c r="R39" s="773" t="s">
        <v>21</v>
      </c>
      <c r="S39" s="774">
        <f t="shared" si="12"/>
        <v>100</v>
      </c>
      <c r="T39" s="773" t="s">
        <v>21</v>
      </c>
      <c r="U39" s="774">
        <f t="shared" si="13"/>
        <v>100</v>
      </c>
      <c r="V39" s="773" t="s">
        <v>21</v>
      </c>
      <c r="W39" s="774">
        <f t="shared" si="14"/>
        <v>100</v>
      </c>
      <c r="X39" s="2942"/>
      <c r="Y39" s="3239"/>
      <c r="Z39" s="2944" t="str">
        <f t="shared" si="18"/>
        <v>市政基础设施</v>
      </c>
      <c r="AA39" s="2945">
        <f t="shared" si="15"/>
        <v>1</v>
      </c>
      <c r="AB39" s="2945">
        <f t="shared" si="16"/>
        <v>1</v>
      </c>
      <c r="AC39" s="2945">
        <f t="shared" si="17"/>
        <v>1</v>
      </c>
    </row>
    <row r="40" spans="1:29" ht="15">
      <c r="A40" s="471"/>
      <c r="B40" s="2941" t="s">
        <v>2521</v>
      </c>
      <c r="C40" s="2608" t="s">
        <v>70</v>
      </c>
      <c r="D40" s="434">
        <v>100</v>
      </c>
      <c r="E40" s="2608" t="s">
        <v>70</v>
      </c>
      <c r="F40" s="460">
        <f>SUMIF(118:118,E40,119:119)-SUMIF(118:118,C40,119:119)+100</f>
        <v>100</v>
      </c>
      <c r="G40" s="2608" t="s">
        <v>70</v>
      </c>
      <c r="H40" s="434">
        <f>SUMIF(118:118,G40,119:119)-SUMIF(118:118,C40,119:119)+100</f>
        <v>100</v>
      </c>
      <c r="I40" s="2608" t="s">
        <v>70</v>
      </c>
      <c r="J40" s="434">
        <f>SUMIF(118:118,I40,119:119)-SUMIF(118:118,C40,119:119)+100</f>
        <v>100</v>
      </c>
      <c r="K40" s="425">
        <v>1</v>
      </c>
      <c r="L40" s="1139"/>
      <c r="M40" s="1130"/>
      <c r="N40" s="1130"/>
      <c r="O40" s="1130"/>
      <c r="P40" s="3255"/>
      <c r="Q40" s="2943" t="str">
        <f t="shared" si="11"/>
        <v>房型</v>
      </c>
      <c r="R40" s="773" t="s">
        <v>21</v>
      </c>
      <c r="S40" s="774">
        <f t="shared" si="12"/>
        <v>100</v>
      </c>
      <c r="T40" s="773" t="s">
        <v>21</v>
      </c>
      <c r="U40" s="774">
        <f t="shared" si="13"/>
        <v>100</v>
      </c>
      <c r="V40" s="773" t="s">
        <v>21</v>
      </c>
      <c r="W40" s="774">
        <f t="shared" si="14"/>
        <v>100</v>
      </c>
      <c r="X40" s="2942"/>
      <c r="Y40" s="3239"/>
      <c r="Z40" s="2944" t="str">
        <f t="shared" si="18"/>
        <v>房型</v>
      </c>
      <c r="AA40" s="2945">
        <f t="shared" si="15"/>
        <v>1</v>
      </c>
      <c r="AB40" s="2945">
        <f t="shared" si="16"/>
        <v>1</v>
      </c>
      <c r="AC40" s="2945">
        <f t="shared" si="17"/>
        <v>1</v>
      </c>
    </row>
    <row r="41" spans="1:29" s="470" customFormat="1" ht="28.5">
      <c r="A41" s="467"/>
      <c r="B41" s="2941" t="s">
        <v>2522</v>
      </c>
      <c r="C41" s="468" t="s">
        <v>3326</v>
      </c>
      <c r="D41" s="135">
        <v>100</v>
      </c>
      <c r="E41" s="468" t="s">
        <v>3326</v>
      </c>
      <c r="F41" s="424">
        <f>SUMIF(120:120,E41,121:121)-SUMIF(120:120,C41,121:121)+100</f>
        <v>100</v>
      </c>
      <c r="G41" s="468" t="s">
        <v>3326</v>
      </c>
      <c r="H41" s="135">
        <f>SUMIF(120:120,G41,121:121)-SUMIF(120:120,C41,121:121)+100</f>
        <v>100</v>
      </c>
      <c r="I41" s="468" t="s">
        <v>3326</v>
      </c>
      <c r="J41" s="434">
        <f>SUMIF(120:120,I41,121:121)-SUMIF(120:120,C41,121:121)+100</f>
        <v>100</v>
      </c>
      <c r="K41" s="2596"/>
      <c r="L41" s="1137"/>
      <c r="M41" s="1140"/>
      <c r="N41" s="1140"/>
      <c r="O41" s="1140"/>
      <c r="P41" s="3255"/>
      <c r="Q41" s="775" t="str">
        <f t="shared" si="11"/>
        <v>单套/主力户型建筑面积</v>
      </c>
      <c r="R41" s="776" t="s">
        <v>21</v>
      </c>
      <c r="S41" s="777">
        <f t="shared" si="12"/>
        <v>100</v>
      </c>
      <c r="T41" s="776" t="s">
        <v>21</v>
      </c>
      <c r="U41" s="777">
        <f t="shared" si="13"/>
        <v>100</v>
      </c>
      <c r="V41" s="776" t="s">
        <v>21</v>
      </c>
      <c r="W41" s="777">
        <f t="shared" si="14"/>
        <v>100</v>
      </c>
      <c r="X41" s="778"/>
      <c r="Y41" s="3239"/>
      <c r="Z41" s="779" t="str">
        <f t="shared" si="18"/>
        <v>单套/主力户型建筑面积</v>
      </c>
      <c r="AA41" s="2945">
        <f t="shared" si="15"/>
        <v>1</v>
      </c>
      <c r="AB41" s="2945">
        <f t="shared" si="16"/>
        <v>1</v>
      </c>
      <c r="AC41" s="2945">
        <f t="shared" si="17"/>
        <v>1</v>
      </c>
    </row>
    <row r="42" spans="1:29" ht="15">
      <c r="A42" s="471"/>
      <c r="B42" s="2941" t="s">
        <v>2523</v>
      </c>
      <c r="C42" s="2608" t="s">
        <v>3335</v>
      </c>
      <c r="D42" s="434">
        <v>100</v>
      </c>
      <c r="E42" s="2608" t="s">
        <v>3335</v>
      </c>
      <c r="F42" s="460">
        <f>SUMIF(122:122,E42,123:123)-SUMIF(122:122,C42,123:123)+100</f>
        <v>100</v>
      </c>
      <c r="G42" s="2608" t="s">
        <v>3331</v>
      </c>
      <c r="H42" s="434">
        <f>SUMIF(122:122,G42,123:123)-SUMIF(122:122,C42,123:123)+100</f>
        <v>103</v>
      </c>
      <c r="I42" s="2609" t="s">
        <v>3335</v>
      </c>
      <c r="J42" s="434">
        <f>SUMIF(122:122,I42,123:123)-SUMIF(122:122,C42,123:123)+100</f>
        <v>100</v>
      </c>
      <c r="K42" s="425">
        <v>1</v>
      </c>
      <c r="L42" s="1139"/>
      <c r="M42" s="1130"/>
      <c r="N42" s="1130"/>
      <c r="O42" s="1130"/>
      <c r="P42" s="3255"/>
      <c r="Q42" s="2943" t="str">
        <f t="shared" si="11"/>
        <v>内部装修</v>
      </c>
      <c r="R42" s="773" t="s">
        <v>21</v>
      </c>
      <c r="S42" s="774">
        <f t="shared" si="12"/>
        <v>100</v>
      </c>
      <c r="T42" s="773" t="s">
        <v>21</v>
      </c>
      <c r="U42" s="774">
        <f t="shared" si="13"/>
        <v>103</v>
      </c>
      <c r="V42" s="773" t="s">
        <v>21</v>
      </c>
      <c r="W42" s="774">
        <f t="shared" si="14"/>
        <v>100</v>
      </c>
      <c r="X42" s="2942"/>
      <c r="Y42" s="3239"/>
      <c r="Z42" s="2944" t="str">
        <f t="shared" si="18"/>
        <v>内部装修</v>
      </c>
      <c r="AA42" s="2945">
        <f t="shared" si="15"/>
        <v>1</v>
      </c>
      <c r="AB42" s="2945">
        <f t="shared" si="16"/>
        <v>0.970873786407767</v>
      </c>
      <c r="AC42" s="2945">
        <f t="shared" si="17"/>
        <v>1</v>
      </c>
    </row>
    <row r="43" spans="1:29" ht="15">
      <c r="A43" s="471"/>
      <c r="B43" s="2941" t="s">
        <v>2524</v>
      </c>
      <c r="C43" s="2608" t="s">
        <v>3093</v>
      </c>
      <c r="D43" s="434">
        <v>100</v>
      </c>
      <c r="E43" s="2608" t="s">
        <v>3093</v>
      </c>
      <c r="F43" s="460">
        <f>SUMIF(124:124,E43,125:125)-SUMIF(124:124,C43,125:125)+100</f>
        <v>100</v>
      </c>
      <c r="G43" s="2608" t="s">
        <v>3093</v>
      </c>
      <c r="H43" s="434">
        <f>SUMIF(124:124,G43,125:125)-SUMIF(124:124,C43,125:125)+100</f>
        <v>100</v>
      </c>
      <c r="I43" s="2608" t="s">
        <v>3093</v>
      </c>
      <c r="J43" s="434">
        <f>SUMIF(124:124,I43,125:125)-SUMIF(124:124,C43,125:125)+100</f>
        <v>100</v>
      </c>
      <c r="K43" s="425">
        <v>1</v>
      </c>
      <c r="L43" s="1139"/>
      <c r="M43" s="1130"/>
      <c r="N43" s="1130"/>
      <c r="O43" s="1130"/>
      <c r="P43" s="3255"/>
      <c r="Q43" s="2943" t="str">
        <f t="shared" si="11"/>
        <v>内部装修维护情况</v>
      </c>
      <c r="R43" s="773" t="s">
        <v>21</v>
      </c>
      <c r="S43" s="774">
        <f t="shared" si="12"/>
        <v>100</v>
      </c>
      <c r="T43" s="773" t="s">
        <v>21</v>
      </c>
      <c r="U43" s="774">
        <f t="shared" si="13"/>
        <v>100</v>
      </c>
      <c r="V43" s="773" t="s">
        <v>21</v>
      </c>
      <c r="W43" s="774">
        <f t="shared" si="14"/>
        <v>100</v>
      </c>
      <c r="X43" s="2942"/>
      <c r="Y43" s="3239"/>
      <c r="Z43" s="2944" t="str">
        <f t="shared" si="18"/>
        <v>内部装修维护情况</v>
      </c>
      <c r="AA43" s="2945">
        <f t="shared" si="15"/>
        <v>1</v>
      </c>
      <c r="AB43" s="2945">
        <f t="shared" si="16"/>
        <v>1</v>
      </c>
      <c r="AC43" s="2945">
        <f t="shared" si="17"/>
        <v>1</v>
      </c>
    </row>
    <row r="44" spans="1:29" s="117" customFormat="1" ht="15">
      <c r="A44" s="472"/>
      <c r="B44" s="1385"/>
      <c r="C44" s="468"/>
      <c r="D44" s="135">
        <v>100</v>
      </c>
      <c r="E44" s="468"/>
      <c r="F44" s="424">
        <f>SUMIF(126:126,E44,127:127)-SUMIF(126:126,C44,127:127)+100</f>
        <v>100</v>
      </c>
      <c r="G44" s="468"/>
      <c r="H44" s="135">
        <f>SUMIF(126:126,G44,127:127)-SUMIF(126:126,C44,127:127)+100</f>
        <v>100</v>
      </c>
      <c r="I44" s="468"/>
      <c r="J44" s="135">
        <f>SUMIF(126:126,I44,127:127)-SUMIF(126:126,C44,127:127)+100</f>
        <v>100</v>
      </c>
      <c r="K44" s="2596"/>
      <c r="L44" s="1131"/>
      <c r="M44" s="1132"/>
      <c r="N44" s="1132"/>
      <c r="O44" s="1132"/>
      <c r="P44" s="3255"/>
      <c r="Q44" s="2938">
        <f t="shared" si="11"/>
        <v>0</v>
      </c>
      <c r="R44" s="769" t="s">
        <v>21</v>
      </c>
      <c r="S44" s="770">
        <f t="shared" si="12"/>
        <v>100</v>
      </c>
      <c r="T44" s="769" t="s">
        <v>21</v>
      </c>
      <c r="U44" s="770">
        <f t="shared" si="13"/>
        <v>100</v>
      </c>
      <c r="V44" s="769" t="s">
        <v>21</v>
      </c>
      <c r="W44" s="770">
        <f t="shared" si="14"/>
        <v>100</v>
      </c>
      <c r="X44" s="771"/>
      <c r="Y44" s="3239"/>
      <c r="Z44" s="2939">
        <f t="shared" si="18"/>
        <v>0</v>
      </c>
      <c r="AA44" s="772">
        <f t="shared" si="15"/>
        <v>1</v>
      </c>
      <c r="AB44" s="772">
        <f t="shared" si="16"/>
        <v>1</v>
      </c>
      <c r="AC44" s="772">
        <f t="shared" si="17"/>
        <v>1</v>
      </c>
    </row>
    <row r="45" spans="1:29" ht="15">
      <c r="A45" s="471"/>
      <c r="B45" s="1385"/>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39"/>
      <c r="M45" s="1130"/>
      <c r="N45" s="1130"/>
      <c r="O45" s="1130"/>
      <c r="P45" s="3255"/>
      <c r="Q45" s="2943">
        <f t="shared" si="11"/>
        <v>0</v>
      </c>
      <c r="R45" s="773" t="s">
        <v>21</v>
      </c>
      <c r="S45" s="774">
        <f t="shared" si="12"/>
        <v>100</v>
      </c>
      <c r="T45" s="773" t="s">
        <v>21</v>
      </c>
      <c r="U45" s="774">
        <f t="shared" si="13"/>
        <v>100</v>
      </c>
      <c r="V45" s="773" t="s">
        <v>21</v>
      </c>
      <c r="W45" s="774">
        <f t="shared" si="14"/>
        <v>100</v>
      </c>
      <c r="X45" s="2942"/>
      <c r="Y45" s="3239"/>
      <c r="Z45" s="2944">
        <f t="shared" si="18"/>
        <v>0</v>
      </c>
      <c r="AA45" s="2945">
        <f t="shared" si="15"/>
        <v>1</v>
      </c>
      <c r="AB45" s="2945">
        <f t="shared" si="16"/>
        <v>1</v>
      </c>
      <c r="AC45" s="2945">
        <f t="shared" si="17"/>
        <v>1</v>
      </c>
    </row>
    <row r="46" spans="1:29" ht="15.75" thickBot="1">
      <c r="A46" s="477"/>
      <c r="B46" s="2597"/>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39"/>
      <c r="M46" s="1130"/>
      <c r="N46" s="1130"/>
      <c r="O46" s="1130"/>
      <c r="P46" s="3256"/>
      <c r="Q46" s="2943">
        <f t="shared" si="11"/>
        <v>0</v>
      </c>
      <c r="R46" s="773" t="s">
        <v>20</v>
      </c>
      <c r="S46" s="774">
        <f t="shared" si="12"/>
        <v>100</v>
      </c>
      <c r="T46" s="773" t="s">
        <v>20</v>
      </c>
      <c r="U46" s="774">
        <f t="shared" si="13"/>
        <v>100</v>
      </c>
      <c r="V46" s="773" t="s">
        <v>20</v>
      </c>
      <c r="W46" s="774">
        <f t="shared" si="14"/>
        <v>100</v>
      </c>
      <c r="X46" s="2942"/>
      <c r="Y46" s="3257"/>
      <c r="Z46" s="2944">
        <f t="shared" si="18"/>
        <v>0</v>
      </c>
      <c r="AA46" s="2945">
        <f t="shared" si="15"/>
        <v>1</v>
      </c>
      <c r="AB46" s="2945">
        <f t="shared" si="16"/>
        <v>1</v>
      </c>
      <c r="AC46" s="2945">
        <f t="shared" si="17"/>
        <v>1</v>
      </c>
    </row>
    <row r="47" spans="1:29" ht="15">
      <c r="A47" s="478" t="s">
        <v>2525</v>
      </c>
      <c r="B47" s="479"/>
      <c r="C47" s="1406" t="s">
        <v>19</v>
      </c>
      <c r="D47" s="1407"/>
      <c r="E47" s="1408">
        <v>17000</v>
      </c>
      <c r="F47" s="1409"/>
      <c r="G47" s="1410">
        <v>18000</v>
      </c>
      <c r="H47" s="1411"/>
      <c r="I47" s="1408">
        <v>19000</v>
      </c>
      <c r="J47" s="1411"/>
      <c r="K47" s="2615"/>
      <c r="L47" s="1142"/>
      <c r="M47" s="1143"/>
      <c r="N47" s="1130"/>
      <c r="O47" s="1143"/>
      <c r="P47" s="3221" t="str">
        <f>A47</f>
        <v>成交单价（元/平方米）</v>
      </c>
      <c r="Q47" s="3221"/>
      <c r="R47" s="3250">
        <f>E47</f>
        <v>17000</v>
      </c>
      <c r="S47" s="3250"/>
      <c r="T47" s="3250">
        <f>G47</f>
        <v>18000</v>
      </c>
      <c r="U47" s="3250"/>
      <c r="V47" s="3250">
        <f>I47</f>
        <v>19000</v>
      </c>
      <c r="W47" s="3250"/>
      <c r="X47" s="758"/>
      <c r="Y47" s="780"/>
      <c r="Z47" s="758"/>
      <c r="AA47" s="758"/>
      <c r="AB47" s="758"/>
      <c r="AC47" s="758"/>
    </row>
    <row r="48" spans="1:29" ht="15.75" thickBot="1">
      <c r="A48" s="485" t="s">
        <v>2526</v>
      </c>
      <c r="B48" s="486"/>
      <c r="C48" s="1412">
        <f>R49</f>
        <v>19724</v>
      </c>
      <c r="D48" s="1413"/>
      <c r="E48" s="1414">
        <f>R48</f>
        <v>18090</v>
      </c>
      <c r="F48" s="1414"/>
      <c r="G48" s="1412">
        <f>T48</f>
        <v>19777</v>
      </c>
      <c r="H48" s="1413"/>
      <c r="I48" s="1414">
        <f>V48</f>
        <v>21304</v>
      </c>
      <c r="J48" s="1413"/>
      <c r="K48" s="2616"/>
      <c r="L48" s="1142"/>
      <c r="M48" s="1143"/>
      <c r="N48" s="1143"/>
      <c r="O48" s="1143"/>
      <c r="P48" s="3221" t="str">
        <f>A48</f>
        <v>比较价值（元/平方米）</v>
      </c>
      <c r="Q48" s="3221"/>
      <c r="R48" s="3250">
        <f>IF(F1="售价",ROUND(PRODUCT(R47,AA7:AA46),0),ROUND(PRODUCT(R47,AA7:AA46),1))</f>
        <v>18090</v>
      </c>
      <c r="S48" s="3250"/>
      <c r="T48" s="3250">
        <f>IF(F1="售价",ROUND(PRODUCT(T47,AB7:AB46),0),ROUND(PRODUCT(T47,AB7:AB46),1))</f>
        <v>19777</v>
      </c>
      <c r="U48" s="3250"/>
      <c r="V48" s="3250">
        <f>IF(F1="售价",ROUND(PRODUCT(V47,AC7:AC46),0),ROUND(PRODUCT(V47,AC7:AC46),1))</f>
        <v>21304</v>
      </c>
      <c r="W48" s="3250"/>
      <c r="X48" s="758"/>
      <c r="Y48" s="758"/>
      <c r="Z48" s="758"/>
      <c r="AA48" s="758"/>
      <c r="AB48" s="758"/>
      <c r="AC48" s="758"/>
    </row>
    <row r="49" spans="1:29" ht="15.75" thickBot="1">
      <c r="A49" s="491" t="s">
        <v>3089</v>
      </c>
      <c r="B49" s="492"/>
      <c r="C49" s="1415">
        <f>R49</f>
        <v>19724</v>
      </c>
      <c r="D49" s="1416"/>
      <c r="E49" s="1416"/>
      <c r="F49" s="1416"/>
      <c r="G49" s="1416"/>
      <c r="H49" s="1416"/>
      <c r="I49" s="1416"/>
      <c r="J49" s="1416"/>
      <c r="K49" s="2617"/>
      <c r="L49" s="1142"/>
      <c r="M49" s="1143"/>
      <c r="N49" s="1143"/>
      <c r="O49" s="1143"/>
      <c r="P49" s="3241" t="str">
        <f>A49</f>
        <v>估价对象住宅用房的比较价值（楼面单价，元/平方米）</v>
      </c>
      <c r="Q49" s="3242"/>
      <c r="R49" s="3251">
        <f>IF(F1="售价",ROUND(AVERAGE(R48:V48),0),ROUND(AVERAGE(R48:V48),1))</f>
        <v>19724</v>
      </c>
      <c r="S49" s="3251"/>
      <c r="T49" s="3251"/>
      <c r="U49" s="3251"/>
      <c r="V49" s="3251"/>
      <c r="W49" s="325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2527</v>
      </c>
      <c r="D52" s="497"/>
      <c r="E52" s="498">
        <f>IF(E47&lt;E48,E48/E47-1,E47/E48-1)</f>
        <v>6.4117647058823612E-2</v>
      </c>
      <c r="F52" s="499" t="str">
        <f>IF(OR(E52&gt;=0.3,E52&lt;=-0.3),"超过30%","")</f>
        <v/>
      </c>
      <c r="G52" s="498">
        <f>IF(G47&lt;G48,G48/G47-1,G47/G48-1)</f>
        <v>9.8722222222222156E-2</v>
      </c>
      <c r="H52" s="499" t="str">
        <f>IF(OR(G52&gt;=0.3,G52&lt;=-0.3),"超过30%","")</f>
        <v/>
      </c>
      <c r="I52" s="498">
        <f>IF(I47&lt;I48,I48/I47-1,I47/I48-1)</f>
        <v>0.12126315789473674</v>
      </c>
      <c r="J52" s="499" t="str">
        <f>IF(OR(I52&gt;=0.3,I52&lt;=-0.3),"超过30%","")</f>
        <v/>
      </c>
      <c r="K52" s="1104"/>
      <c r="L52" s="1105"/>
      <c r="M52" s="1143"/>
      <c r="N52" s="1143"/>
      <c r="O52" s="1143"/>
    </row>
    <row r="53" spans="1:29" ht="13.5" customHeight="1">
      <c r="A53" s="1143"/>
      <c r="B53" s="1143"/>
      <c r="C53" s="496" t="s">
        <v>2528</v>
      </c>
      <c r="D53" s="500"/>
      <c r="E53" s="498">
        <f>IF(E48&lt;G48,G48/E48-1,E48/G48-1)</f>
        <v>9.325594250967395E-2</v>
      </c>
      <c r="F53" s="499" t="str">
        <f>IF(OR(E53&gt;=0.2,E53&lt;=-0.2),"超过20%","")</f>
        <v/>
      </c>
      <c r="G53" s="498">
        <f>IF(G48&lt;I48,I48/G48-1,G48/I48-1)</f>
        <v>7.7210901552308142E-2</v>
      </c>
      <c r="H53" s="499" t="str">
        <f>IF(OR(G53&gt;=0.2,G53&lt;=-0.2),"超过20%","")</f>
        <v/>
      </c>
      <c r="I53" s="498">
        <f>IF(I48&lt;E48,E48/I48-1,I48/E48-1)</f>
        <v>0.17766721945826425</v>
      </c>
      <c r="J53" s="499" t="str">
        <f>IF(OR(I53&gt;=0.2,I53&lt;=-0.2),"超过20%","")</f>
        <v/>
      </c>
      <c r="K53" s="1104"/>
      <c r="L53" s="1105"/>
      <c r="M53" s="1143"/>
      <c r="N53" s="1143"/>
      <c r="O53" s="1143"/>
    </row>
    <row r="54" spans="1:29" s="501" customFormat="1" ht="13.5" customHeight="1">
      <c r="A54" s="1144"/>
      <c r="B54" s="1144"/>
      <c r="C54" s="496" t="s">
        <v>2529</v>
      </c>
      <c r="D54" s="500"/>
      <c r="E54" s="498">
        <f>IF(E47&lt;G47,G47/E47-1,E47/G47-1)</f>
        <v>5.8823529411764719E-2</v>
      </c>
      <c r="F54" s="499" t="str">
        <f>IF(OR(E54&gt;=0.3,E54&lt;=-0.3),"超过30%","")</f>
        <v/>
      </c>
      <c r="G54" s="498">
        <f>IF(G47&lt;I47,I47/G47-1,G47/I47-1)</f>
        <v>5.555555555555558E-2</v>
      </c>
      <c r="H54" s="499" t="str">
        <f>IF(OR(G54&gt;=0.3,G54&lt;=-0.3),"超过30%","")</f>
        <v/>
      </c>
      <c r="I54" s="498">
        <f>IF(I47&lt;E47,E47/I47-1,I47/E47-1)</f>
        <v>0.11764705882352944</v>
      </c>
      <c r="J54" s="499" t="str">
        <f>IF(OR(I54&gt;=0.3,I54&lt;=-0.3),"超过30%","")</f>
        <v/>
      </c>
      <c r="K54" s="1147"/>
      <c r="L54" s="1148"/>
      <c r="M54" s="1144"/>
      <c r="N54" s="1144"/>
      <c r="O54" s="1144"/>
      <c r="P54" s="2619"/>
    </row>
    <row r="55" spans="1:29" s="501" customFormat="1">
      <c r="A55" s="1144"/>
      <c r="B55" s="1145"/>
      <c r="C55" s="1149"/>
      <c r="D55" s="1144"/>
      <c r="E55" s="1144"/>
      <c r="F55" s="1144"/>
      <c r="G55" s="1144"/>
      <c r="H55" s="1144"/>
      <c r="I55" s="1144"/>
      <c r="J55" s="1144"/>
      <c r="K55" s="1147"/>
      <c r="L55" s="1148"/>
      <c r="M55" s="1144"/>
      <c r="N55" s="1144"/>
      <c r="O55" s="1144"/>
      <c r="P55" s="2619"/>
    </row>
    <row r="56" spans="1:29">
      <c r="A56" s="1143"/>
      <c r="B56" s="1145"/>
      <c r="C56" s="1149"/>
      <c r="D56" s="1143"/>
      <c r="E56" s="1143"/>
      <c r="F56" s="1143"/>
      <c r="G56" s="1143"/>
      <c r="H56" s="1143"/>
      <c r="I56" s="1143"/>
      <c r="J56" s="1143"/>
      <c r="K56" s="1104"/>
      <c r="L56" s="1105"/>
      <c r="M56" s="1143"/>
      <c r="N56" s="1143"/>
      <c r="O56" s="1143"/>
    </row>
    <row r="57" spans="1:29" ht="21.75" thickBot="1">
      <c r="A57" s="762" t="s">
        <v>2530</v>
      </c>
      <c r="B57" s="758"/>
      <c r="C57" s="763"/>
      <c r="D57" s="763"/>
      <c r="E57" s="763"/>
      <c r="F57" s="764"/>
      <c r="G57" s="764"/>
      <c r="H57" s="763"/>
      <c r="I57" s="763"/>
      <c r="J57" s="763"/>
      <c r="K57" s="1159"/>
      <c r="L57" s="1160"/>
      <c r="M57" s="1158"/>
      <c r="N57" s="1158"/>
      <c r="O57" s="1158"/>
      <c r="P57" s="2620"/>
      <c r="Q57" s="503"/>
    </row>
    <row r="58" spans="1:29" s="507" customFormat="1" ht="15">
      <c r="A58" s="504" t="s">
        <v>2531</v>
      </c>
      <c r="B58" s="505"/>
      <c r="C58" s="1574" t="str">
        <f>YEAR(C7)&amp;"-"&amp;MONTH(C7)</f>
        <v>2018-12</v>
      </c>
      <c r="D58" s="1573">
        <f>EDATE(C58,-1)</f>
        <v>43405</v>
      </c>
      <c r="E58" s="1573">
        <f>EDATE(D58,-1)</f>
        <v>43374</v>
      </c>
      <c r="F58" s="1573">
        <f t="shared" ref="F58:O58" si="19">EDATE(E58,-1)</f>
        <v>43344</v>
      </c>
      <c r="G58" s="1573">
        <f t="shared" si="19"/>
        <v>43313</v>
      </c>
      <c r="H58" s="1573">
        <f t="shared" si="19"/>
        <v>43282</v>
      </c>
      <c r="I58" s="1573">
        <f t="shared" si="19"/>
        <v>43252</v>
      </c>
      <c r="J58" s="1573">
        <f t="shared" si="19"/>
        <v>43221</v>
      </c>
      <c r="K58" s="1573">
        <f t="shared" si="19"/>
        <v>43191</v>
      </c>
      <c r="L58" s="1573">
        <f t="shared" si="19"/>
        <v>43160</v>
      </c>
      <c r="M58" s="1573">
        <f t="shared" si="19"/>
        <v>43132</v>
      </c>
      <c r="N58" s="1573">
        <f t="shared" si="19"/>
        <v>43101</v>
      </c>
      <c r="O58" s="1573">
        <f t="shared" si="19"/>
        <v>43070</v>
      </c>
      <c r="P58" s="1568"/>
    </row>
    <row r="59" spans="1:29" s="117" customFormat="1" ht="15">
      <c r="A59" s="508"/>
      <c r="B59" s="2621"/>
      <c r="C59" s="1571">
        <v>100</v>
      </c>
      <c r="D59" s="510">
        <v>99.5</v>
      </c>
      <c r="E59" s="511">
        <v>99</v>
      </c>
      <c r="F59" s="510">
        <v>98.5</v>
      </c>
      <c r="G59" s="511">
        <v>98</v>
      </c>
      <c r="H59" s="510">
        <v>97.5</v>
      </c>
      <c r="I59" s="511">
        <v>97</v>
      </c>
      <c r="J59" s="510">
        <v>96.5</v>
      </c>
      <c r="K59" s="511">
        <v>96</v>
      </c>
      <c r="L59" s="510">
        <v>95.5</v>
      </c>
      <c r="M59" s="511">
        <v>95</v>
      </c>
      <c r="N59" s="510">
        <v>94.5</v>
      </c>
      <c r="O59" s="511">
        <v>94</v>
      </c>
      <c r="P59" s="2622"/>
    </row>
    <row r="60" spans="1:29" s="117" customFormat="1" ht="15.75" thickBot="1">
      <c r="A60" s="514" t="s">
        <v>2532</v>
      </c>
      <c r="B60" s="515"/>
      <c r="C60" s="516"/>
      <c r="D60" s="517"/>
      <c r="E60" s="517"/>
      <c r="F60" s="517"/>
      <c r="G60" s="517"/>
      <c r="H60" s="517"/>
      <c r="I60" s="517"/>
      <c r="J60" s="517"/>
      <c r="K60" s="517"/>
      <c r="L60" s="517"/>
      <c r="M60" s="518"/>
      <c r="N60" s="517"/>
      <c r="O60" s="518"/>
      <c r="P60" s="2622"/>
      <c r="Q60" s="503"/>
    </row>
    <row r="61" spans="1:29" s="117" customFormat="1" ht="15">
      <c r="A61" s="520" t="s">
        <v>2533</v>
      </c>
      <c r="B61" s="509"/>
      <c r="C61" s="521" t="s">
        <v>2534</v>
      </c>
      <c r="D61" s="522"/>
      <c r="E61" s="522"/>
      <c r="F61" s="522"/>
      <c r="G61" s="522"/>
      <c r="H61" s="522"/>
      <c r="I61" s="522"/>
      <c r="J61" s="522"/>
      <c r="K61" s="522"/>
      <c r="L61" s="523"/>
      <c r="M61" s="524"/>
      <c r="N61" s="1150"/>
      <c r="O61" s="1150"/>
      <c r="P61" s="2623"/>
      <c r="Q61" s="503"/>
    </row>
    <row r="62" spans="1:29" s="117" customFormat="1" ht="15.75" thickBot="1">
      <c r="A62" s="520"/>
      <c r="B62" s="509"/>
      <c r="C62" s="510">
        <v>100</v>
      </c>
      <c r="D62" s="511"/>
      <c r="E62" s="511"/>
      <c r="F62" s="511"/>
      <c r="G62" s="511"/>
      <c r="H62" s="511"/>
      <c r="I62" s="511"/>
      <c r="J62" s="511"/>
      <c r="K62" s="511"/>
      <c r="L62" s="511"/>
      <c r="M62" s="513"/>
      <c r="N62" s="1150"/>
      <c r="O62" s="1150"/>
      <c r="P62" s="2622"/>
      <c r="Q62" s="503"/>
    </row>
    <row r="63" spans="1:29">
      <c r="A63" s="526" t="s">
        <v>2535</v>
      </c>
      <c r="B63" s="527" t="s">
        <v>2502</v>
      </c>
      <c r="C63" s="528" t="str">
        <f>C9</f>
        <v>住宅</v>
      </c>
      <c r="D63" s="529"/>
      <c r="E63" s="529"/>
      <c r="F63" s="529"/>
      <c r="G63" s="529"/>
      <c r="H63" s="529"/>
      <c r="I63" s="529"/>
      <c r="J63" s="529"/>
      <c r="K63" s="530"/>
      <c r="L63" s="531"/>
      <c r="M63" s="532"/>
      <c r="N63" s="1151"/>
      <c r="O63" s="1151"/>
      <c r="P63" s="2624"/>
      <c r="Q63" s="503"/>
    </row>
    <row r="64" spans="1:29" ht="15.75" thickBot="1">
      <c r="A64" s="533"/>
      <c r="B64" s="534"/>
      <c r="C64" s="535">
        <v>100</v>
      </c>
      <c r="D64" s="535"/>
      <c r="E64" s="535"/>
      <c r="F64" s="535"/>
      <c r="G64" s="535"/>
      <c r="H64" s="535"/>
      <c r="I64" s="535"/>
      <c r="J64" s="535"/>
      <c r="K64" s="535"/>
      <c r="L64" s="535"/>
      <c r="M64" s="536"/>
      <c r="N64" s="1152"/>
      <c r="O64" s="1152"/>
      <c r="P64" s="2624"/>
      <c r="Q64" s="503"/>
    </row>
    <row r="65" spans="1:17" ht="27.75" thickTop="1">
      <c r="A65" s="533"/>
      <c r="B65" s="537" t="s">
        <v>2505</v>
      </c>
      <c r="C65" s="538" t="s">
        <v>2536</v>
      </c>
      <c r="D65" s="538" t="s">
        <v>2537</v>
      </c>
      <c r="E65" s="538" t="s">
        <v>2538</v>
      </c>
      <c r="F65" s="538" t="s">
        <v>2539</v>
      </c>
      <c r="G65" s="538" t="s">
        <v>2540</v>
      </c>
      <c r="H65" s="538" t="s">
        <v>2541</v>
      </c>
      <c r="I65" s="538" t="s">
        <v>2542</v>
      </c>
      <c r="J65" s="538"/>
      <c r="K65" s="539"/>
      <c r="L65" s="540"/>
      <c r="M65" s="541"/>
      <c r="N65" s="1151"/>
      <c r="O65" s="1151"/>
      <c r="P65" s="2624"/>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2"/>
      <c r="O66" s="1152"/>
      <c r="P66" s="2624"/>
      <c r="Q66" s="503"/>
    </row>
    <row r="67" spans="1:17" ht="15.75" thickTop="1">
      <c r="A67" s="533"/>
      <c r="B67" s="545" t="s">
        <v>2506</v>
      </c>
      <c r="C67" s="546" t="str">
        <f>C68&amp;"（含）"&amp;"-"&amp;D68</f>
        <v>0（含）-0.5</v>
      </c>
      <c r="D67" s="546" t="str">
        <f t="shared" ref="D67:L67" si="21">D68&amp;"（含）"&amp;"-"&amp;E68</f>
        <v>0.5（含）-1</v>
      </c>
      <c r="E67" s="546" t="str">
        <f t="shared" si="21"/>
        <v>1（含）-1.5</v>
      </c>
      <c r="F67" s="546" t="str">
        <f t="shared" si="21"/>
        <v>1.5（含）-2</v>
      </c>
      <c r="G67" s="546" t="str">
        <f t="shared" si="21"/>
        <v>2（含）-2.5</v>
      </c>
      <c r="H67" s="546" t="str">
        <f t="shared" si="21"/>
        <v>2.5（含）-3</v>
      </c>
      <c r="I67" s="546" t="str">
        <f t="shared" si="21"/>
        <v>3（含）-3.5</v>
      </c>
      <c r="J67" s="546" t="str">
        <f t="shared" si="21"/>
        <v>3.5（含）-4</v>
      </c>
      <c r="K67" s="546" t="str">
        <f>K68&amp;"（含）"&amp;"-"&amp;L68</f>
        <v>4（含）-4.5</v>
      </c>
      <c r="L67" s="546" t="str">
        <f t="shared" si="21"/>
        <v>4.5（含）-5</v>
      </c>
      <c r="M67" s="447" t="str">
        <f>M68&amp;"（含）"&amp;"-"&amp;P68</f>
        <v>5（含）-</v>
      </c>
      <c r="N67" s="1152"/>
      <c r="O67" s="1152"/>
      <c r="P67" s="2624"/>
      <c r="Q67" s="503"/>
    </row>
    <row r="68" spans="1:17" ht="15">
      <c r="A68" s="533"/>
      <c r="B68" s="547"/>
      <c r="C68" s="548">
        <v>0</v>
      </c>
      <c r="D68" s="548">
        <v>0.5</v>
      </c>
      <c r="E68" s="548">
        <v>1</v>
      </c>
      <c r="F68" s="548">
        <v>1.5</v>
      </c>
      <c r="G68" s="548">
        <v>2</v>
      </c>
      <c r="H68" s="548">
        <v>2.5</v>
      </c>
      <c r="I68" s="548">
        <v>3</v>
      </c>
      <c r="J68" s="548">
        <v>3.5</v>
      </c>
      <c r="K68" s="548">
        <v>4</v>
      </c>
      <c r="L68" s="548">
        <v>4.5</v>
      </c>
      <c r="M68" s="548">
        <v>5</v>
      </c>
      <c r="N68" s="1151"/>
      <c r="O68" s="1151"/>
      <c r="P68" s="2624"/>
      <c r="Q68" s="503"/>
    </row>
    <row r="69" spans="1:17" ht="15.75" thickBot="1">
      <c r="A69" s="533"/>
      <c r="B69" s="534"/>
      <c r="C69" s="543">
        <v>100</v>
      </c>
      <c r="D69" s="543">
        <f t="shared" ref="D69:M69" si="22">C69-$K11</f>
        <v>97</v>
      </c>
      <c r="E69" s="543">
        <f t="shared" si="22"/>
        <v>94</v>
      </c>
      <c r="F69" s="543">
        <f t="shared" si="22"/>
        <v>91</v>
      </c>
      <c r="G69" s="543">
        <f t="shared" si="22"/>
        <v>88</v>
      </c>
      <c r="H69" s="543">
        <f t="shared" si="22"/>
        <v>85</v>
      </c>
      <c r="I69" s="543">
        <f t="shared" si="22"/>
        <v>82</v>
      </c>
      <c r="J69" s="543">
        <f t="shared" si="22"/>
        <v>79</v>
      </c>
      <c r="K69" s="543">
        <f t="shared" si="22"/>
        <v>76</v>
      </c>
      <c r="L69" s="543">
        <f t="shared" si="22"/>
        <v>73</v>
      </c>
      <c r="M69" s="544">
        <f t="shared" si="22"/>
        <v>70</v>
      </c>
      <c r="N69" s="1152"/>
      <c r="O69" s="1152"/>
      <c r="P69" s="2624"/>
      <c r="Q69" s="503"/>
    </row>
    <row r="70" spans="1:17" s="470" customFormat="1" ht="15.75" thickTop="1">
      <c r="A70" s="552"/>
      <c r="B70" s="537">
        <f>B12</f>
        <v>0</v>
      </c>
      <c r="C70" s="553"/>
      <c r="D70" s="553"/>
      <c r="E70" s="553"/>
      <c r="F70" s="553"/>
      <c r="G70" s="553"/>
      <c r="H70" s="554"/>
      <c r="I70" s="554"/>
      <c r="J70" s="554"/>
      <c r="K70" s="554"/>
      <c r="L70" s="555"/>
      <c r="M70" s="556"/>
      <c r="N70" s="1153"/>
      <c r="O70" s="1153"/>
      <c r="P70" s="2625"/>
      <c r="Q70" s="558"/>
    </row>
    <row r="71" spans="1:17" s="470" customFormat="1" ht="15.75" thickBot="1">
      <c r="A71" s="552"/>
      <c r="B71" s="542"/>
      <c r="C71" s="559"/>
      <c r="D71" s="535"/>
      <c r="E71" s="535"/>
      <c r="F71" s="535"/>
      <c r="G71" s="535"/>
      <c r="H71" s="535"/>
      <c r="I71" s="535"/>
      <c r="J71" s="535"/>
      <c r="K71" s="535"/>
      <c r="L71" s="535"/>
      <c r="M71" s="536"/>
      <c r="N71" s="1152"/>
      <c r="O71" s="1152"/>
      <c r="P71" s="2625"/>
      <c r="Q71" s="558"/>
    </row>
    <row r="72" spans="1:17" s="470" customFormat="1" ht="15.75" thickTop="1">
      <c r="A72" s="552"/>
      <c r="B72" s="537">
        <f>B13</f>
        <v>0</v>
      </c>
      <c r="C72" s="553"/>
      <c r="D72" s="553"/>
      <c r="E72" s="553"/>
      <c r="F72" s="553"/>
      <c r="G72" s="553"/>
      <c r="H72" s="554"/>
      <c r="I72" s="554"/>
      <c r="J72" s="554"/>
      <c r="K72" s="554"/>
      <c r="L72" s="555"/>
      <c r="M72" s="556"/>
      <c r="N72" s="1153"/>
      <c r="O72" s="1153"/>
      <c r="P72" s="2626"/>
      <c r="Q72" s="560"/>
    </row>
    <row r="73" spans="1:17" s="470" customFormat="1" ht="15.75" thickBot="1">
      <c r="A73" s="552"/>
      <c r="B73" s="542"/>
      <c r="C73" s="559"/>
      <c r="D73" s="559"/>
      <c r="E73" s="559"/>
      <c r="F73" s="559"/>
      <c r="G73" s="559"/>
      <c r="H73" s="561"/>
      <c r="I73" s="561"/>
      <c r="J73" s="561"/>
      <c r="K73" s="561"/>
      <c r="L73" s="561"/>
      <c r="M73" s="562"/>
      <c r="N73" s="1153"/>
      <c r="O73" s="1153"/>
      <c r="P73" s="2625"/>
      <c r="Q73" s="558"/>
    </row>
    <row r="74" spans="1:17" s="470" customFormat="1" ht="15.75" thickTop="1">
      <c r="A74" s="552"/>
      <c r="B74" s="545">
        <f>B14</f>
        <v>0</v>
      </c>
      <c r="C74" s="553"/>
      <c r="D74" s="553"/>
      <c r="E74" s="553"/>
      <c r="F74" s="553"/>
      <c r="G74" s="522"/>
      <c r="H74" s="563"/>
      <c r="I74" s="563"/>
      <c r="J74" s="563"/>
      <c r="K74" s="563"/>
      <c r="L74" s="564"/>
      <c r="M74" s="565"/>
      <c r="N74" s="1153"/>
      <c r="O74" s="1153"/>
      <c r="P74" s="2627"/>
      <c r="Q74" s="558"/>
    </row>
    <row r="75" spans="1:17" s="470" customFormat="1" ht="15.75" thickBot="1">
      <c r="A75" s="567"/>
      <c r="B75" s="568"/>
      <c r="C75" s="569"/>
      <c r="D75" s="569"/>
      <c r="E75" s="569"/>
      <c r="F75" s="569"/>
      <c r="G75" s="569"/>
      <c r="H75" s="570"/>
      <c r="I75" s="570"/>
      <c r="J75" s="570"/>
      <c r="K75" s="570"/>
      <c r="L75" s="570"/>
      <c r="M75" s="571"/>
      <c r="N75" s="1153"/>
      <c r="O75" s="1153"/>
      <c r="P75" s="2625"/>
      <c r="Q75" s="558"/>
    </row>
    <row r="76" spans="1:17">
      <c r="A76" s="526" t="s">
        <v>2507</v>
      </c>
      <c r="B76" s="527" t="s">
        <v>2543</v>
      </c>
      <c r="C76" s="572" t="s">
        <v>2544</v>
      </c>
      <c r="D76" s="572" t="s">
        <v>2545</v>
      </c>
      <c r="E76" s="572" t="s">
        <v>2546</v>
      </c>
      <c r="F76" s="572" t="s">
        <v>2547</v>
      </c>
      <c r="G76" s="572" t="s">
        <v>2548</v>
      </c>
      <c r="H76" s="528"/>
      <c r="I76" s="528"/>
      <c r="J76" s="528"/>
      <c r="K76" s="573"/>
      <c r="L76" s="574"/>
      <c r="M76" s="575"/>
      <c r="N76" s="1151"/>
      <c r="O76" s="1151"/>
      <c r="P76" s="2628"/>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2"/>
      <c r="O77" s="1152"/>
      <c r="P77" s="2624"/>
      <c r="Q77" s="503"/>
    </row>
    <row r="78" spans="1:17" ht="15.75" thickTop="1">
      <c r="A78" s="533"/>
      <c r="B78" s="537" t="s">
        <v>2549</v>
      </c>
      <c r="C78" s="577" t="s">
        <v>2544</v>
      </c>
      <c r="D78" s="577" t="s">
        <v>2545</v>
      </c>
      <c r="E78" s="577" t="s">
        <v>2546</v>
      </c>
      <c r="F78" s="577" t="s">
        <v>2547</v>
      </c>
      <c r="G78" s="577" t="s">
        <v>2548</v>
      </c>
      <c r="H78" s="538"/>
      <c r="I78" s="538"/>
      <c r="J78" s="538"/>
      <c r="K78" s="539"/>
      <c r="L78" s="540"/>
      <c r="M78" s="541"/>
      <c r="N78" s="1151"/>
      <c r="O78" s="1151"/>
      <c r="P78" s="2624"/>
      <c r="Q78" s="503"/>
    </row>
    <row r="79" spans="1:17" ht="15.75" thickBot="1">
      <c r="A79" s="533"/>
      <c r="B79" s="542"/>
      <c r="C79" s="543">
        <v>100</v>
      </c>
      <c r="D79" s="543">
        <f>C79-$K17</f>
        <v>99</v>
      </c>
      <c r="E79" s="543">
        <f>D79-$K17</f>
        <v>98</v>
      </c>
      <c r="F79" s="543">
        <f>E79-$K17</f>
        <v>97</v>
      </c>
      <c r="G79" s="543">
        <f>F79-$K17</f>
        <v>96</v>
      </c>
      <c r="H79" s="543"/>
      <c r="I79" s="543"/>
      <c r="J79" s="543"/>
      <c r="K79" s="543"/>
      <c r="L79" s="543"/>
      <c r="M79" s="544"/>
      <c r="N79" s="1152"/>
      <c r="O79" s="1152"/>
      <c r="P79" s="2624"/>
      <c r="Q79" s="503"/>
    </row>
    <row r="80" spans="1:17" ht="15.75" thickTop="1">
      <c r="A80" s="533"/>
      <c r="B80" s="537" t="s">
        <v>2550</v>
      </c>
      <c r="C80" s="577" t="s">
        <v>2544</v>
      </c>
      <c r="D80" s="577" t="s">
        <v>2545</v>
      </c>
      <c r="E80" s="577" t="s">
        <v>2546</v>
      </c>
      <c r="F80" s="577" t="s">
        <v>2547</v>
      </c>
      <c r="G80" s="577" t="s">
        <v>2548</v>
      </c>
      <c r="H80" s="538"/>
      <c r="I80" s="538"/>
      <c r="J80" s="538"/>
      <c r="K80" s="539"/>
      <c r="L80" s="540"/>
      <c r="M80" s="541"/>
      <c r="N80" s="1151"/>
      <c r="O80" s="1151"/>
      <c r="P80" s="2624"/>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2"/>
      <c r="O81" s="1152"/>
      <c r="P81" s="2624"/>
      <c r="Q81" s="503"/>
    </row>
    <row r="82" spans="1:17" ht="15.75" thickTop="1">
      <c r="A82" s="533"/>
      <c r="B82" s="545" t="s">
        <v>2050</v>
      </c>
      <c r="C82" s="538" t="s">
        <v>2551</v>
      </c>
      <c r="D82" s="538" t="s">
        <v>2552</v>
      </c>
      <c r="E82" s="538" t="s">
        <v>2553</v>
      </c>
      <c r="F82" s="538" t="s">
        <v>2554</v>
      </c>
      <c r="G82" s="538" t="s">
        <v>2555</v>
      </c>
      <c r="H82" s="538"/>
      <c r="I82" s="538"/>
      <c r="J82" s="538"/>
      <c r="K82" s="538"/>
      <c r="L82" s="538"/>
      <c r="M82" s="1381"/>
      <c r="N82" s="1152"/>
      <c r="O82" s="1152"/>
      <c r="P82" s="2624"/>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24"/>
      <c r="Q83" s="503"/>
    </row>
    <row r="84" spans="1:17" ht="15.75" thickTop="1">
      <c r="A84" s="533"/>
      <c r="B84" s="537" t="s">
        <v>2556</v>
      </c>
      <c r="C84" s="577" t="s">
        <v>2544</v>
      </c>
      <c r="D84" s="577" t="s">
        <v>2545</v>
      </c>
      <c r="E84" s="577" t="s">
        <v>2546</v>
      </c>
      <c r="F84" s="577" t="s">
        <v>2547</v>
      </c>
      <c r="G84" s="577" t="s">
        <v>2548</v>
      </c>
      <c r="H84" s="538"/>
      <c r="I84" s="538"/>
      <c r="J84" s="538"/>
      <c r="K84" s="539"/>
      <c r="L84" s="540"/>
      <c r="M84" s="541"/>
      <c r="N84" s="1151"/>
      <c r="O84" s="1151"/>
      <c r="P84" s="2624"/>
      <c r="Q84" s="503"/>
    </row>
    <row r="85" spans="1:17" ht="15.75" thickBot="1">
      <c r="A85" s="533"/>
      <c r="B85" s="542"/>
      <c r="C85" s="543">
        <v>100</v>
      </c>
      <c r="D85" s="543">
        <f>C85-$K23</f>
        <v>95</v>
      </c>
      <c r="E85" s="543">
        <f>D85-$K23</f>
        <v>90</v>
      </c>
      <c r="F85" s="543">
        <f>E85-$K23</f>
        <v>85</v>
      </c>
      <c r="G85" s="543">
        <f>F85-$K23</f>
        <v>80</v>
      </c>
      <c r="H85" s="543"/>
      <c r="I85" s="543"/>
      <c r="J85" s="543"/>
      <c r="K85" s="543"/>
      <c r="L85" s="543"/>
      <c r="M85" s="544"/>
      <c r="N85" s="1152"/>
      <c r="O85" s="1152"/>
      <c r="P85" s="2624"/>
      <c r="Q85" s="503"/>
    </row>
    <row r="86" spans="1:17" s="117" customFormat="1" ht="15.75" thickTop="1">
      <c r="A86" s="578"/>
      <c r="B86" s="537" t="s">
        <v>2557</v>
      </c>
      <c r="C86" s="553" t="s">
        <v>3326</v>
      </c>
      <c r="D86" s="553"/>
      <c r="E86" s="553"/>
      <c r="F86" s="553"/>
      <c r="G86" s="553"/>
      <c r="H86" s="553"/>
      <c r="I86" s="553"/>
      <c r="J86" s="553"/>
      <c r="K86" s="553"/>
      <c r="L86" s="579"/>
      <c r="M86" s="580"/>
      <c r="N86" s="1150"/>
      <c r="O86" s="1150"/>
      <c r="P86" s="2624"/>
      <c r="Q86" s="503"/>
    </row>
    <row r="87" spans="1:17" s="117" customFormat="1" ht="15.75" thickBot="1">
      <c r="A87" s="578"/>
      <c r="B87" s="542"/>
      <c r="C87" s="581">
        <v>100</v>
      </c>
      <c r="D87" s="543" t="e">
        <f t="shared" ref="D87:M87" si="24">$C$87-($C$86-D86)*$K$25</f>
        <v>#VALUE!</v>
      </c>
      <c r="E87" s="543" t="e">
        <f t="shared" si="24"/>
        <v>#VALUE!</v>
      </c>
      <c r="F87" s="543" t="e">
        <f t="shared" si="24"/>
        <v>#VALUE!</v>
      </c>
      <c r="G87" s="543" t="e">
        <f t="shared" si="24"/>
        <v>#VALUE!</v>
      </c>
      <c r="H87" s="543" t="e">
        <f t="shared" si="24"/>
        <v>#VALUE!</v>
      </c>
      <c r="I87" s="543" t="e">
        <f t="shared" si="24"/>
        <v>#VALUE!</v>
      </c>
      <c r="J87" s="543" t="e">
        <f t="shared" si="24"/>
        <v>#VALUE!</v>
      </c>
      <c r="K87" s="543" t="e">
        <f t="shared" si="24"/>
        <v>#VALUE!</v>
      </c>
      <c r="L87" s="543" t="e">
        <f t="shared" si="24"/>
        <v>#VALUE!</v>
      </c>
      <c r="M87" s="543" t="e">
        <f t="shared" si="24"/>
        <v>#VALUE!</v>
      </c>
      <c r="N87" s="1152"/>
      <c r="O87" s="1152"/>
      <c r="P87" s="2624"/>
      <c r="Q87" s="503"/>
    </row>
    <row r="88" spans="1:17" s="117" customFormat="1" ht="15.75" thickTop="1">
      <c r="A88" s="578"/>
      <c r="B88" s="537" t="s">
        <v>2558</v>
      </c>
      <c r="C88" s="553" t="s">
        <v>3326</v>
      </c>
      <c r="D88" s="553"/>
      <c r="E88" s="553"/>
      <c r="F88" s="2629"/>
      <c r="G88" s="553"/>
      <c r="H88" s="553"/>
      <c r="I88" s="553"/>
      <c r="J88" s="553"/>
      <c r="K88" s="553"/>
      <c r="L88" s="553"/>
      <c r="M88" s="580"/>
      <c r="N88" s="1150"/>
      <c r="O88" s="1150"/>
      <c r="P88" s="2624"/>
      <c r="Q88" s="503"/>
    </row>
    <row r="89" spans="1:17" s="117" customFormat="1" ht="15.75" thickBot="1">
      <c r="A89" s="578"/>
      <c r="B89" s="542"/>
      <c r="C89" s="581">
        <v>100</v>
      </c>
      <c r="D89" s="543">
        <f t="shared" ref="D89:M89" si="25">C89-$K26</f>
        <v>99</v>
      </c>
      <c r="E89" s="543">
        <f t="shared" si="25"/>
        <v>98</v>
      </c>
      <c r="F89" s="543">
        <f t="shared" si="25"/>
        <v>97</v>
      </c>
      <c r="G89" s="543">
        <f t="shared" si="25"/>
        <v>96</v>
      </c>
      <c r="H89" s="543">
        <f t="shared" si="25"/>
        <v>95</v>
      </c>
      <c r="I89" s="543">
        <f t="shared" si="25"/>
        <v>94</v>
      </c>
      <c r="J89" s="543">
        <f t="shared" si="25"/>
        <v>93</v>
      </c>
      <c r="K89" s="543">
        <f t="shared" si="25"/>
        <v>92</v>
      </c>
      <c r="L89" s="543">
        <f t="shared" si="25"/>
        <v>91</v>
      </c>
      <c r="M89" s="543">
        <f t="shared" si="25"/>
        <v>90</v>
      </c>
      <c r="N89" s="1152"/>
      <c r="O89" s="1152"/>
      <c r="P89" s="2624"/>
      <c r="Q89" s="503"/>
    </row>
    <row r="90" spans="1:17" s="470" customFormat="1" ht="15.75" thickTop="1">
      <c r="A90" s="552"/>
      <c r="B90" s="537">
        <f>B27</f>
        <v>0</v>
      </c>
      <c r="C90" s="553"/>
      <c r="D90" s="553"/>
      <c r="E90" s="553"/>
      <c r="F90" s="553"/>
      <c r="G90" s="553"/>
      <c r="H90" s="554"/>
      <c r="I90" s="554"/>
      <c r="J90" s="554"/>
      <c r="K90" s="554"/>
      <c r="L90" s="555"/>
      <c r="M90" s="556"/>
      <c r="N90" s="1153"/>
      <c r="O90" s="1153"/>
      <c r="P90" s="2625"/>
      <c r="Q90" s="558"/>
    </row>
    <row r="91" spans="1:17" s="470" customFormat="1" ht="15.75" thickBot="1">
      <c r="A91" s="552"/>
      <c r="B91" s="542"/>
      <c r="C91" s="559"/>
      <c r="D91" s="559"/>
      <c r="E91" s="559"/>
      <c r="F91" s="559"/>
      <c r="G91" s="559"/>
      <c r="H91" s="561"/>
      <c r="I91" s="561"/>
      <c r="J91" s="561"/>
      <c r="K91" s="561"/>
      <c r="L91" s="561"/>
      <c r="M91" s="562"/>
      <c r="N91" s="1153"/>
      <c r="O91" s="1153"/>
      <c r="P91" s="2625"/>
      <c r="Q91" s="558"/>
    </row>
    <row r="92" spans="1:17" ht="15.75" thickTop="1">
      <c r="A92" s="533"/>
      <c r="B92" s="537" t="str">
        <f>B28</f>
        <v>其他</v>
      </c>
      <c r="C92" s="2988" t="s">
        <v>3356</v>
      </c>
      <c r="D92" s="2988" t="s">
        <v>3357</v>
      </c>
      <c r="E92" s="553"/>
      <c r="F92" s="553"/>
      <c r="G92" s="582"/>
      <c r="H92" s="582"/>
      <c r="I92" s="582"/>
      <c r="J92" s="582"/>
      <c r="K92" s="583"/>
      <c r="L92" s="584"/>
      <c r="M92" s="585"/>
      <c r="N92" s="1151"/>
      <c r="O92" s="1151"/>
      <c r="P92" s="2624"/>
      <c r="Q92" s="503"/>
    </row>
    <row r="93" spans="1:17" ht="15.75" thickBot="1">
      <c r="A93" s="533"/>
      <c r="B93" s="542"/>
      <c r="C93" s="559">
        <v>100</v>
      </c>
      <c r="D93" s="535">
        <v>103</v>
      </c>
      <c r="E93" s="535"/>
      <c r="F93" s="535"/>
      <c r="G93" s="535"/>
      <c r="H93" s="535"/>
      <c r="I93" s="535"/>
      <c r="J93" s="535"/>
      <c r="K93" s="535"/>
      <c r="L93" s="535"/>
      <c r="M93" s="536"/>
      <c r="N93" s="1152"/>
      <c r="O93" s="1152"/>
      <c r="P93" s="2624"/>
      <c r="Q93" s="503"/>
    </row>
    <row r="94" spans="1:17" ht="15.75" thickTop="1">
      <c r="A94" s="533"/>
      <c r="B94" s="537">
        <f>B29</f>
        <v>0</v>
      </c>
      <c r="C94" s="553"/>
      <c r="D94" s="553"/>
      <c r="E94" s="553"/>
      <c r="F94" s="553"/>
      <c r="G94" s="582"/>
      <c r="H94" s="582"/>
      <c r="I94" s="582"/>
      <c r="J94" s="582"/>
      <c r="K94" s="583"/>
      <c r="L94" s="584"/>
      <c r="M94" s="585"/>
      <c r="N94" s="1151"/>
      <c r="O94" s="1151"/>
      <c r="P94" s="2624"/>
      <c r="Q94" s="503"/>
    </row>
    <row r="95" spans="1:17" ht="15.75" thickBot="1">
      <c r="A95" s="533"/>
      <c r="B95" s="542"/>
      <c r="C95" s="559"/>
      <c r="D95" s="559"/>
      <c r="E95" s="559"/>
      <c r="F95" s="559"/>
      <c r="G95" s="535"/>
      <c r="H95" s="535"/>
      <c r="I95" s="535"/>
      <c r="J95" s="535"/>
      <c r="K95" s="535"/>
      <c r="L95" s="535"/>
      <c r="M95" s="536"/>
      <c r="N95" s="1152"/>
      <c r="O95" s="1152"/>
      <c r="P95" s="2624"/>
      <c r="Q95" s="503"/>
    </row>
    <row r="96" spans="1:17" ht="15.75" thickTop="1">
      <c r="A96" s="533"/>
      <c r="B96" s="537">
        <f>B30</f>
        <v>0</v>
      </c>
      <c r="C96" s="553"/>
      <c r="D96" s="553"/>
      <c r="E96" s="553"/>
      <c r="F96" s="553"/>
      <c r="G96" s="582"/>
      <c r="H96" s="582"/>
      <c r="I96" s="582"/>
      <c r="J96" s="582"/>
      <c r="K96" s="583"/>
      <c r="L96" s="584"/>
      <c r="M96" s="585"/>
      <c r="N96" s="1151"/>
      <c r="O96" s="1151"/>
      <c r="P96" s="2624"/>
      <c r="Q96" s="503"/>
    </row>
    <row r="97" spans="1:17" ht="15.75" thickBot="1">
      <c r="A97" s="533"/>
      <c r="B97" s="542"/>
      <c r="C97" s="569"/>
      <c r="D97" s="569"/>
      <c r="E97" s="569"/>
      <c r="F97" s="569"/>
      <c r="G97" s="535"/>
      <c r="H97" s="535"/>
      <c r="I97" s="535"/>
      <c r="J97" s="535"/>
      <c r="K97" s="535"/>
      <c r="L97" s="535"/>
      <c r="M97" s="536"/>
      <c r="N97" s="1152"/>
      <c r="O97" s="1152"/>
      <c r="P97" s="2624"/>
      <c r="Q97" s="503"/>
    </row>
    <row r="98" spans="1:17" ht="15.75" thickTop="1">
      <c r="A98" s="533"/>
      <c r="B98" s="545">
        <f>B31</f>
        <v>0</v>
      </c>
      <c r="C98" s="586"/>
      <c r="D98" s="586"/>
      <c r="E98" s="586"/>
      <c r="F98" s="586"/>
      <c r="G98" s="586"/>
      <c r="H98" s="586"/>
      <c r="I98" s="586"/>
      <c r="J98" s="586"/>
      <c r="K98" s="587"/>
      <c r="L98" s="588"/>
      <c r="M98" s="589"/>
      <c r="N98" s="1151"/>
      <c r="O98" s="1151"/>
      <c r="P98" s="2624"/>
      <c r="Q98" s="503"/>
    </row>
    <row r="99" spans="1:17" ht="15.75" thickBot="1">
      <c r="A99" s="2630"/>
      <c r="B99" s="568"/>
      <c r="C99" s="590"/>
      <c r="D99" s="590"/>
      <c r="E99" s="590"/>
      <c r="F99" s="590"/>
      <c r="G99" s="590"/>
      <c r="H99" s="590"/>
      <c r="I99" s="590"/>
      <c r="J99" s="590"/>
      <c r="K99" s="590"/>
      <c r="L99" s="590"/>
      <c r="M99" s="591"/>
      <c r="N99" s="1152"/>
      <c r="O99" s="1152"/>
      <c r="P99" s="2624"/>
      <c r="Q99" s="503"/>
    </row>
    <row r="100" spans="1:17">
      <c r="A100" s="526" t="s">
        <v>2511</v>
      </c>
      <c r="B100" s="527" t="s">
        <v>2559</v>
      </c>
      <c r="C100" s="2987" t="s">
        <v>3353</v>
      </c>
      <c r="D100" s="2987" t="s">
        <v>3354</v>
      </c>
      <c r="E100" s="2987" t="s">
        <v>3342</v>
      </c>
      <c r="F100" s="529"/>
      <c r="G100" s="529"/>
      <c r="H100" s="529"/>
      <c r="I100" s="529"/>
      <c r="J100" s="529"/>
      <c r="K100" s="530"/>
      <c r="L100" s="531"/>
      <c r="M100" s="532"/>
      <c r="N100" s="1151"/>
      <c r="O100" s="1151"/>
      <c r="P100" s="2624"/>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2"/>
      <c r="O101" s="1152"/>
      <c r="P101" s="2624"/>
      <c r="Q101" s="503"/>
    </row>
    <row r="102" spans="1:17" ht="29.25" thickTop="1">
      <c r="A102" s="533"/>
      <c r="B102" s="537" t="s">
        <v>2560</v>
      </c>
      <c r="C102" s="577" t="str">
        <f>C103&amp;"(含)"&amp;"-"&amp;D103</f>
        <v>0(含)-100000</v>
      </c>
      <c r="D102" s="577" t="str">
        <f t="shared" ref="D102:L102" si="27">D103&amp;"(含)"&amp;"-"&amp;E103</f>
        <v>100000(含)-200000</v>
      </c>
      <c r="E102" s="577" t="str">
        <f t="shared" si="27"/>
        <v>200000(含)-300000</v>
      </c>
      <c r="F102" s="577" t="str">
        <f t="shared" si="27"/>
        <v>300000(含)-400000</v>
      </c>
      <c r="G102" s="577" t="str">
        <f t="shared" si="27"/>
        <v>400000(含)-500000</v>
      </c>
      <c r="H102" s="577" t="str">
        <f t="shared" si="27"/>
        <v>500000(含)-</v>
      </c>
      <c r="I102" s="577" t="str">
        <f t="shared" si="27"/>
        <v>(含)-</v>
      </c>
      <c r="J102" s="577" t="str">
        <f t="shared" si="27"/>
        <v>(含)-</v>
      </c>
      <c r="K102" s="577" t="str">
        <f>K103&amp;"(含)"&amp;"-"&amp;L103</f>
        <v>(含)-</v>
      </c>
      <c r="L102" s="577" t="str">
        <f t="shared" si="27"/>
        <v>(含)-</v>
      </c>
      <c r="M102" s="577" t="str">
        <f>M103&amp;"(含)"&amp;"-"&amp;P103</f>
        <v>(含)-</v>
      </c>
      <c r="N102" s="1150"/>
      <c r="O102" s="1150"/>
      <c r="P102" s="2624"/>
      <c r="Q102" s="503"/>
    </row>
    <row r="103" spans="1:17" s="470" customFormat="1">
      <c r="A103" s="592"/>
      <c r="B103" s="593"/>
      <c r="C103" s="594">
        <v>0</v>
      </c>
      <c r="D103" s="594">
        <v>100000</v>
      </c>
      <c r="E103" s="594">
        <v>200000</v>
      </c>
      <c r="F103" s="594">
        <v>300000</v>
      </c>
      <c r="G103" s="594">
        <v>400000</v>
      </c>
      <c r="H103" s="594">
        <v>500000</v>
      </c>
      <c r="I103" s="594"/>
      <c r="J103" s="595"/>
      <c r="K103" s="595"/>
      <c r="L103" s="596"/>
      <c r="M103" s="597"/>
      <c r="N103" s="1153"/>
      <c r="O103" s="1153"/>
      <c r="P103" s="2625"/>
      <c r="Q103" s="558"/>
    </row>
    <row r="104" spans="1:17" s="470" customFormat="1" ht="15.75" thickBot="1">
      <c r="A104" s="552"/>
      <c r="B104" s="542"/>
      <c r="C104" s="559">
        <v>100</v>
      </c>
      <c r="D104" s="535">
        <v>101</v>
      </c>
      <c r="E104" s="535">
        <v>102</v>
      </c>
      <c r="F104" s="535">
        <v>103</v>
      </c>
      <c r="G104" s="535">
        <v>104</v>
      </c>
      <c r="H104" s="535">
        <v>105</v>
      </c>
      <c r="I104" s="535"/>
      <c r="J104" s="535"/>
      <c r="K104" s="535"/>
      <c r="L104" s="535"/>
      <c r="M104" s="535"/>
      <c r="N104" s="1152"/>
      <c r="O104" s="1152"/>
      <c r="P104" s="2625"/>
      <c r="Q104" s="558"/>
    </row>
    <row r="105" spans="1:17" ht="15" thickTop="1">
      <c r="A105" s="598"/>
      <c r="B105" s="537" t="s">
        <v>2561</v>
      </c>
      <c r="C105" s="2988" t="s">
        <v>3328</v>
      </c>
      <c r="D105" s="553"/>
      <c r="E105" s="582"/>
      <c r="F105" s="582"/>
      <c r="G105" s="582"/>
      <c r="H105" s="582"/>
      <c r="I105" s="582"/>
      <c r="J105" s="582"/>
      <c r="K105" s="583"/>
      <c r="L105" s="584"/>
      <c r="M105" s="585"/>
      <c r="N105" s="1151"/>
      <c r="O105" s="1151"/>
      <c r="P105" s="2624"/>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52"/>
      <c r="O106" s="1152"/>
      <c r="P106" s="2624"/>
      <c r="Q106" s="503"/>
    </row>
    <row r="107" spans="1:17" ht="15" thickTop="1">
      <c r="A107" s="598"/>
      <c r="B107" s="537" t="s">
        <v>2562</v>
      </c>
      <c r="C107" s="2989" t="s">
        <v>3330</v>
      </c>
      <c r="D107" s="2989" t="s">
        <v>3350</v>
      </c>
      <c r="E107" s="582"/>
      <c r="F107" s="582"/>
      <c r="G107" s="582"/>
      <c r="H107" s="582"/>
      <c r="I107" s="582"/>
      <c r="J107" s="582"/>
      <c r="K107" s="583"/>
      <c r="L107" s="584"/>
      <c r="M107" s="585"/>
      <c r="N107" s="1151"/>
      <c r="O107" s="1151"/>
      <c r="P107" s="2624"/>
      <c r="Q107" s="503"/>
    </row>
    <row r="108" spans="1:17" ht="15.75"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2"/>
      <c r="O108" s="1152"/>
      <c r="P108" s="2624"/>
      <c r="Q108" s="503"/>
    </row>
    <row r="109" spans="1:17" ht="15" thickTop="1">
      <c r="A109" s="598"/>
      <c r="B109" s="537" t="s">
        <v>2563</v>
      </c>
      <c r="C109" s="2988" t="s">
        <v>3332</v>
      </c>
      <c r="D109" s="553"/>
      <c r="E109" s="553"/>
      <c r="F109" s="582"/>
      <c r="G109" s="582"/>
      <c r="H109" s="582"/>
      <c r="I109" s="582"/>
      <c r="J109" s="582"/>
      <c r="K109" s="583"/>
      <c r="L109" s="584"/>
      <c r="M109" s="585"/>
      <c r="N109" s="1151"/>
      <c r="O109" s="1151"/>
      <c r="P109" s="2624"/>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52"/>
      <c r="O110" s="1152"/>
      <c r="P110" s="2624"/>
      <c r="Q110" s="503"/>
    </row>
    <row r="111" spans="1:17" s="470" customFormat="1" ht="15" thickTop="1">
      <c r="A111" s="592"/>
      <c r="B111" s="537" t="s">
        <v>1953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5"/>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25"/>
      <c r="Q113" s="558"/>
    </row>
    <row r="114" spans="1:17" ht="15" thickTop="1">
      <c r="A114" s="598"/>
      <c r="B114" s="537" t="s">
        <v>2564</v>
      </c>
      <c r="C114" s="2988" t="s">
        <v>3334</v>
      </c>
      <c r="D114" s="553"/>
      <c r="E114" s="582"/>
      <c r="F114" s="582"/>
      <c r="G114" s="582"/>
      <c r="H114" s="582"/>
      <c r="I114" s="582"/>
      <c r="J114" s="582"/>
      <c r="K114" s="583"/>
      <c r="L114" s="584"/>
      <c r="M114" s="585"/>
      <c r="N114" s="1151"/>
      <c r="O114" s="1151"/>
      <c r="P114" s="2624"/>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52"/>
      <c r="O115" s="1152"/>
      <c r="P115" s="2624"/>
      <c r="Q115" s="503"/>
    </row>
    <row r="116" spans="1:17" ht="15" thickTop="1">
      <c r="A116" s="598"/>
      <c r="B116" s="537" t="s">
        <v>2565</v>
      </c>
      <c r="C116" s="553" t="s">
        <v>3107</v>
      </c>
      <c r="D116" s="553" t="s">
        <v>3096</v>
      </c>
      <c r="E116" s="553" t="s">
        <v>3108</v>
      </c>
      <c r="F116" s="553" t="s">
        <v>3109</v>
      </c>
      <c r="G116" s="553" t="s">
        <v>3110</v>
      </c>
      <c r="H116" s="582"/>
      <c r="I116" s="582"/>
      <c r="J116" s="582"/>
      <c r="K116" s="583"/>
      <c r="L116" s="584"/>
      <c r="M116" s="585"/>
      <c r="N116" s="1151"/>
      <c r="O116" s="1151"/>
      <c r="P116" s="2624"/>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24"/>
      <c r="Q117" s="503"/>
    </row>
    <row r="118" spans="1:17" ht="15" thickTop="1">
      <c r="A118" s="598"/>
      <c r="B118" s="537" t="s">
        <v>2566</v>
      </c>
      <c r="C118" s="582" t="s">
        <v>3326</v>
      </c>
      <c r="D118" s="582"/>
      <c r="E118" s="582"/>
      <c r="F118" s="582"/>
      <c r="G118" s="582"/>
      <c r="H118" s="582"/>
      <c r="I118" s="582"/>
      <c r="J118" s="582"/>
      <c r="K118" s="583"/>
      <c r="L118" s="584"/>
      <c r="M118" s="585"/>
      <c r="N118" s="1151"/>
      <c r="O118" s="1151"/>
      <c r="P118" s="2624"/>
      <c r="Q118" s="503"/>
    </row>
    <row r="119" spans="1:17" ht="15.75" thickBot="1">
      <c r="A119" s="533"/>
      <c r="B119" s="542"/>
      <c r="C119" s="543">
        <v>100</v>
      </c>
      <c r="D119" s="543">
        <f t="shared" ref="D119:M119" si="32">C119-$K40</f>
        <v>99</v>
      </c>
      <c r="E119" s="543">
        <f t="shared" si="32"/>
        <v>98</v>
      </c>
      <c r="F119" s="543">
        <f t="shared" si="32"/>
        <v>97</v>
      </c>
      <c r="G119" s="543">
        <f t="shared" si="32"/>
        <v>96</v>
      </c>
      <c r="H119" s="543">
        <f t="shared" si="32"/>
        <v>95</v>
      </c>
      <c r="I119" s="543">
        <f t="shared" si="32"/>
        <v>94</v>
      </c>
      <c r="J119" s="543">
        <f t="shared" si="32"/>
        <v>93</v>
      </c>
      <c r="K119" s="543">
        <f t="shared" si="32"/>
        <v>92</v>
      </c>
      <c r="L119" s="543">
        <f t="shared" si="32"/>
        <v>91</v>
      </c>
      <c r="M119" s="543">
        <f t="shared" si="32"/>
        <v>90</v>
      </c>
      <c r="N119" s="1152"/>
      <c r="O119" s="1152"/>
      <c r="P119" s="2624"/>
      <c r="Q119" s="503"/>
    </row>
    <row r="120" spans="1:17" s="470" customFormat="1" ht="28.5" thickTop="1">
      <c r="A120" s="592"/>
      <c r="B120" s="537" t="s">
        <v>2522</v>
      </c>
      <c r="C120" s="553" t="s">
        <v>3326</v>
      </c>
      <c r="D120" s="553"/>
      <c r="E120" s="553"/>
      <c r="F120" s="553"/>
      <c r="G120" s="553"/>
      <c r="H120" s="553"/>
      <c r="I120" s="553"/>
      <c r="J120" s="553"/>
      <c r="K120" s="553"/>
      <c r="L120" s="579"/>
      <c r="M120" s="580"/>
      <c r="N120" s="1153"/>
      <c r="O120" s="1153"/>
      <c r="P120" s="2625"/>
      <c r="Q120" s="558"/>
    </row>
    <row r="121" spans="1:17" s="470" customFormat="1" ht="15.75" thickBot="1">
      <c r="A121" s="552"/>
      <c r="B121" s="534"/>
      <c r="C121" s="559">
        <v>100</v>
      </c>
      <c r="D121" s="535"/>
      <c r="E121" s="535"/>
      <c r="F121" s="535"/>
      <c r="G121" s="535"/>
      <c r="H121" s="535"/>
      <c r="I121" s="535"/>
      <c r="J121" s="535"/>
      <c r="K121" s="535"/>
      <c r="L121" s="535"/>
      <c r="M121" s="535"/>
      <c r="N121" s="1153"/>
      <c r="O121" s="1153"/>
      <c r="P121" s="2625"/>
      <c r="Q121" s="558"/>
    </row>
    <row r="122" spans="1:17" ht="15" thickTop="1">
      <c r="A122" s="598"/>
      <c r="B122" s="537" t="s">
        <v>2567</v>
      </c>
      <c r="C122" s="2988" t="s">
        <v>3332</v>
      </c>
      <c r="D122" s="2988" t="s">
        <v>3337</v>
      </c>
      <c r="E122" s="2988" t="s">
        <v>3338</v>
      </c>
      <c r="F122" s="2989" t="s">
        <v>3336</v>
      </c>
      <c r="G122" s="582"/>
      <c r="H122" s="582"/>
      <c r="I122" s="582"/>
      <c r="J122" s="582"/>
      <c r="K122" s="583"/>
      <c r="L122" s="584"/>
      <c r="M122" s="585"/>
      <c r="N122" s="1151"/>
      <c r="O122" s="1151"/>
      <c r="P122" s="2624"/>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2"/>
      <c r="O123" s="1152"/>
      <c r="P123" s="2624"/>
      <c r="Q123" s="503"/>
    </row>
    <row r="124" spans="1:17" ht="15" thickTop="1">
      <c r="A124" s="598"/>
      <c r="B124" s="537" t="s">
        <v>2568</v>
      </c>
      <c r="C124" s="577" t="s">
        <v>2544</v>
      </c>
      <c r="D124" s="577" t="s">
        <v>2545</v>
      </c>
      <c r="E124" s="577" t="s">
        <v>2546</v>
      </c>
      <c r="F124" s="577" t="s">
        <v>2547</v>
      </c>
      <c r="G124" s="577" t="s">
        <v>2548</v>
      </c>
      <c r="H124" s="538"/>
      <c r="I124" s="538"/>
      <c r="J124" s="538"/>
      <c r="K124" s="539"/>
      <c r="L124" s="540"/>
      <c r="M124" s="541"/>
      <c r="N124" s="1151"/>
      <c r="O124" s="1151"/>
      <c r="P124" s="2625"/>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24"/>
      <c r="Q125" s="503"/>
    </row>
    <row r="126" spans="1:17" s="470" customFormat="1" ht="15" thickTop="1">
      <c r="A126" s="592"/>
      <c r="B126" s="537">
        <f>B44</f>
        <v>0</v>
      </c>
      <c r="C126" s="553"/>
      <c r="D126" s="553"/>
      <c r="E126" s="553"/>
      <c r="F126" s="553"/>
      <c r="G126" s="553"/>
      <c r="H126" s="554"/>
      <c r="I126" s="554"/>
      <c r="J126" s="554"/>
      <c r="K126" s="554"/>
      <c r="L126" s="555"/>
      <c r="M126" s="556"/>
      <c r="N126" s="1153"/>
      <c r="O126" s="1153"/>
      <c r="P126" s="2625"/>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5"/>
      <c r="Q127" s="558"/>
    </row>
    <row r="128" spans="1:17" ht="15" thickTop="1">
      <c r="A128" s="598"/>
      <c r="B128" s="537">
        <f>B45</f>
        <v>0</v>
      </c>
      <c r="C128" s="553"/>
      <c r="D128" s="553"/>
      <c r="E128" s="553"/>
      <c r="F128" s="553"/>
      <c r="G128" s="582"/>
      <c r="H128" s="582"/>
      <c r="I128" s="582"/>
      <c r="J128" s="582"/>
      <c r="K128" s="583"/>
      <c r="L128" s="584"/>
      <c r="M128" s="585"/>
      <c r="N128" s="1151"/>
      <c r="O128" s="1151"/>
      <c r="P128" s="2624"/>
      <c r="Q128" s="503"/>
    </row>
    <row r="129" spans="1:17" ht="15.75" thickBot="1">
      <c r="A129" s="533"/>
      <c r="B129" s="542"/>
      <c r="C129" s="559"/>
      <c r="D129" s="559"/>
      <c r="E129" s="559"/>
      <c r="F129" s="559"/>
      <c r="G129" s="535"/>
      <c r="H129" s="535"/>
      <c r="I129" s="535"/>
      <c r="J129" s="535"/>
      <c r="K129" s="535"/>
      <c r="L129" s="535"/>
      <c r="M129" s="536"/>
      <c r="N129" s="1152"/>
      <c r="O129" s="1152"/>
      <c r="P129" s="2624"/>
      <c r="Q129" s="503"/>
    </row>
    <row r="130" spans="1:17" ht="15" thickTop="1">
      <c r="A130" s="598"/>
      <c r="B130" s="545">
        <f>B46</f>
        <v>0</v>
      </c>
      <c r="C130" s="553"/>
      <c r="D130" s="553"/>
      <c r="E130" s="553"/>
      <c r="F130" s="553"/>
      <c r="G130" s="586"/>
      <c r="H130" s="586"/>
      <c r="I130" s="586"/>
      <c r="J130" s="586"/>
      <c r="K130" s="522"/>
      <c r="L130" s="523"/>
      <c r="M130" s="589"/>
      <c r="N130" s="1151"/>
      <c r="O130" s="1151"/>
      <c r="P130" s="2624"/>
      <c r="Q130" s="503"/>
    </row>
    <row r="131" spans="1:17" ht="15.75" thickBot="1">
      <c r="A131" s="2630"/>
      <c r="B131" s="568"/>
      <c r="C131" s="569"/>
      <c r="D131" s="569"/>
      <c r="E131" s="569"/>
      <c r="F131" s="569"/>
      <c r="G131" s="590"/>
      <c r="H131" s="590"/>
      <c r="I131" s="590"/>
      <c r="J131" s="590"/>
      <c r="K131" s="590"/>
      <c r="L131" s="590"/>
      <c r="M131" s="591"/>
      <c r="N131" s="1152"/>
      <c r="O131" s="1152"/>
      <c r="P131" s="2624"/>
      <c r="Q131" s="503"/>
    </row>
    <row r="136" spans="1:17" ht="15" thickBot="1">
      <c r="B136" s="2631" t="s">
        <v>2569</v>
      </c>
    </row>
    <row r="137" spans="1:17" ht="15">
      <c r="B137" s="2632" t="s">
        <v>2570</v>
      </c>
      <c r="C137" s="2633"/>
      <c r="D137" s="2633"/>
      <c r="E137" s="2633"/>
      <c r="F137" s="2633"/>
      <c r="G137" s="2634"/>
      <c r="H137" s="2635"/>
      <c r="I137" s="2636" t="s">
        <v>2571</v>
      </c>
      <c r="J137" s="2633"/>
      <c r="K137" s="2637"/>
    </row>
    <row r="138" spans="1:17" ht="15">
      <c r="B138" s="2638"/>
      <c r="C138" s="145" t="s">
        <v>2572</v>
      </c>
      <c r="D138" s="145" t="s">
        <v>2573</v>
      </c>
      <c r="E138" s="2639" t="s">
        <v>2574</v>
      </c>
      <c r="F138" s="2640" t="s">
        <v>2575</v>
      </c>
      <c r="G138" s="145" t="s">
        <v>2573</v>
      </c>
      <c r="H138" s="146" t="s">
        <v>2574</v>
      </c>
      <c r="I138" s="2641"/>
      <c r="J138" s="145" t="s">
        <v>2576</v>
      </c>
      <c r="K138" s="146" t="s">
        <v>2577</v>
      </c>
    </row>
    <row r="139" spans="1:17" ht="15">
      <c r="B139" s="1083">
        <v>6</v>
      </c>
      <c r="C139" s="1084">
        <v>96</v>
      </c>
      <c r="D139" s="2642" t="s">
        <v>2578</v>
      </c>
      <c r="E139" s="1085">
        <v>100</v>
      </c>
      <c r="F139" s="1086">
        <v>102.5</v>
      </c>
      <c r="G139" s="2642" t="s">
        <v>2578</v>
      </c>
      <c r="H139" s="1087">
        <v>105</v>
      </c>
      <c r="I139" s="2643" t="s">
        <v>2579</v>
      </c>
      <c r="J139" s="1084">
        <v>20</v>
      </c>
      <c r="K139" s="1088">
        <f>C145/(J139-2)</f>
        <v>4.0555555555555553E-3</v>
      </c>
    </row>
    <row r="140" spans="1:17" ht="15">
      <c r="B140" s="1089">
        <v>5</v>
      </c>
      <c r="C140" s="1090">
        <v>100</v>
      </c>
      <c r="D140" s="1090"/>
      <c r="E140" s="1091"/>
      <c r="F140" s="1092">
        <v>102</v>
      </c>
      <c r="G140" s="1090"/>
      <c r="H140" s="1093"/>
      <c r="I140" s="2644" t="s">
        <v>2580</v>
      </c>
      <c r="J140" s="314">
        <f>ROUNDUP((J139-1)/2,0)</f>
        <v>10</v>
      </c>
      <c r="K140" s="1094">
        <v>100</v>
      </c>
    </row>
    <row r="141" spans="1:17" ht="15">
      <c r="B141" s="1089">
        <v>4</v>
      </c>
      <c r="C141" s="1090">
        <v>102</v>
      </c>
      <c r="D141" s="1090"/>
      <c r="E141" s="1091"/>
      <c r="F141" s="1092">
        <v>101.5</v>
      </c>
      <c r="G141" s="1090"/>
      <c r="H141" s="1093"/>
      <c r="I141" s="2644" t="s">
        <v>2581</v>
      </c>
      <c r="J141" s="314">
        <v>1</v>
      </c>
      <c r="K141" s="1095">
        <f>ROUND(100+(J141-J140)*K139*100,1)</f>
        <v>96.4</v>
      </c>
    </row>
    <row r="142" spans="1:17" ht="15">
      <c r="B142" s="1089">
        <v>3</v>
      </c>
      <c r="C142" s="1090">
        <v>103</v>
      </c>
      <c r="D142" s="1090"/>
      <c r="E142" s="1091"/>
      <c r="F142" s="1092">
        <v>101</v>
      </c>
      <c r="G142" s="1090"/>
      <c r="H142" s="1093"/>
      <c r="I142" s="2644" t="s">
        <v>2582</v>
      </c>
      <c r="J142" s="314">
        <f>J139</f>
        <v>20</v>
      </c>
      <c r="K142" s="1096">
        <v>95</v>
      </c>
    </row>
    <row r="143" spans="1:17" ht="15">
      <c r="B143" s="1089">
        <v>2</v>
      </c>
      <c r="C143" s="1090">
        <v>100</v>
      </c>
      <c r="D143" s="1090"/>
      <c r="E143" s="1091"/>
      <c r="F143" s="1092">
        <v>100.5</v>
      </c>
      <c r="G143" s="1090"/>
      <c r="H143" s="1093"/>
      <c r="I143" s="2644" t="s">
        <v>2583</v>
      </c>
      <c r="J143" s="1090">
        <v>15</v>
      </c>
      <c r="K143" s="1095">
        <f>ROUND(100+(J143-J140)*K139*100,1)</f>
        <v>102</v>
      </c>
    </row>
    <row r="144" spans="1:17" ht="15">
      <c r="B144" s="1089">
        <v>1</v>
      </c>
      <c r="C144" s="1090">
        <v>98</v>
      </c>
      <c r="D144" s="2645" t="s">
        <v>2584</v>
      </c>
      <c r="E144" s="1091">
        <v>102</v>
      </c>
      <c r="F144" s="1097">
        <v>100</v>
      </c>
      <c r="G144" s="2645" t="s">
        <v>2584</v>
      </c>
      <c r="H144" s="1093">
        <v>105</v>
      </c>
      <c r="I144" s="2644" t="s">
        <v>2583</v>
      </c>
      <c r="J144" s="1090">
        <v>18</v>
      </c>
      <c r="K144" s="1095">
        <f>ROUND(100+(J144-J140)*K139*100,1)</f>
        <v>103.2</v>
      </c>
    </row>
    <row r="145" spans="2:11" ht="15.75" thickBot="1">
      <c r="B145" s="2646" t="s">
        <v>2585</v>
      </c>
      <c r="C145" s="1098">
        <f>ROUND(MAX(C139:C144)/MIN(C139:C144)-1,3)</f>
        <v>7.2999999999999995E-2</v>
      </c>
      <c r="D145" s="1099"/>
      <c r="E145" s="1099"/>
      <c r="F145" s="2647" t="s">
        <v>2586</v>
      </c>
      <c r="G145" s="2648"/>
      <c r="H145" s="2649"/>
      <c r="I145" s="2650" t="s">
        <v>2583</v>
      </c>
      <c r="J145" s="1100">
        <v>8</v>
      </c>
      <c r="K145" s="1101">
        <f>ROUND(100+(J145-J140)*K139*100,1)</f>
        <v>99.2</v>
      </c>
    </row>
    <row r="147" spans="2:11">
      <c r="B147" s="2631" t="s">
        <v>2587</v>
      </c>
    </row>
    <row r="148" spans="2:11">
      <c r="B148" s="2631" t="s">
        <v>2588</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756" priority="14" stopIfTrue="1" operator="containsText" text="超过">
      <formula>NOT(ISERROR(SEARCH("超过",F52)))</formula>
    </cfRule>
  </conditionalFormatting>
  <conditionalFormatting sqref="J54">
    <cfRule type="containsText" dxfId="755" priority="13" stopIfTrue="1" operator="containsText" text="超过">
      <formula>NOT(ISERROR(SEARCH("超过",J54)))</formula>
    </cfRule>
  </conditionalFormatting>
  <conditionalFormatting sqref="H54">
    <cfRule type="containsText" dxfId="754" priority="12" stopIfTrue="1" operator="containsText" text="超过">
      <formula>NOT(ISERROR(SEARCH("超过",H54)))</formula>
    </cfRule>
  </conditionalFormatting>
  <conditionalFormatting sqref="F54">
    <cfRule type="containsText" dxfId="753" priority="11" stopIfTrue="1" operator="containsText" text="超过">
      <formula>NOT(ISERROR(SEARCH("超过",F54)))</formula>
    </cfRule>
  </conditionalFormatting>
  <conditionalFormatting sqref="F53 H53 J53">
    <cfRule type="containsText" dxfId="752" priority="10" stopIfTrue="1" operator="containsText" text="超过">
      <formula>NOT(ISERROR(SEARCH("超过",F53)))</formula>
    </cfRule>
  </conditionalFormatting>
  <conditionalFormatting sqref="E52">
    <cfRule type="expression" dxfId="751" priority="9" stopIfTrue="1">
      <formula>$F$52="超过30%"</formula>
    </cfRule>
  </conditionalFormatting>
  <conditionalFormatting sqref="G54">
    <cfRule type="expression" dxfId="750" priority="8" stopIfTrue="1">
      <formula>$H$54="超过30%"</formula>
    </cfRule>
  </conditionalFormatting>
  <conditionalFormatting sqref="E53">
    <cfRule type="expression" dxfId="749" priority="7" stopIfTrue="1">
      <formula>$F$53="超过20%"</formula>
    </cfRule>
  </conditionalFormatting>
  <conditionalFormatting sqref="E54">
    <cfRule type="expression" dxfId="748" priority="6" stopIfTrue="1">
      <formula>$F$54="超过30%"</formula>
    </cfRule>
  </conditionalFormatting>
  <conditionalFormatting sqref="G52">
    <cfRule type="expression" dxfId="747" priority="5" stopIfTrue="1">
      <formula>$H$52="超过30%"</formula>
    </cfRule>
  </conditionalFormatting>
  <conditionalFormatting sqref="G53">
    <cfRule type="expression" dxfId="746" priority="4" stopIfTrue="1">
      <formula>$H$53="超过20%"</formula>
    </cfRule>
  </conditionalFormatting>
  <conditionalFormatting sqref="I52">
    <cfRule type="expression" dxfId="745" priority="3" stopIfTrue="1">
      <formula>$J$52="超过30%"</formula>
    </cfRule>
  </conditionalFormatting>
  <conditionalFormatting sqref="I53">
    <cfRule type="expression" dxfId="744" priority="2" stopIfTrue="1">
      <formula>$J$53="超过20%"</formula>
    </cfRule>
  </conditionalFormatting>
  <conditionalFormatting sqref="I54">
    <cfRule type="expression" dxfId="74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4" zoomScale="90" zoomScaleNormal="90" workbookViewId="0">
      <selection activeCell="K24" sqref="K24"/>
    </sheetView>
  </sheetViews>
  <sheetFormatPr defaultRowHeight="14.25"/>
  <cols>
    <col min="1" max="1" width="10.5" style="402" customWidth="1"/>
    <col min="2" max="2" width="15.75" style="402" customWidth="1"/>
    <col min="3" max="3" width="14.8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2476</v>
      </c>
      <c r="B1" s="2577" t="s">
        <v>2477</v>
      </c>
      <c r="C1" s="1632" t="s">
        <v>2478</v>
      </c>
      <c r="D1" s="1619" t="s">
        <v>3074</v>
      </c>
      <c r="E1" s="2578"/>
      <c r="F1" s="2579" t="s">
        <v>2479</v>
      </c>
      <c r="G1" s="1629" t="s">
        <v>2480</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2" customFormat="1" ht="28.5" customHeight="1" thickTop="1">
      <c r="A2" s="1615" t="s">
        <v>1386</v>
      </c>
      <c r="B2" s="1417">
        <f>IF(C2="——",ROUND(C49*D3/10000,0),ROUND(C49*D3/10000,0)-D2)</f>
        <v>101447</v>
      </c>
      <c r="C2" s="2581" t="s">
        <v>70</v>
      </c>
      <c r="D2" s="1364" t="e">
        <f ca="1">SUMIF(INDIRECT("'"&amp;F2&amp;"'"&amp;"!A:A"),"承租人权益价值",INDIRECT("'"&amp;F2&amp;"'"&amp;"!c:c"))</f>
        <v>#REF!</v>
      </c>
      <c r="E2" s="2582" t="s">
        <v>2481</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2" customFormat="1" ht="28.5" customHeight="1" thickBot="1">
      <c r="A3" s="246" t="s">
        <v>1387</v>
      </c>
      <c r="B3" s="398">
        <f>IF(C2="——",C49,ROUND(B2*10000/D3,0))</f>
        <v>20315</v>
      </c>
      <c r="C3" s="399" t="s">
        <v>2482</v>
      </c>
      <c r="D3" s="398">
        <f>IF(D1="",'数据-汇总表'!E3,SUMIF('数据-汇总表'!$C19:$C33,D1,'数据-汇总表'!$E19:$E33))</f>
        <v>49937.2</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5">
      <c r="A4" s="400" t="s">
        <v>2483</v>
      </c>
      <c r="B4" s="401"/>
      <c r="C4" s="3222" t="s">
        <v>2484</v>
      </c>
      <c r="D4" s="3223"/>
      <c r="E4" s="3224" t="s">
        <v>2485</v>
      </c>
      <c r="F4" s="3225"/>
      <c r="G4" s="3222" t="s">
        <v>2486</v>
      </c>
      <c r="H4" s="3223"/>
      <c r="I4" s="3222" t="s">
        <v>2487</v>
      </c>
      <c r="J4" s="3223"/>
      <c r="K4" s="2591" t="s">
        <v>2488</v>
      </c>
      <c r="L4" s="1129"/>
      <c r="M4" s="1130"/>
      <c r="N4" s="1130"/>
      <c r="O4" s="1130"/>
      <c r="P4" s="3226" t="s">
        <v>2489</v>
      </c>
      <c r="Q4" s="3227"/>
      <c r="R4" s="3208" t="s">
        <v>2485</v>
      </c>
      <c r="S4" s="3209"/>
      <c r="T4" s="3208" t="s">
        <v>2486</v>
      </c>
      <c r="U4" s="3209"/>
      <c r="V4" s="3234" t="s">
        <v>2487</v>
      </c>
      <c r="W4" s="3234"/>
      <c r="X4" s="1811"/>
      <c r="Y4" s="3208" t="s">
        <v>2489</v>
      </c>
      <c r="Z4" s="3209"/>
      <c r="AA4" s="3203" t="s">
        <v>2485</v>
      </c>
      <c r="AB4" s="3203" t="s">
        <v>2486</v>
      </c>
      <c r="AC4" s="3203" t="s">
        <v>2487</v>
      </c>
    </row>
    <row r="5" spans="1:29" ht="15">
      <c r="A5" s="403"/>
      <c r="B5" s="404"/>
      <c r="C5" s="3214" t="s">
        <v>3340</v>
      </c>
      <c r="D5" s="3215"/>
      <c r="E5" s="3258" t="s">
        <v>3344</v>
      </c>
      <c r="F5" s="3213"/>
      <c r="G5" s="3214" t="s">
        <v>3345</v>
      </c>
      <c r="H5" s="3215"/>
      <c r="I5" s="3214" t="s">
        <v>3351</v>
      </c>
      <c r="J5" s="3215"/>
      <c r="K5" s="2592"/>
      <c r="L5" s="1129"/>
      <c r="M5" s="1130"/>
      <c r="N5" s="1130"/>
      <c r="O5" s="1130"/>
      <c r="P5" s="3228"/>
      <c r="Q5" s="3229"/>
      <c r="R5" s="3210"/>
      <c r="S5" s="3211"/>
      <c r="T5" s="3210"/>
      <c r="U5" s="3211"/>
      <c r="V5" s="3234"/>
      <c r="W5" s="3234"/>
      <c r="X5" s="1811"/>
      <c r="Y5" s="3210"/>
      <c r="Z5" s="3211"/>
      <c r="AA5" s="3204"/>
      <c r="AB5" s="3204"/>
      <c r="AC5" s="3204"/>
    </row>
    <row r="6" spans="1:29" ht="15.75" thickBot="1">
      <c r="A6" s="405"/>
      <c r="B6" s="406"/>
      <c r="C6" s="3216" t="s">
        <v>2494</v>
      </c>
      <c r="D6" s="3217"/>
      <c r="E6" s="3219" t="s">
        <v>2494</v>
      </c>
      <c r="F6" s="3220"/>
      <c r="G6" s="3216" t="s">
        <v>2494</v>
      </c>
      <c r="H6" s="3217"/>
      <c r="I6" s="3216" t="s">
        <v>2494</v>
      </c>
      <c r="J6" s="3217"/>
      <c r="K6" s="2592" t="s">
        <v>2495</v>
      </c>
      <c r="L6" s="1129"/>
      <c r="M6" s="1130"/>
      <c r="N6" s="1130"/>
      <c r="O6" s="1130"/>
      <c r="P6" s="3230"/>
      <c r="Q6" s="3231"/>
      <c r="R6" s="3210"/>
      <c r="S6" s="3211"/>
      <c r="T6" s="3232"/>
      <c r="U6" s="3233"/>
      <c r="V6" s="3234"/>
      <c r="W6" s="3234"/>
      <c r="X6" s="1811"/>
      <c r="Y6" s="3232"/>
      <c r="Z6" s="3233"/>
      <c r="AA6" s="3205"/>
      <c r="AB6" s="3205"/>
      <c r="AC6" s="3205"/>
    </row>
    <row r="7" spans="1:29" s="117" customFormat="1" ht="15.75" thickBot="1">
      <c r="A7" s="407" t="s">
        <v>2496</v>
      </c>
      <c r="B7" s="408"/>
      <c r="C7" s="409">
        <f>'数据-取费表'!B2</f>
        <v>43452</v>
      </c>
      <c r="D7" s="410">
        <v>100</v>
      </c>
      <c r="E7" s="411">
        <f>C7</f>
        <v>43452</v>
      </c>
      <c r="F7" s="412">
        <f>SUMIF(58:58,YEAR(E7)&amp;"-"&amp;MONTH(E7),59:59)</f>
        <v>100</v>
      </c>
      <c r="G7" s="411">
        <f>C7</f>
        <v>43452</v>
      </c>
      <c r="H7" s="410">
        <f>SUMIF(58:58,YEAR(G7)&amp;"-"&amp;MONTH(G7),59:59)</f>
        <v>100</v>
      </c>
      <c r="I7" s="411">
        <f>C7</f>
        <v>43452</v>
      </c>
      <c r="J7" s="410">
        <f>SUMIF(58:58,YEAR(I7)&amp;"-"&amp;MONTH(I7),59:59)</f>
        <v>100</v>
      </c>
      <c r="K7" s="2593"/>
      <c r="L7" s="1131"/>
      <c r="M7" s="1132"/>
      <c r="N7" s="1132"/>
      <c r="O7" s="1132"/>
      <c r="P7" s="3206" t="s">
        <v>2497</v>
      </c>
      <c r="Q7" s="3235"/>
      <c r="R7" s="769" t="s">
        <v>23</v>
      </c>
      <c r="S7" s="770">
        <f t="shared" ref="S7:S15" si="0">F7</f>
        <v>100</v>
      </c>
      <c r="T7" s="769" t="s">
        <v>23</v>
      </c>
      <c r="U7" s="770">
        <f t="shared" ref="U7:U15" si="1">H7</f>
        <v>100</v>
      </c>
      <c r="V7" s="769" t="s">
        <v>23</v>
      </c>
      <c r="W7" s="770">
        <f t="shared" ref="W7:W15" si="2">J7</f>
        <v>100</v>
      </c>
      <c r="X7" s="771"/>
      <c r="Y7" s="3206" t="s">
        <v>2497</v>
      </c>
      <c r="Z7" s="3207"/>
      <c r="AA7" s="772">
        <f>D7/F7</f>
        <v>1</v>
      </c>
      <c r="AB7" s="772">
        <f>D7/H7</f>
        <v>1</v>
      </c>
      <c r="AC7" s="772">
        <f>D7/J7</f>
        <v>1</v>
      </c>
    </row>
    <row r="8" spans="1:29" s="117" customFormat="1" ht="15.75" thickBot="1">
      <c r="A8" s="407" t="s">
        <v>2498</v>
      </c>
      <c r="B8" s="408"/>
      <c r="C8" s="413" t="s">
        <v>2499</v>
      </c>
      <c r="D8" s="410">
        <v>100</v>
      </c>
      <c r="E8" s="2594" t="s">
        <v>3309</v>
      </c>
      <c r="F8" s="412">
        <f>SUMIF(61:61,E8,62:62)-SUMIF(61:61,C8,62:62)+100</f>
        <v>100</v>
      </c>
      <c r="G8" s="413" t="s">
        <v>3309</v>
      </c>
      <c r="H8" s="410">
        <f>SUMIF(61:61,G8,62:62)-SUMIF(61:61,C8,62:62)+100</f>
        <v>100</v>
      </c>
      <c r="I8" s="413" t="s">
        <v>3309</v>
      </c>
      <c r="J8" s="410">
        <f>SUMIF(61:61,I8,62:62)-SUMIF(61:61,C8,62:62)+100</f>
        <v>100</v>
      </c>
      <c r="K8" s="2593"/>
      <c r="L8" s="1131"/>
      <c r="M8" s="1132"/>
      <c r="N8" s="1132"/>
      <c r="O8" s="1132"/>
      <c r="P8" s="3206" t="s">
        <v>2500</v>
      </c>
      <c r="Q8" s="3207"/>
      <c r="R8" s="769" t="s">
        <v>23</v>
      </c>
      <c r="S8" s="770">
        <f t="shared" si="0"/>
        <v>100</v>
      </c>
      <c r="T8" s="769" t="s">
        <v>23</v>
      </c>
      <c r="U8" s="770">
        <f t="shared" si="1"/>
        <v>100</v>
      </c>
      <c r="V8" s="769" t="s">
        <v>23</v>
      </c>
      <c r="W8" s="770">
        <f t="shared" si="2"/>
        <v>100</v>
      </c>
      <c r="X8" s="771"/>
      <c r="Y8" s="3206" t="s">
        <v>2500</v>
      </c>
      <c r="Z8" s="3207"/>
      <c r="AA8" s="772">
        <f t="shared" ref="AA8:AA19" si="3">D8/F8</f>
        <v>1</v>
      </c>
      <c r="AB8" s="772">
        <f t="shared" ref="AB8:AB19" si="4">D8/H8</f>
        <v>1</v>
      </c>
      <c r="AC8" s="772">
        <f t="shared" ref="AC8:AC19" si="5">D8/J8</f>
        <v>1</v>
      </c>
    </row>
    <row r="9" spans="1:29" s="117" customFormat="1">
      <c r="A9" s="414" t="s">
        <v>2501</v>
      </c>
      <c r="B9" s="71" t="s">
        <v>2502</v>
      </c>
      <c r="C9" s="3004" t="s">
        <v>3325</v>
      </c>
      <c r="D9" s="134">
        <v>100</v>
      </c>
      <c r="E9" s="416" t="s">
        <v>3003</v>
      </c>
      <c r="F9" s="417">
        <f>SUMIF(63:63,E9,64:64)-SUMIF(63:63,C9,64:64)+100</f>
        <v>100</v>
      </c>
      <c r="G9" s="418" t="s">
        <v>3003</v>
      </c>
      <c r="H9" s="134">
        <f>SUMIF(63:63,G9,64:64)-SUMIF(63:63,C9,64:64)+100</f>
        <v>100</v>
      </c>
      <c r="I9" s="418" t="s">
        <v>3003</v>
      </c>
      <c r="J9" s="134">
        <f>SUMIF(63:63,I9,64:64)-SUMIF(63:63,C9,64:64)+100</f>
        <v>100</v>
      </c>
      <c r="K9" s="2593"/>
      <c r="L9" s="1131"/>
      <c r="M9" s="1132"/>
      <c r="N9" s="1132"/>
      <c r="O9" s="1132"/>
      <c r="P9" s="3245" t="s">
        <v>2503</v>
      </c>
      <c r="Q9" s="1793" t="str">
        <f t="shared" ref="Q9:Q15" si="6">B9</f>
        <v>用途</v>
      </c>
      <c r="R9" s="769" t="s">
        <v>17</v>
      </c>
      <c r="S9" s="770">
        <f t="shared" si="0"/>
        <v>100</v>
      </c>
      <c r="T9" s="769" t="s">
        <v>17</v>
      </c>
      <c r="U9" s="770">
        <f t="shared" si="1"/>
        <v>100</v>
      </c>
      <c r="V9" s="769" t="s">
        <v>17</v>
      </c>
      <c r="W9" s="770">
        <f t="shared" si="2"/>
        <v>100</v>
      </c>
      <c r="X9" s="771"/>
      <c r="Y9" s="3083" t="s">
        <v>2504</v>
      </c>
      <c r="Z9" s="55" t="str">
        <f t="shared" ref="Z9:Z15" si="7">Q9</f>
        <v>用途</v>
      </c>
      <c r="AA9" s="772">
        <f t="shared" si="3"/>
        <v>1</v>
      </c>
      <c r="AB9" s="772">
        <f t="shared" si="4"/>
        <v>1</v>
      </c>
      <c r="AC9" s="772">
        <f t="shared" si="5"/>
        <v>1</v>
      </c>
    </row>
    <row r="10" spans="1:29" s="426" customFormat="1" ht="27">
      <c r="A10" s="420"/>
      <c r="B10" s="421" t="s">
        <v>2505</v>
      </c>
      <c r="C10" s="422" t="s">
        <v>3339</v>
      </c>
      <c r="D10" s="135">
        <v>100</v>
      </c>
      <c r="E10" s="423" t="s">
        <v>3339</v>
      </c>
      <c r="F10" s="424">
        <f>SUMIF(65:65,E10,66:66)-SUMIF(65:65,C10,66:66)+100</f>
        <v>100</v>
      </c>
      <c r="G10" s="422" t="s">
        <v>3339</v>
      </c>
      <c r="H10" s="135">
        <f>SUMIF(65:65,G10,66:66)-SUMIF(65:65,C10,66:66)+100</f>
        <v>100</v>
      </c>
      <c r="I10" s="422" t="s">
        <v>3339</v>
      </c>
      <c r="J10" s="135">
        <f>SUMIF(65:65,I10,66:66)-SUMIF(65:65,C10,66:66)+100</f>
        <v>100</v>
      </c>
      <c r="K10" s="425">
        <v>1</v>
      </c>
      <c r="L10" s="1134"/>
      <c r="M10" s="1135"/>
      <c r="N10" s="1135"/>
      <c r="O10" s="1135"/>
      <c r="P10" s="3245"/>
      <c r="Q10" s="1793" t="str">
        <f t="shared" si="6"/>
        <v>土地使用年限（年）</v>
      </c>
      <c r="R10" s="769" t="s">
        <v>17</v>
      </c>
      <c r="S10" s="770">
        <f t="shared" si="0"/>
        <v>100</v>
      </c>
      <c r="T10" s="769" t="s">
        <v>17</v>
      </c>
      <c r="U10" s="770">
        <f t="shared" si="1"/>
        <v>100</v>
      </c>
      <c r="V10" s="769" t="s">
        <v>17</v>
      </c>
      <c r="W10" s="770">
        <f t="shared" si="2"/>
        <v>100</v>
      </c>
      <c r="X10" s="771"/>
      <c r="Y10" s="3083"/>
      <c r="Z10" s="55" t="str">
        <f t="shared" si="7"/>
        <v>土地使用年限（年）</v>
      </c>
      <c r="AA10" s="772">
        <f t="shared" si="3"/>
        <v>1</v>
      </c>
      <c r="AB10" s="772">
        <f t="shared" si="4"/>
        <v>1</v>
      </c>
      <c r="AC10" s="772">
        <f t="shared" si="5"/>
        <v>1</v>
      </c>
    </row>
    <row r="11" spans="1:29" ht="15">
      <c r="A11" s="427"/>
      <c r="B11" s="421" t="s">
        <v>2506</v>
      </c>
      <c r="C11" s="428">
        <f>'土地比较法-住宅、综合'!C11</f>
        <v>1.52</v>
      </c>
      <c r="D11" s="135">
        <v>100</v>
      </c>
      <c r="E11" s="429">
        <v>1.83</v>
      </c>
      <c r="F11" s="424">
        <f>LOOKUP(E11,68:68,69:69)-LOOKUP(C11,68:68,69:69)+100</f>
        <v>100</v>
      </c>
      <c r="G11" s="428">
        <v>2</v>
      </c>
      <c r="H11" s="135">
        <f>LOOKUP(G11,68:68,69:69)-LOOKUP(C11,68:68,69:69)+100</f>
        <v>97</v>
      </c>
      <c r="I11" s="428">
        <v>2.5</v>
      </c>
      <c r="J11" s="135">
        <f>LOOKUP(I11,68:68,69:69)-LOOKUP(C11,68:68,69:69)+100</f>
        <v>94</v>
      </c>
      <c r="K11" s="425">
        <v>3</v>
      </c>
      <c r="L11" s="1137"/>
      <c r="M11" s="1130"/>
      <c r="N11" s="1130"/>
      <c r="O11" s="1130"/>
      <c r="P11" s="3245"/>
      <c r="Q11" s="1793" t="str">
        <f t="shared" si="6"/>
        <v>容积率</v>
      </c>
      <c r="R11" s="769" t="s">
        <v>21</v>
      </c>
      <c r="S11" s="770">
        <f t="shared" si="0"/>
        <v>100</v>
      </c>
      <c r="T11" s="769" t="s">
        <v>21</v>
      </c>
      <c r="U11" s="770">
        <f t="shared" si="1"/>
        <v>97</v>
      </c>
      <c r="V11" s="769" t="s">
        <v>21</v>
      </c>
      <c r="W11" s="770">
        <f t="shared" si="2"/>
        <v>94</v>
      </c>
      <c r="X11" s="771"/>
      <c r="Y11" s="3083"/>
      <c r="Z11" s="55" t="str">
        <f t="shared" si="7"/>
        <v>容积率</v>
      </c>
      <c r="AA11" s="772">
        <f t="shared" si="3"/>
        <v>1</v>
      </c>
      <c r="AB11" s="772">
        <f t="shared" si="4"/>
        <v>1.0309278350515463</v>
      </c>
      <c r="AC11" s="772">
        <f t="shared" si="5"/>
        <v>1.0638297872340425</v>
      </c>
    </row>
    <row r="12" spans="1:29" s="117" customFormat="1" ht="15">
      <c r="A12" s="430"/>
      <c r="B12" s="2595"/>
      <c r="C12" s="431"/>
      <c r="D12" s="432">
        <v>100</v>
      </c>
      <c r="E12" s="431"/>
      <c r="F12" s="424">
        <f>SUMIF(70:70,E12,71:71)-SUMIF(70:70,C12,71:71)+100</f>
        <v>100</v>
      </c>
      <c r="G12" s="431"/>
      <c r="H12" s="135">
        <f>SUMIF(70:70,G12,71:71)-SUMIF(70:70,C12,71:71)+100</f>
        <v>100</v>
      </c>
      <c r="I12" s="431"/>
      <c r="J12" s="135">
        <f>SUMIF(70:70,I12,71:71)-SUMIF(70:70,C12,71:71)+100</f>
        <v>100</v>
      </c>
      <c r="K12" s="2596"/>
      <c r="L12" s="1131"/>
      <c r="M12" s="1132"/>
      <c r="N12" s="1132"/>
      <c r="O12" s="1132"/>
      <c r="P12" s="3245"/>
      <c r="Q12" s="1793">
        <f t="shared" si="6"/>
        <v>0</v>
      </c>
      <c r="R12" s="769" t="s">
        <v>21</v>
      </c>
      <c r="S12" s="770">
        <f t="shared" si="0"/>
        <v>100</v>
      </c>
      <c r="T12" s="769" t="s">
        <v>21</v>
      </c>
      <c r="U12" s="770">
        <f t="shared" si="1"/>
        <v>100</v>
      </c>
      <c r="V12" s="769" t="s">
        <v>21</v>
      </c>
      <c r="W12" s="770">
        <f t="shared" si="2"/>
        <v>100</v>
      </c>
      <c r="X12" s="771"/>
      <c r="Y12" s="3083"/>
      <c r="Z12" s="55">
        <f t="shared" si="7"/>
        <v>0</v>
      </c>
      <c r="AA12" s="772">
        <f>D12/F12</f>
        <v>1</v>
      </c>
      <c r="AB12" s="772">
        <f>D12/H12</f>
        <v>1</v>
      </c>
      <c r="AC12" s="772">
        <f>D12/J12</f>
        <v>1</v>
      </c>
    </row>
    <row r="13" spans="1:29" ht="15">
      <c r="A13" s="427"/>
      <c r="B13" s="2595"/>
      <c r="C13" s="433"/>
      <c r="D13" s="434">
        <v>100</v>
      </c>
      <c r="E13" s="433"/>
      <c r="F13" s="424">
        <f>SUMIF(72:72,E13,73:73)-SUMIF(72:72,C13,73:73)+100</f>
        <v>100</v>
      </c>
      <c r="G13" s="433"/>
      <c r="H13" s="434">
        <f>SUMIF(72:72,G13,73:73)-SUMIF(72:72,C13,73:73)+100</f>
        <v>100</v>
      </c>
      <c r="I13" s="433"/>
      <c r="J13" s="434">
        <f>SUMIF(72:72,I13,73:73)-SUMIF(72:72,C13,73:73)+100</f>
        <v>100</v>
      </c>
      <c r="K13" s="2596"/>
      <c r="L13" s="1139"/>
      <c r="M13" s="1130"/>
      <c r="N13" s="1130"/>
      <c r="O13" s="1130"/>
      <c r="P13" s="3245"/>
      <c r="Q13" s="1793">
        <f t="shared" si="6"/>
        <v>0</v>
      </c>
      <c r="R13" s="769" t="s">
        <v>21</v>
      </c>
      <c r="S13" s="770">
        <f t="shared" si="0"/>
        <v>100</v>
      </c>
      <c r="T13" s="769" t="s">
        <v>21</v>
      </c>
      <c r="U13" s="770">
        <f t="shared" si="1"/>
        <v>100</v>
      </c>
      <c r="V13" s="769" t="s">
        <v>21</v>
      </c>
      <c r="W13" s="770">
        <f t="shared" si="2"/>
        <v>100</v>
      </c>
      <c r="X13" s="771"/>
      <c r="Y13" s="3083"/>
      <c r="Z13" s="55">
        <f t="shared" si="7"/>
        <v>0</v>
      </c>
      <c r="AA13" s="772">
        <f t="shared" si="3"/>
        <v>1</v>
      </c>
      <c r="AB13" s="772">
        <f t="shared" si="4"/>
        <v>1</v>
      </c>
      <c r="AC13" s="772">
        <f t="shared" si="5"/>
        <v>1</v>
      </c>
    </row>
    <row r="14" spans="1:29" ht="15.75" thickBot="1">
      <c r="A14" s="435"/>
      <c r="B14" s="2597"/>
      <c r="C14" s="436"/>
      <c r="D14" s="437">
        <v>100</v>
      </c>
      <c r="E14" s="436"/>
      <c r="F14" s="438">
        <f>SUMIF(74:74,E14,75:75)-SUMIF(74:74,C14,75:75)+100</f>
        <v>100</v>
      </c>
      <c r="G14" s="436"/>
      <c r="H14" s="437">
        <f>SUMIF(74:74,G14,75:75)-SUMIF(74:74,C14,75:75)+100</f>
        <v>100</v>
      </c>
      <c r="I14" s="436"/>
      <c r="J14" s="437">
        <f>SUMIF(74:74,I14,75:75)-SUMIF(74:74,C14,75:75)+100</f>
        <v>100</v>
      </c>
      <c r="K14" s="2596"/>
      <c r="L14" s="1139"/>
      <c r="M14" s="1130"/>
      <c r="N14" s="1130"/>
      <c r="O14" s="1130"/>
      <c r="P14" s="3245"/>
      <c r="Q14" s="1793">
        <f t="shared" si="6"/>
        <v>0</v>
      </c>
      <c r="R14" s="769" t="s">
        <v>21</v>
      </c>
      <c r="S14" s="770">
        <f t="shared" si="0"/>
        <v>100</v>
      </c>
      <c r="T14" s="769" t="s">
        <v>21</v>
      </c>
      <c r="U14" s="770">
        <f t="shared" si="1"/>
        <v>100</v>
      </c>
      <c r="V14" s="769" t="s">
        <v>21</v>
      </c>
      <c r="W14" s="770">
        <f t="shared" si="2"/>
        <v>100</v>
      </c>
      <c r="X14" s="771"/>
      <c r="Y14" s="3083"/>
      <c r="Z14" s="55">
        <f t="shared" si="7"/>
        <v>0</v>
      </c>
      <c r="AA14" s="772">
        <f t="shared" si="3"/>
        <v>1</v>
      </c>
      <c r="AB14" s="772">
        <f t="shared" si="4"/>
        <v>1</v>
      </c>
      <c r="AC14" s="772">
        <f t="shared" si="5"/>
        <v>1</v>
      </c>
    </row>
    <row r="15" spans="1:29" ht="142.5">
      <c r="A15" s="439" t="s">
        <v>2507</v>
      </c>
      <c r="B15" s="69" t="s">
        <v>2043</v>
      </c>
      <c r="C15" s="2598" t="str">
        <f>估价对象房地状况!C3</f>
        <v>估价对象周边居住用地比例较好、居住小区规模和社区发展完善程度较好，周边有碧桂园时代倾城、江山庐州印等，综合评价居住社区成熟度较好</v>
      </c>
      <c r="D15" s="440">
        <v>100</v>
      </c>
      <c r="E15" s="443" t="s">
        <v>3310</v>
      </c>
      <c r="F15" s="440">
        <f>SUMIF(76:76,E16,77:77)-SUMIF(76:76,C16,77:77)+100</f>
        <v>100</v>
      </c>
      <c r="G15" s="441" t="s">
        <v>3310</v>
      </c>
      <c r="H15" s="440">
        <f>SUMIF(76:76,G16,77:77)-SUMIF(76:76,C16,77:77)+100</f>
        <v>100</v>
      </c>
      <c r="I15" s="441" t="s">
        <v>3317</v>
      </c>
      <c r="J15" s="440">
        <f>SUMIF(76:76,I16,77:77)-SUMIF(76:76,C16,77:77)+100</f>
        <v>97</v>
      </c>
      <c r="K15" s="444">
        <v>3</v>
      </c>
      <c r="L15" s="1139"/>
      <c r="M15" s="1130"/>
      <c r="N15" s="1130"/>
      <c r="O15" s="1130"/>
      <c r="P15" s="3252" t="s">
        <v>2508</v>
      </c>
      <c r="Q15" s="1808" t="str">
        <f t="shared" si="6"/>
        <v>居住社区成熟度</v>
      </c>
      <c r="R15" s="773" t="s">
        <v>21</v>
      </c>
      <c r="S15" s="774">
        <f t="shared" si="0"/>
        <v>100</v>
      </c>
      <c r="T15" s="773" t="s">
        <v>21</v>
      </c>
      <c r="U15" s="774">
        <f t="shared" si="1"/>
        <v>100</v>
      </c>
      <c r="V15" s="773" t="s">
        <v>21</v>
      </c>
      <c r="W15" s="774">
        <f t="shared" si="2"/>
        <v>97</v>
      </c>
      <c r="X15" s="1811"/>
      <c r="Y15" s="3236" t="s">
        <v>2508</v>
      </c>
      <c r="Z15" s="1812" t="str">
        <f t="shared" si="7"/>
        <v>居住社区成熟度</v>
      </c>
      <c r="AA15" s="1809">
        <f t="shared" si="3"/>
        <v>1</v>
      </c>
      <c r="AB15" s="1809">
        <f t="shared" si="4"/>
        <v>1</v>
      </c>
      <c r="AC15" s="1809">
        <f t="shared" si="5"/>
        <v>1.0309278350515463</v>
      </c>
    </row>
    <row r="16" spans="1:29" ht="15">
      <c r="A16" s="427"/>
      <c r="B16" s="445"/>
      <c r="C16" s="446" t="s">
        <v>3093</v>
      </c>
      <c r="D16" s="447"/>
      <c r="E16" s="2599" t="s">
        <v>3093</v>
      </c>
      <c r="F16" s="447"/>
      <c r="G16" s="2600" t="s">
        <v>3093</v>
      </c>
      <c r="H16" s="449"/>
      <c r="I16" s="2600" t="s">
        <v>3095</v>
      </c>
      <c r="J16" s="447"/>
      <c r="K16" s="2601"/>
      <c r="L16" s="1139"/>
      <c r="M16" s="1130"/>
      <c r="N16" s="1130"/>
      <c r="O16" s="1130"/>
      <c r="P16" s="3253"/>
      <c r="Q16" s="1808"/>
      <c r="R16" s="773"/>
      <c r="S16" s="774"/>
      <c r="T16" s="773"/>
      <c r="U16" s="774"/>
      <c r="V16" s="773"/>
      <c r="W16" s="774"/>
      <c r="X16" s="1811"/>
      <c r="Y16" s="3237"/>
      <c r="Z16" s="1812"/>
      <c r="AA16" s="1809">
        <v>1</v>
      </c>
      <c r="AB16" s="1809">
        <v>1</v>
      </c>
      <c r="AC16" s="1809">
        <v>1</v>
      </c>
    </row>
    <row r="17" spans="1:29" ht="128.25">
      <c r="A17" s="427"/>
      <c r="B17" s="450" t="s">
        <v>2049</v>
      </c>
      <c r="C17" s="2602" t="str">
        <f>估价对象房地状况!C6</f>
        <v>估价对象周边道路状况一般、公共交通通达情况一般、停车便捷程度较好，周边有143、300路等公交线路，综合评价交通便捷度一般</v>
      </c>
      <c r="D17" s="449">
        <v>100</v>
      </c>
      <c r="E17" s="453" t="s">
        <v>3308</v>
      </c>
      <c r="F17" s="449">
        <f>SUMIF(78:78,E18,79:79)-SUMIF(78:78,C18,79:79)+100</f>
        <v>100</v>
      </c>
      <c r="G17" s="451" t="s">
        <v>3308</v>
      </c>
      <c r="H17" s="454">
        <f>SUMIF(78:78,G18,79:79)-SUMIF(78:78,C18,79:79)+100</f>
        <v>100</v>
      </c>
      <c r="I17" s="451" t="s">
        <v>3352</v>
      </c>
      <c r="J17" s="454">
        <f>SUMIF(78:78,I18,79:79)-SUMIF(78:78,C18,79:79)+100</f>
        <v>100</v>
      </c>
      <c r="K17" s="444">
        <v>1</v>
      </c>
      <c r="L17" s="1139"/>
      <c r="M17" s="1130"/>
      <c r="N17" s="1130"/>
      <c r="O17" s="1130"/>
      <c r="P17" s="3253"/>
      <c r="Q17" s="1808" t="str">
        <f>B17</f>
        <v>交通便捷度</v>
      </c>
      <c r="R17" s="773" t="s">
        <v>21</v>
      </c>
      <c r="S17" s="774">
        <f>F17</f>
        <v>100</v>
      </c>
      <c r="T17" s="773" t="s">
        <v>21</v>
      </c>
      <c r="U17" s="774">
        <f>H17</f>
        <v>100</v>
      </c>
      <c r="V17" s="773" t="s">
        <v>21</v>
      </c>
      <c r="W17" s="774">
        <f>J17</f>
        <v>100</v>
      </c>
      <c r="X17" s="1811"/>
      <c r="Y17" s="3237"/>
      <c r="Z17" s="1812" t="str">
        <f>Q17</f>
        <v>交通便捷度</v>
      </c>
      <c r="AA17" s="1809">
        <f t="shared" si="3"/>
        <v>1</v>
      </c>
      <c r="AB17" s="1809">
        <f t="shared" si="4"/>
        <v>1</v>
      </c>
      <c r="AC17" s="1809">
        <f t="shared" si="5"/>
        <v>1</v>
      </c>
    </row>
    <row r="18" spans="1:29" ht="15">
      <c r="A18" s="427"/>
      <c r="B18" s="455"/>
      <c r="C18" s="3014" t="s">
        <v>3093</v>
      </c>
      <c r="D18" s="449"/>
      <c r="E18" s="3015" t="s">
        <v>3093</v>
      </c>
      <c r="F18" s="449"/>
      <c r="G18" s="3016" t="s">
        <v>3093</v>
      </c>
      <c r="H18" s="447"/>
      <c r="I18" s="3016" t="s">
        <v>3093</v>
      </c>
      <c r="J18" s="447"/>
      <c r="K18" s="2601"/>
      <c r="L18" s="1139"/>
      <c r="M18" s="1130"/>
      <c r="N18" s="1130"/>
      <c r="O18" s="1130"/>
      <c r="P18" s="3253"/>
      <c r="Q18" s="1808"/>
      <c r="R18" s="773"/>
      <c r="S18" s="774"/>
      <c r="T18" s="773"/>
      <c r="U18" s="774"/>
      <c r="V18" s="773"/>
      <c r="W18" s="774"/>
      <c r="X18" s="1811"/>
      <c r="Y18" s="3237"/>
      <c r="Z18" s="1812"/>
      <c r="AA18" s="1809">
        <v>1</v>
      </c>
      <c r="AB18" s="1809">
        <v>1</v>
      </c>
      <c r="AC18" s="1809">
        <v>1</v>
      </c>
    </row>
    <row r="19" spans="1:29" ht="42.75">
      <c r="A19" s="427"/>
      <c r="B19" s="450" t="s">
        <v>2048</v>
      </c>
      <c r="C19" s="2602" t="str">
        <f>估价对象房地状况!C7</f>
        <v>估价对象所在区域公共配套设施齐备情况一般</v>
      </c>
      <c r="D19" s="454">
        <v>100</v>
      </c>
      <c r="E19" s="458" t="s">
        <v>3085</v>
      </c>
      <c r="F19" s="454">
        <f>SUMIF(80:80,E20,81:81)-SUMIF(80:80,C20,81:81)+100</f>
        <v>100</v>
      </c>
      <c r="G19" s="456" t="s">
        <v>3085</v>
      </c>
      <c r="H19" s="449">
        <f>SUMIF(80:80,G20,81:81)-SUMIF(80:80,C20,81:81)+100</f>
        <v>100</v>
      </c>
      <c r="I19" s="456" t="s">
        <v>3085</v>
      </c>
      <c r="J19" s="449">
        <f>SUMIF(80:80,I20,81:81)-SUMIF(80:80,C20,81:81)+100</f>
        <v>100</v>
      </c>
      <c r="K19" s="444">
        <v>1</v>
      </c>
      <c r="L19" s="1139"/>
      <c r="M19" s="1130"/>
      <c r="N19" s="1130"/>
      <c r="O19" s="1130"/>
      <c r="P19" s="3253"/>
      <c r="Q19" s="1808" t="str">
        <f>B19</f>
        <v>公共配套设施</v>
      </c>
      <c r="R19" s="773" t="s">
        <v>21</v>
      </c>
      <c r="S19" s="774">
        <f>F19</f>
        <v>100</v>
      </c>
      <c r="T19" s="773" t="s">
        <v>21</v>
      </c>
      <c r="U19" s="774">
        <f>H19</f>
        <v>100</v>
      </c>
      <c r="V19" s="773" t="s">
        <v>21</v>
      </c>
      <c r="W19" s="774">
        <f>J19</f>
        <v>100</v>
      </c>
      <c r="X19" s="1811"/>
      <c r="Y19" s="3237"/>
      <c r="Z19" s="1812" t="str">
        <f>Q19</f>
        <v>公共配套设施</v>
      </c>
      <c r="AA19" s="1809">
        <f t="shared" si="3"/>
        <v>1</v>
      </c>
      <c r="AB19" s="1809">
        <f t="shared" si="4"/>
        <v>1</v>
      </c>
      <c r="AC19" s="1809">
        <f t="shared" si="5"/>
        <v>1</v>
      </c>
    </row>
    <row r="20" spans="1:29" ht="15">
      <c r="A20" s="427"/>
      <c r="B20" s="455"/>
      <c r="C20" s="446" t="s">
        <v>3095</v>
      </c>
      <c r="D20" s="447"/>
      <c r="E20" s="2599" t="s">
        <v>3095</v>
      </c>
      <c r="F20" s="447"/>
      <c r="G20" s="2600" t="s">
        <v>3095</v>
      </c>
      <c r="H20" s="447"/>
      <c r="I20" s="2600" t="s">
        <v>3095</v>
      </c>
      <c r="J20" s="447"/>
      <c r="K20" s="2601"/>
      <c r="L20" s="1139"/>
      <c r="M20" s="1130"/>
      <c r="N20" s="1130"/>
      <c r="O20" s="1130"/>
      <c r="P20" s="3253"/>
      <c r="Q20" s="1808"/>
      <c r="R20" s="773"/>
      <c r="S20" s="774"/>
      <c r="T20" s="773"/>
      <c r="U20" s="774"/>
      <c r="V20" s="773"/>
      <c r="W20" s="774"/>
      <c r="X20" s="1811"/>
      <c r="Y20" s="3237"/>
      <c r="Z20" s="1812"/>
      <c r="AA20" s="1809">
        <v>1</v>
      </c>
      <c r="AB20" s="1809">
        <v>1</v>
      </c>
      <c r="AC20" s="1809">
        <v>1</v>
      </c>
    </row>
    <row r="21" spans="1:29" ht="42.75">
      <c r="A21" s="427"/>
      <c r="B21" s="1383" t="s">
        <v>2050</v>
      </c>
      <c r="C21" s="2602" t="str">
        <f>估价对象房地状况!C8</f>
        <v>估价对象所在区域基础设施水平较好</v>
      </c>
      <c r="D21" s="449">
        <v>100</v>
      </c>
      <c r="E21" s="458" t="s">
        <v>3083</v>
      </c>
      <c r="F21" s="454">
        <f>SUMIF(82:82,E22,83:83)-SUMIF(82:82,C22,83:83)+100</f>
        <v>100</v>
      </c>
      <c r="G21" s="456" t="s">
        <v>3083</v>
      </c>
      <c r="H21" s="449">
        <f>SUMIF(82:82,G22,83:83)-SUMIF(82:82,C22,83:83)+100</f>
        <v>100</v>
      </c>
      <c r="I21" s="456" t="s">
        <v>3083</v>
      </c>
      <c r="J21" s="449">
        <f>SUMIF(82:82,I22,83:83)-SUMIF(82:82,C22,83:83)+100</f>
        <v>100</v>
      </c>
      <c r="K21" s="444">
        <v>1</v>
      </c>
      <c r="L21" s="1139"/>
      <c r="M21" s="1130"/>
      <c r="N21" s="1130"/>
      <c r="O21" s="1130"/>
      <c r="P21" s="3253"/>
      <c r="Q21" s="1808" t="str">
        <f>B21</f>
        <v>基础设施水平</v>
      </c>
      <c r="R21" s="773" t="s">
        <v>17</v>
      </c>
      <c r="S21" s="774">
        <f>F21</f>
        <v>100</v>
      </c>
      <c r="T21" s="773" t="s">
        <v>17</v>
      </c>
      <c r="U21" s="774">
        <f>H21</f>
        <v>100</v>
      </c>
      <c r="V21" s="773" t="s">
        <v>17</v>
      </c>
      <c r="W21" s="774">
        <f>J21</f>
        <v>100</v>
      </c>
      <c r="X21" s="1811"/>
      <c r="Y21" s="3237"/>
      <c r="Z21" s="1812" t="str">
        <f>Q21</f>
        <v>基础设施水平</v>
      </c>
      <c r="AA21" s="1809">
        <f t="shared" ref="AA21" si="8">D21/F21</f>
        <v>1</v>
      </c>
      <c r="AB21" s="1809">
        <f t="shared" ref="AB21" si="9">D21/H21</f>
        <v>1</v>
      </c>
      <c r="AC21" s="1809">
        <f t="shared" ref="AC21" si="10">D21/J21</f>
        <v>1</v>
      </c>
    </row>
    <row r="22" spans="1:29" ht="15">
      <c r="A22" s="427"/>
      <c r="B22" s="1383"/>
      <c r="C22" s="2603" t="s">
        <v>3096</v>
      </c>
      <c r="D22" s="447"/>
      <c r="E22" s="446" t="s">
        <v>3096</v>
      </c>
      <c r="F22" s="447"/>
      <c r="G22" s="2606" t="s">
        <v>3096</v>
      </c>
      <c r="H22" s="447"/>
      <c r="I22" s="2606" t="s">
        <v>3096</v>
      </c>
      <c r="J22" s="447"/>
      <c r="K22" s="2607"/>
      <c r="L22" s="1139"/>
      <c r="M22" s="1130"/>
      <c r="N22" s="1130"/>
      <c r="O22" s="1130"/>
      <c r="P22" s="3253"/>
      <c r="Q22" s="1808"/>
      <c r="R22" s="773"/>
      <c r="S22" s="774"/>
      <c r="T22" s="773"/>
      <c r="U22" s="774"/>
      <c r="V22" s="773"/>
      <c r="W22" s="774"/>
      <c r="X22" s="1811"/>
      <c r="Y22" s="3237"/>
      <c r="Z22" s="1812"/>
      <c r="AA22" s="1809">
        <v>1</v>
      </c>
      <c r="AB22" s="1809">
        <v>1</v>
      </c>
      <c r="AC22" s="1809">
        <v>1</v>
      </c>
    </row>
    <row r="23" spans="1:29" ht="114">
      <c r="A23" s="427"/>
      <c r="B23" s="450" t="s">
        <v>2052</v>
      </c>
      <c r="C23" s="2602" t="str">
        <f>估价对象房地状况!C9</f>
        <v>区域自然环境及人文环境好；周边有合肥半岛花博园、大房郢水库、合肥经济技术职业学院等，综合评价环境状况好</v>
      </c>
      <c r="D23" s="449">
        <v>100</v>
      </c>
      <c r="E23" s="453" t="s">
        <v>3312</v>
      </c>
      <c r="F23" s="449">
        <f>SUMIF(84:84,E24,85:85)-SUMIF(84:84,C24,85:85)+100</f>
        <v>95</v>
      </c>
      <c r="G23" s="451" t="s">
        <v>3312</v>
      </c>
      <c r="H23" s="449">
        <f>SUMIF(84:84,G24,85:85)-SUMIF(84:84,C24,85:85)+100</f>
        <v>95</v>
      </c>
      <c r="I23" s="451" t="s">
        <v>3315</v>
      </c>
      <c r="J23" s="449">
        <f>SUMIF(84:84,I24,85:85)-SUMIF(84:84,C24,85:85)+100</f>
        <v>95</v>
      </c>
      <c r="K23" s="444">
        <f>'比较法-高层含地下'!K23</f>
        <v>5</v>
      </c>
      <c r="L23" s="1139"/>
      <c r="M23" s="1130"/>
      <c r="N23" s="1130"/>
      <c r="O23" s="1130"/>
      <c r="P23" s="3253"/>
      <c r="Q23" s="1808" t="str">
        <f>B23</f>
        <v>自然及人文环境</v>
      </c>
      <c r="R23" s="773" t="s">
        <v>21</v>
      </c>
      <c r="S23" s="774">
        <f>F23</f>
        <v>95</v>
      </c>
      <c r="T23" s="773" t="s">
        <v>21</v>
      </c>
      <c r="U23" s="774">
        <f>H23</f>
        <v>95</v>
      </c>
      <c r="V23" s="773" t="s">
        <v>21</v>
      </c>
      <c r="W23" s="774">
        <f>J23</f>
        <v>95</v>
      </c>
      <c r="X23" s="1811"/>
      <c r="Y23" s="3237"/>
      <c r="Z23" s="1812" t="str">
        <f>Q23</f>
        <v>自然及人文环境</v>
      </c>
      <c r="AA23" s="1809">
        <f>D23/F23</f>
        <v>1.0526315789473684</v>
      </c>
      <c r="AB23" s="1809">
        <f>D23/H23</f>
        <v>1.0526315789473684</v>
      </c>
      <c r="AC23" s="1809">
        <f>D23/J23</f>
        <v>1.0526315789473684</v>
      </c>
    </row>
    <row r="24" spans="1:29" ht="15">
      <c r="A24" s="427"/>
      <c r="B24" s="455"/>
      <c r="C24" s="446" t="s">
        <v>3094</v>
      </c>
      <c r="D24" s="447"/>
      <c r="E24" s="2599" t="s">
        <v>3093</v>
      </c>
      <c r="F24" s="447"/>
      <c r="G24" s="2600" t="s">
        <v>3093</v>
      </c>
      <c r="H24" s="447"/>
      <c r="I24" s="2600" t="s">
        <v>3093</v>
      </c>
      <c r="J24" s="447"/>
      <c r="K24" s="2601"/>
      <c r="L24" s="1139"/>
      <c r="M24" s="1130"/>
      <c r="N24" s="1130"/>
      <c r="O24" s="1130"/>
      <c r="P24" s="3253"/>
      <c r="Q24" s="1808"/>
      <c r="R24" s="773"/>
      <c r="S24" s="774"/>
      <c r="T24" s="773"/>
      <c r="U24" s="774"/>
      <c r="V24" s="773"/>
      <c r="W24" s="774"/>
      <c r="X24" s="1811"/>
      <c r="Y24" s="3237"/>
      <c r="Z24" s="1812"/>
      <c r="AA24" s="1809">
        <v>1</v>
      </c>
      <c r="AB24" s="1809">
        <v>1</v>
      </c>
      <c r="AC24" s="1809">
        <v>1</v>
      </c>
    </row>
    <row r="25" spans="1:29" ht="15">
      <c r="A25" s="427"/>
      <c r="B25" s="421" t="s">
        <v>2509</v>
      </c>
      <c r="C25" s="459" t="s">
        <v>3326</v>
      </c>
      <c r="D25" s="434">
        <v>100</v>
      </c>
      <c r="E25" s="459" t="s">
        <v>3326</v>
      </c>
      <c r="F25" s="434">
        <f>SUMIF(86:86,E25,87:87)-SUMIF(86:86,C25,87:87)+100</f>
        <v>100</v>
      </c>
      <c r="G25" s="2609" t="s">
        <v>70</v>
      </c>
      <c r="H25" s="434">
        <f>SUMIF(86:86,G25,87:87)-SUMIF(86:86,C25,87:87)+100</f>
        <v>100</v>
      </c>
      <c r="I25" s="2609" t="s">
        <v>70</v>
      </c>
      <c r="J25" s="434">
        <f>SUMIF(86:86,I25,87:87)-SUMIF(86:86,C25,87:87)+100</f>
        <v>100</v>
      </c>
      <c r="K25" s="425">
        <v>1</v>
      </c>
      <c r="L25" s="1139"/>
      <c r="M25" s="1130"/>
      <c r="N25" s="1130"/>
      <c r="O25" s="1130"/>
      <c r="P25" s="3253"/>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37"/>
      <c r="Z25" s="1812" t="str">
        <f>Q25</f>
        <v>楼层-1</v>
      </c>
      <c r="AA25" s="1809">
        <f t="shared" ref="AA25:AA46" si="15">D25/F25</f>
        <v>1</v>
      </c>
      <c r="AB25" s="1809">
        <f t="shared" ref="AB25:AB46" si="16">D25/H25</f>
        <v>1</v>
      </c>
      <c r="AC25" s="1809">
        <f t="shared" ref="AC25:AC46" si="17">D25/J25</f>
        <v>1</v>
      </c>
    </row>
    <row r="26" spans="1:29" ht="15">
      <c r="A26" s="427"/>
      <c r="B26" s="421" t="s">
        <v>2510</v>
      </c>
      <c r="C26" s="459" t="s">
        <v>3327</v>
      </c>
      <c r="D26" s="434">
        <v>100</v>
      </c>
      <c r="E26" s="459" t="s">
        <v>3327</v>
      </c>
      <c r="F26" s="434">
        <f>SUMIF(88:88,E26,89:89)-SUMIF(88:88,C26,89:89)+100</f>
        <v>100</v>
      </c>
      <c r="G26" s="2609" t="s">
        <v>70</v>
      </c>
      <c r="H26" s="434">
        <f>SUMIF(88:88,G26,89:89)-SUMIF(88:88,C26,89:89)+100</f>
        <v>100</v>
      </c>
      <c r="I26" s="2609" t="s">
        <v>70</v>
      </c>
      <c r="J26" s="434">
        <f>SUMIF(88:88,I26,89:89)-SUMIF(88:88,C26,89:89)+100</f>
        <v>100</v>
      </c>
      <c r="K26" s="425">
        <v>1</v>
      </c>
      <c r="L26" s="1139"/>
      <c r="M26" s="1130"/>
      <c r="N26" s="1130"/>
      <c r="O26" s="1130"/>
      <c r="P26" s="3253"/>
      <c r="Q26" s="1808" t="str">
        <f t="shared" si="11"/>
        <v>朝向</v>
      </c>
      <c r="R26" s="773" t="s">
        <v>21</v>
      </c>
      <c r="S26" s="774">
        <f t="shared" si="12"/>
        <v>100</v>
      </c>
      <c r="T26" s="773" t="s">
        <v>21</v>
      </c>
      <c r="U26" s="774">
        <f t="shared" si="13"/>
        <v>100</v>
      </c>
      <c r="V26" s="773" t="s">
        <v>21</v>
      </c>
      <c r="W26" s="774">
        <f t="shared" si="14"/>
        <v>100</v>
      </c>
      <c r="X26" s="1811"/>
      <c r="Y26" s="3237"/>
      <c r="Z26" s="1812" t="str">
        <f>Q26</f>
        <v>朝向</v>
      </c>
      <c r="AA26" s="1809">
        <f t="shared" si="15"/>
        <v>1</v>
      </c>
      <c r="AB26" s="1809">
        <f t="shared" si="16"/>
        <v>1</v>
      </c>
      <c r="AC26" s="1809">
        <f t="shared" si="17"/>
        <v>1</v>
      </c>
    </row>
    <row r="27" spans="1:29" s="117" customFormat="1" ht="15">
      <c r="A27" s="430"/>
      <c r="B27" s="1385"/>
      <c r="C27" s="3007" t="s">
        <v>3348</v>
      </c>
      <c r="D27" s="461">
        <v>100</v>
      </c>
      <c r="E27" s="3006" t="s">
        <v>3347</v>
      </c>
      <c r="F27" s="461">
        <f>SUMIF(90:90,E27,91:91)-SUMIF(90:90,C27,91:91)+100</f>
        <v>100</v>
      </c>
      <c r="G27" s="3005" t="s">
        <v>3346</v>
      </c>
      <c r="H27" s="461">
        <f>SUMIF(90:90,G27,91:91)-SUMIF(90:90,C27,91:91)+100</f>
        <v>100</v>
      </c>
      <c r="I27" s="3005" t="s">
        <v>3347</v>
      </c>
      <c r="J27" s="461">
        <f>SUMIF(90:90,I27,91:91)-SUMIF(90:90,C27,91:91)+100</f>
        <v>100</v>
      </c>
      <c r="K27" s="2596"/>
      <c r="L27" s="1131"/>
      <c r="M27" s="1132"/>
      <c r="N27" s="1132"/>
      <c r="O27" s="1132"/>
      <c r="P27" s="3253"/>
      <c r="Q27" s="1793">
        <f t="shared" si="11"/>
        <v>0</v>
      </c>
      <c r="R27" s="769" t="s">
        <v>21</v>
      </c>
      <c r="S27" s="770">
        <f t="shared" si="12"/>
        <v>100</v>
      </c>
      <c r="T27" s="769" t="s">
        <v>21</v>
      </c>
      <c r="U27" s="770">
        <f t="shared" si="13"/>
        <v>100</v>
      </c>
      <c r="V27" s="769" t="s">
        <v>21</v>
      </c>
      <c r="W27" s="770">
        <f t="shared" si="14"/>
        <v>100</v>
      </c>
      <c r="X27" s="771"/>
      <c r="Y27" s="3237"/>
      <c r="Z27" s="55">
        <f>Q27</f>
        <v>0</v>
      </c>
      <c r="AA27" s="1809">
        <f t="shared" si="15"/>
        <v>1</v>
      </c>
      <c r="AB27" s="1809">
        <f t="shared" si="16"/>
        <v>1</v>
      </c>
      <c r="AC27" s="1809">
        <f t="shared" si="17"/>
        <v>1</v>
      </c>
    </row>
    <row r="28" spans="1:29" ht="15">
      <c r="A28" s="427"/>
      <c r="B28" s="1385"/>
      <c r="C28" s="433"/>
      <c r="D28" s="434">
        <v>100</v>
      </c>
      <c r="E28" s="433"/>
      <c r="F28" s="434">
        <f>SUMIF(92:92,E28,93:93)-SUMIF(92:92,C28,93:93)+100</f>
        <v>100</v>
      </c>
      <c r="G28" s="2610"/>
      <c r="H28" s="434">
        <f>SUMIF(92:92,G28,93:93)-SUMIF(92:92,C28,93:93)+100</f>
        <v>100</v>
      </c>
      <c r="I28" s="433"/>
      <c r="J28" s="434">
        <f>SUMIF(92:92,I28,93:93)-SUMIF(92:92,C28,93:93)+100</f>
        <v>100</v>
      </c>
      <c r="K28" s="2596"/>
      <c r="L28" s="1139"/>
      <c r="M28" s="1130"/>
      <c r="N28" s="1130"/>
      <c r="O28" s="1130"/>
      <c r="P28" s="3253"/>
      <c r="Q28" s="1808">
        <f t="shared" si="11"/>
        <v>0</v>
      </c>
      <c r="R28" s="773" t="s">
        <v>21</v>
      </c>
      <c r="S28" s="774">
        <f t="shared" si="12"/>
        <v>100</v>
      </c>
      <c r="T28" s="773" t="s">
        <v>21</v>
      </c>
      <c r="U28" s="774">
        <f t="shared" si="13"/>
        <v>100</v>
      </c>
      <c r="V28" s="773" t="s">
        <v>21</v>
      </c>
      <c r="W28" s="774">
        <f t="shared" si="14"/>
        <v>100</v>
      </c>
      <c r="X28" s="1811"/>
      <c r="Y28" s="3237"/>
      <c r="Z28" s="1812">
        <f t="shared" ref="Z28:Z46" si="18">Q28</f>
        <v>0</v>
      </c>
      <c r="AA28" s="1809">
        <f t="shared" si="15"/>
        <v>1</v>
      </c>
      <c r="AB28" s="1809">
        <f t="shared" si="16"/>
        <v>1</v>
      </c>
      <c r="AC28" s="1809">
        <f t="shared" si="17"/>
        <v>1</v>
      </c>
    </row>
    <row r="29" spans="1:29" ht="15">
      <c r="A29" s="427"/>
      <c r="B29" s="1385"/>
      <c r="C29" s="433"/>
      <c r="D29" s="434">
        <v>100</v>
      </c>
      <c r="E29" s="433"/>
      <c r="F29" s="434">
        <f>SUMIF(94:94,E29,95:95)-SUMIF(94:94,C29,95:95)+100</f>
        <v>100</v>
      </c>
      <c r="G29" s="2610"/>
      <c r="H29" s="434">
        <f>SUMIF(94:94,G29,95:95)-SUMIF(94:94,C29,95:95)+100</f>
        <v>100</v>
      </c>
      <c r="I29" s="433"/>
      <c r="J29" s="434">
        <f>SUMIF(94:94,I29,95:95)-SUMIF(94:94,C29,95:95)+100</f>
        <v>100</v>
      </c>
      <c r="K29" s="2596"/>
      <c r="L29" s="1139"/>
      <c r="M29" s="1130"/>
      <c r="N29" s="1130"/>
      <c r="O29" s="1130"/>
      <c r="P29" s="3253"/>
      <c r="Q29" s="1808">
        <f t="shared" si="11"/>
        <v>0</v>
      </c>
      <c r="R29" s="773" t="s">
        <v>21</v>
      </c>
      <c r="S29" s="774">
        <f t="shared" si="12"/>
        <v>100</v>
      </c>
      <c r="T29" s="773" t="s">
        <v>21</v>
      </c>
      <c r="U29" s="774">
        <f t="shared" si="13"/>
        <v>100</v>
      </c>
      <c r="V29" s="773" t="s">
        <v>21</v>
      </c>
      <c r="W29" s="774">
        <f t="shared" si="14"/>
        <v>100</v>
      </c>
      <c r="X29" s="1811"/>
      <c r="Y29" s="3237"/>
      <c r="Z29" s="1812">
        <f t="shared" si="18"/>
        <v>0</v>
      </c>
      <c r="AA29" s="1809">
        <f t="shared" si="15"/>
        <v>1</v>
      </c>
      <c r="AB29" s="1809">
        <f t="shared" si="16"/>
        <v>1</v>
      </c>
      <c r="AC29" s="1809">
        <f t="shared" si="17"/>
        <v>1</v>
      </c>
    </row>
    <row r="30" spans="1:29" ht="15">
      <c r="A30" s="427"/>
      <c r="B30" s="1385"/>
      <c r="C30" s="433"/>
      <c r="D30" s="434">
        <v>100</v>
      </c>
      <c r="E30" s="433"/>
      <c r="F30" s="434">
        <f>SUMIF(96:96,E30,97:97)-SUMIF(96:96,C30,97:97)+100</f>
        <v>100</v>
      </c>
      <c r="G30" s="2610"/>
      <c r="H30" s="434">
        <f>SUMIF(96:96,G30,97:97)-SUMIF(96:96,C30,97:97)+100</f>
        <v>100</v>
      </c>
      <c r="I30" s="433"/>
      <c r="J30" s="434">
        <f>SUMIF(96:96,I30,97:97)-SUMIF(96:96,C30,97:97)+100</f>
        <v>100</v>
      </c>
      <c r="K30" s="2596"/>
      <c r="L30" s="1139"/>
      <c r="M30" s="1130"/>
      <c r="N30" s="1130"/>
      <c r="O30" s="1130"/>
      <c r="P30" s="3253"/>
      <c r="Q30" s="1808">
        <f t="shared" si="11"/>
        <v>0</v>
      </c>
      <c r="R30" s="773" t="s">
        <v>21</v>
      </c>
      <c r="S30" s="774">
        <f t="shared" si="12"/>
        <v>100</v>
      </c>
      <c r="T30" s="773" t="s">
        <v>21</v>
      </c>
      <c r="U30" s="774">
        <f t="shared" si="13"/>
        <v>100</v>
      </c>
      <c r="V30" s="773" t="s">
        <v>21</v>
      </c>
      <c r="W30" s="774">
        <f t="shared" si="14"/>
        <v>100</v>
      </c>
      <c r="X30" s="1811"/>
      <c r="Y30" s="3237"/>
      <c r="Z30" s="1812">
        <f t="shared" si="18"/>
        <v>0</v>
      </c>
      <c r="AA30" s="1809">
        <f t="shared" si="15"/>
        <v>1</v>
      </c>
      <c r="AB30" s="1809">
        <f t="shared" si="16"/>
        <v>1</v>
      </c>
      <c r="AC30" s="1809">
        <f t="shared" si="17"/>
        <v>1</v>
      </c>
    </row>
    <row r="31" spans="1:29" ht="15.75" thickBot="1">
      <c r="A31" s="435"/>
      <c r="B31" s="1385"/>
      <c r="C31" s="436"/>
      <c r="D31" s="437">
        <v>100</v>
      </c>
      <c r="E31" s="436"/>
      <c r="F31" s="437">
        <f>SUMIF(98:98,E31,99:99)-SUMIF(98:98,C31,99:99)+100</f>
        <v>100</v>
      </c>
      <c r="G31" s="2611"/>
      <c r="H31" s="437">
        <f>SUMIF(98:98,G31,99:99)-SUMIF(98:98,C31,99:99)+100</f>
        <v>100</v>
      </c>
      <c r="I31" s="436"/>
      <c r="J31" s="437">
        <f>SUMIF(98:98,I31,99:99)-SUMIF(98:98,C31,99:99)+100</f>
        <v>100</v>
      </c>
      <c r="K31" s="2596"/>
      <c r="L31" s="1139"/>
      <c r="M31" s="1130"/>
      <c r="N31" s="1130"/>
      <c r="O31" s="1130"/>
      <c r="P31" s="3253"/>
      <c r="Q31" s="1808">
        <f t="shared" si="11"/>
        <v>0</v>
      </c>
      <c r="R31" s="773" t="s">
        <v>21</v>
      </c>
      <c r="S31" s="774">
        <f t="shared" si="12"/>
        <v>100</v>
      </c>
      <c r="T31" s="773" t="s">
        <v>21</v>
      </c>
      <c r="U31" s="774">
        <f t="shared" si="13"/>
        <v>100</v>
      </c>
      <c r="V31" s="773" t="s">
        <v>21</v>
      </c>
      <c r="W31" s="774">
        <f t="shared" si="14"/>
        <v>100</v>
      </c>
      <c r="X31" s="1811"/>
      <c r="Y31" s="3237"/>
      <c r="Z31" s="1812">
        <f t="shared" si="18"/>
        <v>0</v>
      </c>
      <c r="AA31" s="1809">
        <f t="shared" si="15"/>
        <v>1</v>
      </c>
      <c r="AB31" s="1809">
        <f t="shared" si="16"/>
        <v>1</v>
      </c>
      <c r="AC31" s="1809">
        <f t="shared" si="17"/>
        <v>1</v>
      </c>
    </row>
    <row r="32" spans="1:29" ht="15">
      <c r="A32" s="439" t="s">
        <v>2511</v>
      </c>
      <c r="B32" s="71" t="s">
        <v>2512</v>
      </c>
      <c r="C32" s="2612" t="s">
        <v>3343</v>
      </c>
      <c r="D32" s="466">
        <v>100</v>
      </c>
      <c r="E32" s="2613" t="s">
        <v>3341</v>
      </c>
      <c r="F32" s="460">
        <f>SUMIF(100:100,E32,101:101)-SUMIF(100:100,C32,101:101)+100</f>
        <v>98</v>
      </c>
      <c r="G32" s="2612" t="s">
        <v>3341</v>
      </c>
      <c r="H32" s="466">
        <f>SUMIF(100:100,G32,101:101)-SUMIF(100:100,C32,101:101)+100</f>
        <v>98</v>
      </c>
      <c r="I32" s="2613" t="s">
        <v>3060</v>
      </c>
      <c r="J32" s="434">
        <f>SUMIF(100:100,I32,101:101)-SUMIF(100:100,C32,101:101)+100</f>
        <v>102</v>
      </c>
      <c r="K32" s="425">
        <v>2</v>
      </c>
      <c r="L32" s="1139"/>
      <c r="M32" s="1130"/>
      <c r="N32" s="1130"/>
      <c r="O32" s="1130"/>
      <c r="P32" s="3254" t="s">
        <v>2513</v>
      </c>
      <c r="Q32" s="1808" t="str">
        <f t="shared" si="11"/>
        <v>建筑类型</v>
      </c>
      <c r="R32" s="773" t="s">
        <v>21</v>
      </c>
      <c r="S32" s="774">
        <f t="shared" si="12"/>
        <v>98</v>
      </c>
      <c r="T32" s="773" t="s">
        <v>21</v>
      </c>
      <c r="U32" s="774">
        <f t="shared" si="13"/>
        <v>98</v>
      </c>
      <c r="V32" s="773" t="s">
        <v>21</v>
      </c>
      <c r="W32" s="774">
        <f t="shared" si="14"/>
        <v>102</v>
      </c>
      <c r="X32" s="1811"/>
      <c r="Y32" s="3239" t="s">
        <v>2513</v>
      </c>
      <c r="Z32" s="1812" t="str">
        <f t="shared" si="18"/>
        <v>建筑类型</v>
      </c>
      <c r="AA32" s="1809">
        <f t="shared" si="15"/>
        <v>1.0204081632653061</v>
      </c>
      <c r="AB32" s="1809">
        <f t="shared" si="16"/>
        <v>1.0204081632653061</v>
      </c>
      <c r="AC32" s="1809">
        <f t="shared" si="17"/>
        <v>0.98039215686274506</v>
      </c>
    </row>
    <row r="33" spans="1:29" s="470" customFormat="1" ht="15">
      <c r="A33" s="467"/>
      <c r="B33" s="421" t="s">
        <v>2514</v>
      </c>
      <c r="C33" s="468">
        <f>'数据-基础表'!B3</f>
        <v>218843.90000000005</v>
      </c>
      <c r="D33" s="135">
        <v>100</v>
      </c>
      <c r="E33" s="429">
        <v>99000</v>
      </c>
      <c r="F33" s="424">
        <f>LOOKUP(E33,103:103,104:104)-LOOKUP(C33,103:103,104:104)+100</f>
        <v>98</v>
      </c>
      <c r="G33" s="428">
        <v>290000</v>
      </c>
      <c r="H33" s="135">
        <f>LOOKUP(G33,103:103,104:104)-LOOKUP(C33,103:103,104:104)+100</f>
        <v>100</v>
      </c>
      <c r="I33" s="429">
        <v>74431</v>
      </c>
      <c r="J33" s="135">
        <f>LOOKUP(I33,103:103,104:104)-LOOKUP(C33,103:103,104:104)+100</f>
        <v>98</v>
      </c>
      <c r="K33" s="2596"/>
      <c r="L33" s="1137"/>
      <c r="M33" s="1140"/>
      <c r="N33" s="1140"/>
      <c r="O33" s="1140"/>
      <c r="P33" s="3255"/>
      <c r="Q33" s="775" t="str">
        <f t="shared" si="11"/>
        <v>项目建筑规模</v>
      </c>
      <c r="R33" s="776" t="s">
        <v>21</v>
      </c>
      <c r="S33" s="777">
        <f t="shared" si="12"/>
        <v>98</v>
      </c>
      <c r="T33" s="776" t="s">
        <v>21</v>
      </c>
      <c r="U33" s="777">
        <f t="shared" si="13"/>
        <v>100</v>
      </c>
      <c r="V33" s="776" t="s">
        <v>21</v>
      </c>
      <c r="W33" s="777">
        <f t="shared" si="14"/>
        <v>98</v>
      </c>
      <c r="X33" s="778"/>
      <c r="Y33" s="3239"/>
      <c r="Z33" s="779" t="str">
        <f t="shared" si="18"/>
        <v>项目建筑规模</v>
      </c>
      <c r="AA33" s="1809">
        <f t="shared" si="15"/>
        <v>1.0204081632653061</v>
      </c>
      <c r="AB33" s="1809">
        <f t="shared" si="16"/>
        <v>1</v>
      </c>
      <c r="AC33" s="1809">
        <f t="shared" si="17"/>
        <v>1.0204081632653061</v>
      </c>
    </row>
    <row r="34" spans="1:29" ht="15">
      <c r="A34" s="471"/>
      <c r="B34" s="421" t="s">
        <v>2515</v>
      </c>
      <c r="C34" s="2614" t="s">
        <v>3322</v>
      </c>
      <c r="D34" s="434">
        <v>100</v>
      </c>
      <c r="E34" s="2614" t="s">
        <v>3322</v>
      </c>
      <c r="F34" s="460">
        <f>SUMIF(105:105,E34,106:106)-SUMIF(105:105,C34,106:106)+100</f>
        <v>100</v>
      </c>
      <c r="G34" s="2614" t="s">
        <v>3322</v>
      </c>
      <c r="H34" s="434">
        <f>SUMIF(105:105,G34,106:106)-SUMIF(105:105,C34,106:106)+100</f>
        <v>100</v>
      </c>
      <c r="I34" s="2614" t="s">
        <v>3322</v>
      </c>
      <c r="J34" s="434">
        <f>SUMIF(105:105,I34,106:106)-SUMIF(105:105,C34,106:106)+100</f>
        <v>100</v>
      </c>
      <c r="K34" s="425">
        <v>1</v>
      </c>
      <c r="L34" s="1139"/>
      <c r="M34" s="1130"/>
      <c r="N34" s="1130"/>
      <c r="O34" s="1130"/>
      <c r="P34" s="3255"/>
      <c r="Q34" s="1808" t="str">
        <f t="shared" si="11"/>
        <v>建筑结构</v>
      </c>
      <c r="R34" s="773" t="s">
        <v>21</v>
      </c>
      <c r="S34" s="774">
        <f t="shared" si="12"/>
        <v>100</v>
      </c>
      <c r="T34" s="773" t="s">
        <v>21</v>
      </c>
      <c r="U34" s="774">
        <f t="shared" si="13"/>
        <v>100</v>
      </c>
      <c r="V34" s="773" t="s">
        <v>21</v>
      </c>
      <c r="W34" s="774">
        <f t="shared" si="14"/>
        <v>100</v>
      </c>
      <c r="X34" s="1811"/>
      <c r="Y34" s="3239"/>
      <c r="Z34" s="1812" t="str">
        <f t="shared" si="18"/>
        <v>建筑结构</v>
      </c>
      <c r="AA34" s="1809">
        <f t="shared" si="15"/>
        <v>1</v>
      </c>
      <c r="AB34" s="1809">
        <f t="shared" si="16"/>
        <v>1</v>
      </c>
      <c r="AC34" s="1809">
        <f t="shared" si="17"/>
        <v>1</v>
      </c>
    </row>
    <row r="35" spans="1:29" ht="15">
      <c r="A35" s="471"/>
      <c r="B35" s="421" t="s">
        <v>2516</v>
      </c>
      <c r="C35" s="2608" t="s">
        <v>3329</v>
      </c>
      <c r="D35" s="434">
        <v>100</v>
      </c>
      <c r="E35" s="2608" t="s">
        <v>3329</v>
      </c>
      <c r="F35" s="460">
        <f>SUMIF(107:107,E35,108:108)-SUMIF(107:107,C35,108:108)+100</f>
        <v>100</v>
      </c>
      <c r="G35" s="2608" t="s">
        <v>3349</v>
      </c>
      <c r="H35" s="434">
        <f>SUMIF(107:107,G35,108:108)-SUMIF(107:107,C35,108:108)+100</f>
        <v>95</v>
      </c>
      <c r="I35" s="2608" t="s">
        <v>3329</v>
      </c>
      <c r="J35" s="434">
        <f>SUMIF(107:107,I35,108:108)-SUMIF(107:107,C35,108:108)+100</f>
        <v>100</v>
      </c>
      <c r="K35" s="425">
        <v>5</v>
      </c>
      <c r="L35" s="1139"/>
      <c r="M35" s="1130"/>
      <c r="N35" s="1130"/>
      <c r="O35" s="1130"/>
      <c r="P35" s="3255"/>
      <c r="Q35" s="1808" t="str">
        <f t="shared" si="11"/>
        <v>建筑品质</v>
      </c>
      <c r="R35" s="773" t="s">
        <v>21</v>
      </c>
      <c r="S35" s="774">
        <f t="shared" si="12"/>
        <v>100</v>
      </c>
      <c r="T35" s="773" t="s">
        <v>21</v>
      </c>
      <c r="U35" s="774">
        <f t="shared" si="13"/>
        <v>95</v>
      </c>
      <c r="V35" s="773" t="s">
        <v>21</v>
      </c>
      <c r="W35" s="774">
        <f t="shared" si="14"/>
        <v>100</v>
      </c>
      <c r="X35" s="1811"/>
      <c r="Y35" s="3239"/>
      <c r="Z35" s="1812" t="str">
        <f t="shared" si="18"/>
        <v>建筑品质</v>
      </c>
      <c r="AA35" s="1809">
        <f t="shared" si="15"/>
        <v>1</v>
      </c>
      <c r="AB35" s="1809">
        <f t="shared" si="16"/>
        <v>1.0526315789473684</v>
      </c>
      <c r="AC35" s="1809">
        <f t="shared" si="17"/>
        <v>1</v>
      </c>
    </row>
    <row r="36" spans="1:29" ht="15">
      <c r="A36" s="471"/>
      <c r="B36" s="421" t="s">
        <v>2517</v>
      </c>
      <c r="C36" s="2608" t="s">
        <v>3331</v>
      </c>
      <c r="D36" s="434">
        <v>100</v>
      </c>
      <c r="E36" s="2608" t="s">
        <v>3331</v>
      </c>
      <c r="F36" s="460">
        <f>SUMIF(109:109,E36,110:110)-SUMIF(109:109,C36,110:110)+100</f>
        <v>100</v>
      </c>
      <c r="G36" s="2608" t="s">
        <v>3331</v>
      </c>
      <c r="H36" s="434">
        <f>SUMIF(109:109,G36,110:110)-SUMIF(109:109,C36,110:110)+100</f>
        <v>100</v>
      </c>
      <c r="I36" s="2608" t="s">
        <v>3331</v>
      </c>
      <c r="J36" s="434">
        <f>SUMIF(109:109,I36,110:110)-SUMIF(109:109,C36,110:110)+100</f>
        <v>100</v>
      </c>
      <c r="K36" s="425">
        <v>1</v>
      </c>
      <c r="L36" s="1139"/>
      <c r="M36" s="1130"/>
      <c r="N36" s="1130"/>
      <c r="O36" s="1130"/>
      <c r="P36" s="3255"/>
      <c r="Q36" s="1808" t="str">
        <f t="shared" si="11"/>
        <v>公共部分装修</v>
      </c>
      <c r="R36" s="773" t="s">
        <v>21</v>
      </c>
      <c r="S36" s="774">
        <f t="shared" si="12"/>
        <v>100</v>
      </c>
      <c r="T36" s="773" t="s">
        <v>21</v>
      </c>
      <c r="U36" s="774">
        <f t="shared" si="13"/>
        <v>100</v>
      </c>
      <c r="V36" s="773" t="s">
        <v>21</v>
      </c>
      <c r="W36" s="774">
        <f t="shared" si="14"/>
        <v>100</v>
      </c>
      <c r="X36" s="1811"/>
      <c r="Y36" s="3239"/>
      <c r="Z36" s="1812" t="str">
        <f t="shared" si="18"/>
        <v>公共部分装修</v>
      </c>
      <c r="AA36" s="1809">
        <f t="shared" si="15"/>
        <v>1</v>
      </c>
      <c r="AB36" s="1809">
        <f t="shared" si="16"/>
        <v>1</v>
      </c>
      <c r="AC36" s="1809">
        <f t="shared" si="17"/>
        <v>1</v>
      </c>
    </row>
    <row r="37" spans="1:29" s="117" customFormat="1" ht="15">
      <c r="A37" s="472"/>
      <c r="B37" s="421" t="s">
        <v>2518</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1"/>
      <c r="M37" s="1132"/>
      <c r="N37" s="1132"/>
      <c r="O37" s="1132"/>
      <c r="P37" s="3255"/>
      <c r="Q37" s="1793" t="str">
        <f t="shared" si="11"/>
        <v>成新度</v>
      </c>
      <c r="R37" s="769" t="s">
        <v>21</v>
      </c>
      <c r="S37" s="770">
        <f t="shared" si="12"/>
        <v>100</v>
      </c>
      <c r="T37" s="769" t="s">
        <v>21</v>
      </c>
      <c r="U37" s="770">
        <f t="shared" si="13"/>
        <v>100</v>
      </c>
      <c r="V37" s="769" t="s">
        <v>21</v>
      </c>
      <c r="W37" s="770">
        <f t="shared" si="14"/>
        <v>100</v>
      </c>
      <c r="X37" s="771"/>
      <c r="Y37" s="3239"/>
      <c r="Z37" s="55" t="str">
        <f t="shared" si="18"/>
        <v>成新度</v>
      </c>
      <c r="AA37" s="772">
        <f t="shared" si="15"/>
        <v>1</v>
      </c>
      <c r="AB37" s="772">
        <f t="shared" si="16"/>
        <v>1</v>
      </c>
      <c r="AC37" s="772">
        <f t="shared" si="17"/>
        <v>1</v>
      </c>
    </row>
    <row r="38" spans="1:29" ht="15">
      <c r="A38" s="471"/>
      <c r="B38" s="421" t="s">
        <v>2519</v>
      </c>
      <c r="C38" s="2608" t="s">
        <v>3333</v>
      </c>
      <c r="D38" s="434">
        <v>100</v>
      </c>
      <c r="E38" s="2608" t="s">
        <v>3333</v>
      </c>
      <c r="F38" s="460">
        <f>SUMIF(114:114,E38,115:115)-SUMIF(114:114,C38,115:115)+100</f>
        <v>100</v>
      </c>
      <c r="G38" s="2608" t="s">
        <v>3333</v>
      </c>
      <c r="H38" s="434">
        <f>SUMIF(114:114,G38,115:115)-SUMIF(114:114,C38,115:115)+100</f>
        <v>100</v>
      </c>
      <c r="I38" s="2608" t="s">
        <v>3333</v>
      </c>
      <c r="J38" s="434">
        <f>SUMIF(114:114,I38,115:115)-SUMIF(114:114,C38,115:115)+100</f>
        <v>100</v>
      </c>
      <c r="K38" s="425">
        <v>1</v>
      </c>
      <c r="L38" s="1139"/>
      <c r="M38" s="1130"/>
      <c r="N38" s="1130"/>
      <c r="O38" s="1130"/>
      <c r="P38" s="3255" t="s">
        <v>2513</v>
      </c>
      <c r="Q38" s="1808" t="str">
        <f t="shared" si="11"/>
        <v>物业管理</v>
      </c>
      <c r="R38" s="773" t="s">
        <v>21</v>
      </c>
      <c r="S38" s="774">
        <f t="shared" si="12"/>
        <v>100</v>
      </c>
      <c r="T38" s="773" t="s">
        <v>21</v>
      </c>
      <c r="U38" s="774">
        <f t="shared" si="13"/>
        <v>100</v>
      </c>
      <c r="V38" s="773" t="s">
        <v>21</v>
      </c>
      <c r="W38" s="774">
        <f t="shared" si="14"/>
        <v>100</v>
      </c>
      <c r="X38" s="1811"/>
      <c r="Y38" s="3239" t="s">
        <v>2513</v>
      </c>
      <c r="Z38" s="1812" t="str">
        <f t="shared" si="18"/>
        <v>物业管理</v>
      </c>
      <c r="AA38" s="1809">
        <f t="shared" si="15"/>
        <v>1</v>
      </c>
      <c r="AB38" s="1809">
        <f t="shared" si="16"/>
        <v>1</v>
      </c>
      <c r="AC38" s="1809">
        <f t="shared" si="17"/>
        <v>1</v>
      </c>
    </row>
    <row r="39" spans="1:29" ht="15">
      <c r="A39" s="471"/>
      <c r="B39" s="421" t="s">
        <v>2520</v>
      </c>
      <c r="C39" s="2608" t="s">
        <v>3096</v>
      </c>
      <c r="D39" s="434">
        <v>100</v>
      </c>
      <c r="E39" s="2608" t="s">
        <v>3096</v>
      </c>
      <c r="F39" s="460">
        <f>SUMIF(116:116,E39,117:117)-SUMIF(116:116,C39,117:117)+100</f>
        <v>100</v>
      </c>
      <c r="G39" s="2608" t="s">
        <v>3096</v>
      </c>
      <c r="H39" s="434">
        <f>SUMIF(116:116,G39,117:117)-SUMIF(116:116,C39,117:117)+100</f>
        <v>100</v>
      </c>
      <c r="I39" s="2608" t="s">
        <v>3096</v>
      </c>
      <c r="J39" s="434">
        <f>SUMIF(116:116,I39,117:117)-SUMIF(116:116,C39,117:117)+100</f>
        <v>100</v>
      </c>
      <c r="K39" s="425">
        <v>1</v>
      </c>
      <c r="L39" s="1139"/>
      <c r="M39" s="1130"/>
      <c r="N39" s="1130"/>
      <c r="O39" s="1130"/>
      <c r="P39" s="3255"/>
      <c r="Q39" s="1808" t="str">
        <f t="shared" si="11"/>
        <v>市政基础设施</v>
      </c>
      <c r="R39" s="773" t="s">
        <v>21</v>
      </c>
      <c r="S39" s="774">
        <f t="shared" si="12"/>
        <v>100</v>
      </c>
      <c r="T39" s="773" t="s">
        <v>21</v>
      </c>
      <c r="U39" s="774">
        <f t="shared" si="13"/>
        <v>100</v>
      </c>
      <c r="V39" s="773" t="s">
        <v>21</v>
      </c>
      <c r="W39" s="774">
        <f t="shared" si="14"/>
        <v>100</v>
      </c>
      <c r="X39" s="1811"/>
      <c r="Y39" s="3239"/>
      <c r="Z39" s="1812" t="str">
        <f t="shared" si="18"/>
        <v>市政基础设施</v>
      </c>
      <c r="AA39" s="1809">
        <f t="shared" si="15"/>
        <v>1</v>
      </c>
      <c r="AB39" s="1809">
        <f t="shared" si="16"/>
        <v>1</v>
      </c>
      <c r="AC39" s="1809">
        <f t="shared" si="17"/>
        <v>1</v>
      </c>
    </row>
    <row r="40" spans="1:29" ht="15">
      <c r="A40" s="471"/>
      <c r="B40" s="421" t="s">
        <v>2521</v>
      </c>
      <c r="C40" s="2608" t="s">
        <v>70</v>
      </c>
      <c r="D40" s="434">
        <v>100</v>
      </c>
      <c r="E40" s="2608" t="s">
        <v>70</v>
      </c>
      <c r="F40" s="460">
        <f>SUMIF(118:118,E40,119:119)-SUMIF(118:118,C40,119:119)+100</f>
        <v>100</v>
      </c>
      <c r="G40" s="2608" t="s">
        <v>70</v>
      </c>
      <c r="H40" s="434">
        <f>SUMIF(118:118,G40,119:119)-SUMIF(118:118,C40,119:119)+100</f>
        <v>100</v>
      </c>
      <c r="I40" s="2608" t="s">
        <v>70</v>
      </c>
      <c r="J40" s="434">
        <f>SUMIF(118:118,I40,119:119)-SUMIF(118:118,C40,119:119)+100</f>
        <v>100</v>
      </c>
      <c r="K40" s="425">
        <v>1</v>
      </c>
      <c r="L40" s="1139"/>
      <c r="M40" s="1130"/>
      <c r="N40" s="1130"/>
      <c r="O40" s="1130"/>
      <c r="P40" s="3255"/>
      <c r="Q40" s="1808" t="str">
        <f t="shared" si="11"/>
        <v>房型</v>
      </c>
      <c r="R40" s="773" t="s">
        <v>21</v>
      </c>
      <c r="S40" s="774">
        <f t="shared" si="12"/>
        <v>100</v>
      </c>
      <c r="T40" s="773" t="s">
        <v>21</v>
      </c>
      <c r="U40" s="774">
        <f t="shared" si="13"/>
        <v>100</v>
      </c>
      <c r="V40" s="773" t="s">
        <v>21</v>
      </c>
      <c r="W40" s="774">
        <f t="shared" si="14"/>
        <v>100</v>
      </c>
      <c r="X40" s="1811"/>
      <c r="Y40" s="3239"/>
      <c r="Z40" s="1812" t="str">
        <f t="shared" si="18"/>
        <v>房型</v>
      </c>
      <c r="AA40" s="1809">
        <f t="shared" si="15"/>
        <v>1</v>
      </c>
      <c r="AB40" s="1809">
        <f t="shared" si="16"/>
        <v>1</v>
      </c>
      <c r="AC40" s="1809">
        <f t="shared" si="17"/>
        <v>1</v>
      </c>
    </row>
    <row r="41" spans="1:29" s="470" customFormat="1" ht="28.5">
      <c r="A41" s="467"/>
      <c r="B41" s="421" t="s">
        <v>2522</v>
      </c>
      <c r="C41" s="468" t="s">
        <v>3326</v>
      </c>
      <c r="D41" s="135">
        <v>100</v>
      </c>
      <c r="E41" s="468" t="s">
        <v>3326</v>
      </c>
      <c r="F41" s="424">
        <f>SUMIF(120:120,E41,121:121)-SUMIF(120:120,C41,121:121)+100</f>
        <v>100</v>
      </c>
      <c r="G41" s="468" t="s">
        <v>3326</v>
      </c>
      <c r="H41" s="135">
        <f>SUMIF(120:120,G41,121:121)-SUMIF(120:120,C41,121:121)+100</f>
        <v>100</v>
      </c>
      <c r="I41" s="468" t="s">
        <v>3326</v>
      </c>
      <c r="J41" s="434">
        <f>SUMIF(120:120,I41,121:121)-SUMIF(120:120,C41,121:121)+100</f>
        <v>100</v>
      </c>
      <c r="K41" s="2596"/>
      <c r="L41" s="1137"/>
      <c r="M41" s="1140"/>
      <c r="N41" s="1140"/>
      <c r="O41" s="1140"/>
      <c r="P41" s="3255"/>
      <c r="Q41" s="775" t="str">
        <f t="shared" si="11"/>
        <v>单套/主力户型建筑面积</v>
      </c>
      <c r="R41" s="776" t="s">
        <v>21</v>
      </c>
      <c r="S41" s="777">
        <f t="shared" si="12"/>
        <v>100</v>
      </c>
      <c r="T41" s="776" t="s">
        <v>21</v>
      </c>
      <c r="U41" s="777">
        <f t="shared" si="13"/>
        <v>100</v>
      </c>
      <c r="V41" s="776" t="s">
        <v>21</v>
      </c>
      <c r="W41" s="777">
        <f t="shared" si="14"/>
        <v>100</v>
      </c>
      <c r="X41" s="778"/>
      <c r="Y41" s="3239"/>
      <c r="Z41" s="779" t="str">
        <f t="shared" si="18"/>
        <v>单套/主力户型建筑面积</v>
      </c>
      <c r="AA41" s="1809">
        <f t="shared" si="15"/>
        <v>1</v>
      </c>
      <c r="AB41" s="1809">
        <f t="shared" si="16"/>
        <v>1</v>
      </c>
      <c r="AC41" s="1809">
        <f t="shared" si="17"/>
        <v>1</v>
      </c>
    </row>
    <row r="42" spans="1:29" ht="15">
      <c r="A42" s="471"/>
      <c r="B42" s="421" t="s">
        <v>2523</v>
      </c>
      <c r="C42" s="2608" t="s">
        <v>3335</v>
      </c>
      <c r="D42" s="434">
        <v>100</v>
      </c>
      <c r="E42" s="2608" t="s">
        <v>3335</v>
      </c>
      <c r="F42" s="460">
        <f>SUMIF(122:122,E42,123:123)-SUMIF(122:122,C42,123:123)+100</f>
        <v>100</v>
      </c>
      <c r="G42" s="2608" t="s">
        <v>3331</v>
      </c>
      <c r="H42" s="434">
        <f>SUMIF(122:122,G42,123:123)-SUMIF(122:122,C42,123:123)+100</f>
        <v>103</v>
      </c>
      <c r="I42" s="2609" t="s">
        <v>3335</v>
      </c>
      <c r="J42" s="434">
        <f>SUMIF(122:122,I42,123:123)-SUMIF(122:122,C42,123:123)+100</f>
        <v>100</v>
      </c>
      <c r="K42" s="425">
        <v>1</v>
      </c>
      <c r="L42" s="1139"/>
      <c r="M42" s="1130"/>
      <c r="N42" s="1130"/>
      <c r="O42" s="1130"/>
      <c r="P42" s="3255"/>
      <c r="Q42" s="1808" t="str">
        <f t="shared" si="11"/>
        <v>内部装修</v>
      </c>
      <c r="R42" s="773" t="s">
        <v>21</v>
      </c>
      <c r="S42" s="774">
        <f t="shared" si="12"/>
        <v>100</v>
      </c>
      <c r="T42" s="773" t="s">
        <v>21</v>
      </c>
      <c r="U42" s="774">
        <f t="shared" si="13"/>
        <v>103</v>
      </c>
      <c r="V42" s="773" t="s">
        <v>21</v>
      </c>
      <c r="W42" s="774">
        <f t="shared" si="14"/>
        <v>100</v>
      </c>
      <c r="X42" s="1811"/>
      <c r="Y42" s="3239"/>
      <c r="Z42" s="1812" t="str">
        <f t="shared" si="18"/>
        <v>内部装修</v>
      </c>
      <c r="AA42" s="1809">
        <f t="shared" si="15"/>
        <v>1</v>
      </c>
      <c r="AB42" s="1809">
        <f t="shared" si="16"/>
        <v>0.970873786407767</v>
      </c>
      <c r="AC42" s="1809">
        <f t="shared" si="17"/>
        <v>1</v>
      </c>
    </row>
    <row r="43" spans="1:29" ht="15">
      <c r="A43" s="471"/>
      <c r="B43" s="421" t="s">
        <v>2524</v>
      </c>
      <c r="C43" s="2608" t="s">
        <v>3093</v>
      </c>
      <c r="D43" s="434">
        <v>100</v>
      </c>
      <c r="E43" s="2608" t="s">
        <v>3093</v>
      </c>
      <c r="F43" s="460">
        <f>SUMIF(124:124,E43,125:125)-SUMIF(124:124,C43,125:125)+100</f>
        <v>100</v>
      </c>
      <c r="G43" s="2608" t="s">
        <v>3093</v>
      </c>
      <c r="H43" s="434">
        <f>SUMIF(124:124,G43,125:125)-SUMIF(124:124,C43,125:125)+100</f>
        <v>100</v>
      </c>
      <c r="I43" s="2608" t="s">
        <v>3093</v>
      </c>
      <c r="J43" s="434">
        <f>SUMIF(124:124,I43,125:125)-SUMIF(124:124,C43,125:125)+100</f>
        <v>100</v>
      </c>
      <c r="K43" s="425">
        <v>1</v>
      </c>
      <c r="L43" s="1139"/>
      <c r="M43" s="1130"/>
      <c r="N43" s="1130"/>
      <c r="O43" s="1130"/>
      <c r="P43" s="3255"/>
      <c r="Q43" s="1808" t="str">
        <f t="shared" si="11"/>
        <v>内部装修维护情况</v>
      </c>
      <c r="R43" s="773" t="s">
        <v>21</v>
      </c>
      <c r="S43" s="774">
        <f t="shared" si="12"/>
        <v>100</v>
      </c>
      <c r="T43" s="773" t="s">
        <v>21</v>
      </c>
      <c r="U43" s="774">
        <f t="shared" si="13"/>
        <v>100</v>
      </c>
      <c r="V43" s="773" t="s">
        <v>21</v>
      </c>
      <c r="W43" s="774">
        <f t="shared" si="14"/>
        <v>100</v>
      </c>
      <c r="X43" s="1811"/>
      <c r="Y43" s="3239"/>
      <c r="Z43" s="1812" t="str">
        <f t="shared" si="18"/>
        <v>内部装修维护情况</v>
      </c>
      <c r="AA43" s="1809">
        <f t="shared" si="15"/>
        <v>1</v>
      </c>
      <c r="AB43" s="1809">
        <f t="shared" si="16"/>
        <v>1</v>
      </c>
      <c r="AC43" s="1809">
        <f t="shared" si="17"/>
        <v>1</v>
      </c>
    </row>
    <row r="44" spans="1:29" s="117" customFormat="1" ht="15">
      <c r="A44" s="472"/>
      <c r="B44" s="1385"/>
      <c r="C44" s="468"/>
      <c r="D44" s="135">
        <v>100</v>
      </c>
      <c r="E44" s="468"/>
      <c r="F44" s="424">
        <f>SUMIF(126:126,E44,127:127)-SUMIF(126:126,C44,127:127)+100</f>
        <v>100</v>
      </c>
      <c r="G44" s="468"/>
      <c r="H44" s="135">
        <f>SUMIF(126:126,G44,127:127)-SUMIF(126:126,C44,127:127)+100</f>
        <v>100</v>
      </c>
      <c r="I44" s="468"/>
      <c r="J44" s="135">
        <f>SUMIF(126:126,I44,127:127)-SUMIF(126:126,C44,127:127)+100</f>
        <v>100</v>
      </c>
      <c r="K44" s="2596"/>
      <c r="L44" s="1131"/>
      <c r="M44" s="1132"/>
      <c r="N44" s="1132"/>
      <c r="O44" s="1132"/>
      <c r="P44" s="3255"/>
      <c r="Q44" s="1793">
        <f t="shared" si="11"/>
        <v>0</v>
      </c>
      <c r="R44" s="769" t="s">
        <v>21</v>
      </c>
      <c r="S44" s="770">
        <f t="shared" si="12"/>
        <v>100</v>
      </c>
      <c r="T44" s="769" t="s">
        <v>21</v>
      </c>
      <c r="U44" s="770">
        <f t="shared" si="13"/>
        <v>100</v>
      </c>
      <c r="V44" s="769" t="s">
        <v>21</v>
      </c>
      <c r="W44" s="770">
        <f t="shared" si="14"/>
        <v>100</v>
      </c>
      <c r="X44" s="771"/>
      <c r="Y44" s="3239"/>
      <c r="Z44" s="55">
        <f t="shared" si="18"/>
        <v>0</v>
      </c>
      <c r="AA44" s="772">
        <f t="shared" si="15"/>
        <v>1</v>
      </c>
      <c r="AB44" s="772">
        <f t="shared" si="16"/>
        <v>1</v>
      </c>
      <c r="AC44" s="772">
        <f t="shared" si="17"/>
        <v>1</v>
      </c>
    </row>
    <row r="45" spans="1:29" ht="15">
      <c r="A45" s="471"/>
      <c r="B45" s="1385"/>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39"/>
      <c r="M45" s="1130"/>
      <c r="N45" s="1130"/>
      <c r="O45" s="1130"/>
      <c r="P45" s="3255"/>
      <c r="Q45" s="1808">
        <f t="shared" si="11"/>
        <v>0</v>
      </c>
      <c r="R45" s="773" t="s">
        <v>21</v>
      </c>
      <c r="S45" s="774">
        <f t="shared" si="12"/>
        <v>100</v>
      </c>
      <c r="T45" s="773" t="s">
        <v>21</v>
      </c>
      <c r="U45" s="774">
        <f t="shared" si="13"/>
        <v>100</v>
      </c>
      <c r="V45" s="773" t="s">
        <v>21</v>
      </c>
      <c r="W45" s="774">
        <f t="shared" si="14"/>
        <v>100</v>
      </c>
      <c r="X45" s="1811"/>
      <c r="Y45" s="3239"/>
      <c r="Z45" s="1812">
        <f t="shared" si="18"/>
        <v>0</v>
      </c>
      <c r="AA45" s="1809">
        <f t="shared" si="15"/>
        <v>1</v>
      </c>
      <c r="AB45" s="1809">
        <f t="shared" si="16"/>
        <v>1</v>
      </c>
      <c r="AC45" s="1809">
        <f t="shared" si="17"/>
        <v>1</v>
      </c>
    </row>
    <row r="46" spans="1:29" ht="15.75" thickBot="1">
      <c r="A46" s="477"/>
      <c r="B46" s="2597"/>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39"/>
      <c r="M46" s="1130"/>
      <c r="N46" s="1130"/>
      <c r="O46" s="1130"/>
      <c r="P46" s="3256"/>
      <c r="Q46" s="1808">
        <f t="shared" si="11"/>
        <v>0</v>
      </c>
      <c r="R46" s="773" t="s">
        <v>20</v>
      </c>
      <c r="S46" s="774">
        <f t="shared" si="12"/>
        <v>100</v>
      </c>
      <c r="T46" s="773" t="s">
        <v>20</v>
      </c>
      <c r="U46" s="774">
        <f t="shared" si="13"/>
        <v>100</v>
      </c>
      <c r="V46" s="773" t="s">
        <v>20</v>
      </c>
      <c r="W46" s="774">
        <f t="shared" si="14"/>
        <v>100</v>
      </c>
      <c r="X46" s="1811"/>
      <c r="Y46" s="3257"/>
      <c r="Z46" s="1812">
        <f t="shared" si="18"/>
        <v>0</v>
      </c>
      <c r="AA46" s="1809">
        <f t="shared" si="15"/>
        <v>1</v>
      </c>
      <c r="AB46" s="1809">
        <f t="shared" si="16"/>
        <v>1</v>
      </c>
      <c r="AC46" s="1809">
        <f t="shared" si="17"/>
        <v>1</v>
      </c>
    </row>
    <row r="47" spans="1:29" ht="15">
      <c r="A47" s="478" t="s">
        <v>2525</v>
      </c>
      <c r="B47" s="479"/>
      <c r="C47" s="1406" t="s">
        <v>19</v>
      </c>
      <c r="D47" s="1407"/>
      <c r="E47" s="1408">
        <v>17000</v>
      </c>
      <c r="F47" s="1409"/>
      <c r="G47" s="1410">
        <v>18000</v>
      </c>
      <c r="H47" s="1411"/>
      <c r="I47" s="1408">
        <v>19000</v>
      </c>
      <c r="J47" s="1411"/>
      <c r="K47" s="2615"/>
      <c r="L47" s="1142"/>
      <c r="M47" s="1143"/>
      <c r="N47" s="1130"/>
      <c r="O47" s="1143"/>
      <c r="P47" s="3221" t="str">
        <f>A47</f>
        <v>成交单价（元/平方米）</v>
      </c>
      <c r="Q47" s="3221"/>
      <c r="R47" s="3250">
        <f>E47</f>
        <v>17000</v>
      </c>
      <c r="S47" s="3250"/>
      <c r="T47" s="3250">
        <f>G47</f>
        <v>18000</v>
      </c>
      <c r="U47" s="3250"/>
      <c r="V47" s="3250">
        <f>I47</f>
        <v>19000</v>
      </c>
      <c r="W47" s="3250"/>
      <c r="X47" s="758"/>
      <c r="Y47" s="780"/>
      <c r="Z47" s="758"/>
      <c r="AA47" s="758"/>
      <c r="AB47" s="758"/>
      <c r="AC47" s="758"/>
    </row>
    <row r="48" spans="1:29" ht="15.75" thickBot="1">
      <c r="A48" s="485" t="s">
        <v>2526</v>
      </c>
      <c r="B48" s="486"/>
      <c r="C48" s="1412">
        <f>R49</f>
        <v>20315</v>
      </c>
      <c r="D48" s="1413"/>
      <c r="E48" s="1414">
        <f>R48</f>
        <v>18633</v>
      </c>
      <c r="F48" s="1414"/>
      <c r="G48" s="1412">
        <f>T48</f>
        <v>20370</v>
      </c>
      <c r="H48" s="1413"/>
      <c r="I48" s="1414">
        <f>V48</f>
        <v>21943</v>
      </c>
      <c r="J48" s="1413"/>
      <c r="K48" s="2616"/>
      <c r="L48" s="1142"/>
      <c r="M48" s="1143"/>
      <c r="N48" s="1143"/>
      <c r="O48" s="1143"/>
      <c r="P48" s="3221" t="str">
        <f>A48</f>
        <v>比较价值（元/平方米）</v>
      </c>
      <c r="Q48" s="3221"/>
      <c r="R48" s="3250">
        <f>IF(F1="售价",ROUND(PRODUCT(R47,AA7:AA46),0),ROUND(PRODUCT(R47,AA7:AA46),1))</f>
        <v>18633</v>
      </c>
      <c r="S48" s="3250"/>
      <c r="T48" s="3250">
        <f>IF(F1="售价",ROUND(PRODUCT(T47,AB7:AB46),0),ROUND(PRODUCT(T47,AB7:AB46),1))</f>
        <v>20370</v>
      </c>
      <c r="U48" s="3250"/>
      <c r="V48" s="3250">
        <f>IF(F1="售价",ROUND(PRODUCT(V47,AC7:AC46),0),ROUND(PRODUCT(V47,AC7:AC46),1))</f>
        <v>21943</v>
      </c>
      <c r="W48" s="3250"/>
      <c r="X48" s="758"/>
      <c r="Y48" s="758"/>
      <c r="Z48" s="758"/>
      <c r="AA48" s="758"/>
      <c r="AB48" s="758"/>
      <c r="AC48" s="758"/>
    </row>
    <row r="49" spans="1:29" ht="15.75" thickBot="1">
      <c r="A49" s="491" t="s">
        <v>3089</v>
      </c>
      <c r="B49" s="492"/>
      <c r="C49" s="1415">
        <f>R49</f>
        <v>20315</v>
      </c>
      <c r="D49" s="1416"/>
      <c r="E49" s="1416"/>
      <c r="F49" s="1416"/>
      <c r="G49" s="1416"/>
      <c r="H49" s="1416"/>
      <c r="I49" s="1416"/>
      <c r="J49" s="1416"/>
      <c r="K49" s="2617"/>
      <c r="L49" s="1142"/>
      <c r="M49" s="1143"/>
      <c r="N49" s="1143"/>
      <c r="O49" s="1143"/>
      <c r="P49" s="3241" t="str">
        <f>A49</f>
        <v>估价对象住宅用房的比较价值（楼面单价，元/平方米）</v>
      </c>
      <c r="Q49" s="3242"/>
      <c r="R49" s="3251">
        <f>IF(F1="售价",ROUND(AVERAGE(R48:V48),0),ROUND(AVERAGE(R48:V48),1))</f>
        <v>20315</v>
      </c>
      <c r="S49" s="3251"/>
      <c r="T49" s="3251"/>
      <c r="U49" s="3251"/>
      <c r="V49" s="3251"/>
      <c r="W49" s="325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2527</v>
      </c>
      <c r="D52" s="497"/>
      <c r="E52" s="498">
        <f>IF(E47&lt;E48,E48/E47-1,E47/E48-1)</f>
        <v>9.6058823529411752E-2</v>
      </c>
      <c r="F52" s="499" t="str">
        <f>IF(OR(E52&gt;=0.3,E52&lt;=-0.3),"超过30%","")</f>
        <v/>
      </c>
      <c r="G52" s="498">
        <f>IF(G47&lt;G48,G48/G47-1,G47/G48-1)</f>
        <v>0.1316666666666666</v>
      </c>
      <c r="H52" s="499" t="str">
        <f>IF(OR(G52&gt;=0.3,G52&lt;=-0.3),"超过30%","")</f>
        <v/>
      </c>
      <c r="I52" s="498">
        <f>IF(I47&lt;I48,I48/I47-1,I47/I48-1)</f>
        <v>0.1548947368421052</v>
      </c>
      <c r="J52" s="499" t="str">
        <f>IF(OR(I52&gt;=0.3,I52&lt;=-0.3),"超过30%","")</f>
        <v/>
      </c>
      <c r="K52" s="1104"/>
      <c r="L52" s="1105"/>
      <c r="M52" s="1143"/>
      <c r="N52" s="1143"/>
      <c r="O52" s="1143"/>
    </row>
    <row r="53" spans="1:29" ht="13.5" customHeight="1">
      <c r="A53" s="1143"/>
      <c r="B53" s="1143"/>
      <c r="C53" s="496" t="s">
        <v>2528</v>
      </c>
      <c r="D53" s="500"/>
      <c r="E53" s="498">
        <f>IF(E48&lt;G48,G48/E48-1,E48/G48-1)</f>
        <v>9.3221703429399394E-2</v>
      </c>
      <c r="F53" s="499" t="str">
        <f>IF(OR(E53&gt;=0.2,E53&lt;=-0.2),"超过20%","")</f>
        <v/>
      </c>
      <c r="G53" s="498">
        <f>IF(G48&lt;I48,I48/G48-1,G48/I48-1)</f>
        <v>7.7221404025527685E-2</v>
      </c>
      <c r="H53" s="499" t="str">
        <f>IF(OR(G53&gt;=0.2,G53&lt;=-0.2),"超过20%","")</f>
        <v/>
      </c>
      <c r="I53" s="498">
        <f>IF(I48&lt;E48,E48/I48-1,I48/E48-1)</f>
        <v>0.17764181827939685</v>
      </c>
      <c r="J53" s="499" t="str">
        <f>IF(OR(I53&gt;=0.2,I53&lt;=-0.2),"超过20%","")</f>
        <v/>
      </c>
      <c r="K53" s="1104"/>
      <c r="L53" s="1105"/>
      <c r="M53" s="1143"/>
      <c r="N53" s="1143"/>
      <c r="O53" s="1143"/>
    </row>
    <row r="54" spans="1:29" s="501" customFormat="1" ht="13.5" customHeight="1">
      <c r="A54" s="1144"/>
      <c r="B54" s="1144"/>
      <c r="C54" s="496" t="s">
        <v>2529</v>
      </c>
      <c r="D54" s="500"/>
      <c r="E54" s="498">
        <f>IF(E47&lt;G47,G47/E47-1,E47/G47-1)</f>
        <v>5.8823529411764719E-2</v>
      </c>
      <c r="F54" s="499" t="str">
        <f>IF(OR(E54&gt;=0.3,E54&lt;=-0.3),"超过30%","")</f>
        <v/>
      </c>
      <c r="G54" s="498">
        <f>IF(G47&lt;I47,I47/G47-1,G47/I47-1)</f>
        <v>5.555555555555558E-2</v>
      </c>
      <c r="H54" s="499" t="str">
        <f>IF(OR(G54&gt;=0.3,G54&lt;=-0.3),"超过30%","")</f>
        <v/>
      </c>
      <c r="I54" s="498">
        <f>IF(I47&lt;E47,E47/I47-1,I47/E47-1)</f>
        <v>0.11764705882352944</v>
      </c>
      <c r="J54" s="499" t="str">
        <f>IF(OR(I54&gt;=0.3,I54&lt;=-0.3),"超过30%","")</f>
        <v/>
      </c>
      <c r="K54" s="1147"/>
      <c r="L54" s="1148"/>
      <c r="M54" s="1144"/>
      <c r="N54" s="1144"/>
      <c r="O54" s="1144"/>
      <c r="P54" s="2619"/>
    </row>
    <row r="55" spans="1:29" s="501" customFormat="1">
      <c r="A55" s="1144"/>
      <c r="B55" s="1145"/>
      <c r="C55" s="1149"/>
      <c r="D55" s="1144"/>
      <c r="E55" s="1144"/>
      <c r="F55" s="1144"/>
      <c r="G55" s="1144"/>
      <c r="H55" s="1144"/>
      <c r="I55" s="1144"/>
      <c r="J55" s="1144"/>
      <c r="K55" s="1147"/>
      <c r="L55" s="1148"/>
      <c r="M55" s="1144"/>
      <c r="N55" s="1144"/>
      <c r="O55" s="1144"/>
      <c r="P55" s="2619"/>
    </row>
    <row r="56" spans="1:29">
      <c r="A56" s="1143"/>
      <c r="B56" s="1145"/>
      <c r="C56" s="1149"/>
      <c r="D56" s="1143"/>
      <c r="E56" s="1143"/>
      <c r="F56" s="1143"/>
      <c r="G56" s="1143"/>
      <c r="H56" s="1143"/>
      <c r="I56" s="1143"/>
      <c r="J56" s="1143"/>
      <c r="K56" s="1104"/>
      <c r="L56" s="1105"/>
      <c r="M56" s="1143"/>
      <c r="N56" s="1143"/>
      <c r="O56" s="1143"/>
    </row>
    <row r="57" spans="1:29" ht="21.75" thickBot="1">
      <c r="A57" s="762" t="s">
        <v>2530</v>
      </c>
      <c r="B57" s="758"/>
      <c r="C57" s="763"/>
      <c r="D57" s="763"/>
      <c r="E57" s="763"/>
      <c r="F57" s="764"/>
      <c r="G57" s="764"/>
      <c r="H57" s="763"/>
      <c r="I57" s="763"/>
      <c r="J57" s="763"/>
      <c r="K57" s="1159"/>
      <c r="L57" s="1160"/>
      <c r="M57" s="1158"/>
      <c r="N57" s="1158"/>
      <c r="O57" s="1158"/>
      <c r="P57" s="2620"/>
      <c r="Q57" s="503"/>
    </row>
    <row r="58" spans="1:29" s="507" customFormat="1" ht="15">
      <c r="A58" s="504" t="s">
        <v>2531</v>
      </c>
      <c r="B58" s="505"/>
      <c r="C58" s="1574" t="str">
        <f>YEAR(C7)&amp;"-"&amp;MONTH(C7)</f>
        <v>2018-12</v>
      </c>
      <c r="D58" s="1573">
        <f>EDATE(C58,-1)</f>
        <v>43405</v>
      </c>
      <c r="E58" s="1573">
        <f>EDATE(D58,-1)</f>
        <v>43374</v>
      </c>
      <c r="F58" s="1573">
        <f t="shared" ref="F58:O58" si="19">EDATE(E58,-1)</f>
        <v>43344</v>
      </c>
      <c r="G58" s="1573">
        <f t="shared" si="19"/>
        <v>43313</v>
      </c>
      <c r="H58" s="1573">
        <f t="shared" si="19"/>
        <v>43282</v>
      </c>
      <c r="I58" s="1573">
        <f t="shared" si="19"/>
        <v>43252</v>
      </c>
      <c r="J58" s="1573">
        <f t="shared" si="19"/>
        <v>43221</v>
      </c>
      <c r="K58" s="1573">
        <f t="shared" si="19"/>
        <v>43191</v>
      </c>
      <c r="L58" s="1573">
        <f t="shared" si="19"/>
        <v>43160</v>
      </c>
      <c r="M58" s="1573">
        <f t="shared" si="19"/>
        <v>43132</v>
      </c>
      <c r="N58" s="1573">
        <f t="shared" si="19"/>
        <v>43101</v>
      </c>
      <c r="O58" s="1573">
        <f t="shared" si="19"/>
        <v>43070</v>
      </c>
      <c r="P58" s="1568"/>
    </row>
    <row r="59" spans="1:29" s="117" customFormat="1" ht="15">
      <c r="A59" s="508"/>
      <c r="B59" s="2621"/>
      <c r="C59" s="1571">
        <v>100</v>
      </c>
      <c r="D59" s="510">
        <v>99.5</v>
      </c>
      <c r="E59" s="511">
        <v>99</v>
      </c>
      <c r="F59" s="510">
        <v>98.5</v>
      </c>
      <c r="G59" s="511">
        <v>98</v>
      </c>
      <c r="H59" s="510">
        <v>97.5</v>
      </c>
      <c r="I59" s="511">
        <v>97</v>
      </c>
      <c r="J59" s="510">
        <v>96.5</v>
      </c>
      <c r="K59" s="511">
        <v>96</v>
      </c>
      <c r="L59" s="510">
        <v>95.5</v>
      </c>
      <c r="M59" s="511">
        <v>95</v>
      </c>
      <c r="N59" s="510">
        <v>94.5</v>
      </c>
      <c r="O59" s="511">
        <v>94</v>
      </c>
      <c r="P59" s="2622"/>
    </row>
    <row r="60" spans="1:29" s="117" customFormat="1" ht="15.75" thickBot="1">
      <c r="A60" s="514" t="s">
        <v>2532</v>
      </c>
      <c r="B60" s="515"/>
      <c r="C60" s="516"/>
      <c r="D60" s="517"/>
      <c r="E60" s="517"/>
      <c r="F60" s="517"/>
      <c r="G60" s="517"/>
      <c r="H60" s="517"/>
      <c r="I60" s="517"/>
      <c r="J60" s="517"/>
      <c r="K60" s="517"/>
      <c r="L60" s="517"/>
      <c r="M60" s="518"/>
      <c r="N60" s="517"/>
      <c r="O60" s="518"/>
      <c r="P60" s="2622"/>
      <c r="Q60" s="503"/>
    </row>
    <row r="61" spans="1:29" s="117" customFormat="1" ht="15">
      <c r="A61" s="520" t="s">
        <v>2533</v>
      </c>
      <c r="B61" s="509"/>
      <c r="C61" s="521" t="s">
        <v>2534</v>
      </c>
      <c r="D61" s="522"/>
      <c r="E61" s="522"/>
      <c r="F61" s="522"/>
      <c r="G61" s="522"/>
      <c r="H61" s="522"/>
      <c r="I61" s="522"/>
      <c r="J61" s="522"/>
      <c r="K61" s="522"/>
      <c r="L61" s="523"/>
      <c r="M61" s="524"/>
      <c r="N61" s="1150"/>
      <c r="O61" s="1150"/>
      <c r="P61" s="2623"/>
      <c r="Q61" s="503"/>
    </row>
    <row r="62" spans="1:29" s="117" customFormat="1" ht="15.75" thickBot="1">
      <c r="A62" s="520"/>
      <c r="B62" s="509"/>
      <c r="C62" s="510">
        <v>100</v>
      </c>
      <c r="D62" s="511"/>
      <c r="E62" s="511"/>
      <c r="F62" s="511"/>
      <c r="G62" s="511"/>
      <c r="H62" s="511"/>
      <c r="I62" s="511"/>
      <c r="J62" s="511"/>
      <c r="K62" s="511"/>
      <c r="L62" s="511"/>
      <c r="M62" s="513"/>
      <c r="N62" s="1150"/>
      <c r="O62" s="1150"/>
      <c r="P62" s="2622"/>
      <c r="Q62" s="503"/>
    </row>
    <row r="63" spans="1:29">
      <c r="A63" s="526" t="s">
        <v>2535</v>
      </c>
      <c r="B63" s="527" t="s">
        <v>2502</v>
      </c>
      <c r="C63" s="528" t="str">
        <f>C9</f>
        <v>住宅</v>
      </c>
      <c r="D63" s="529"/>
      <c r="E63" s="529"/>
      <c r="F63" s="529"/>
      <c r="G63" s="529"/>
      <c r="H63" s="529"/>
      <c r="I63" s="529"/>
      <c r="J63" s="529"/>
      <c r="K63" s="530"/>
      <c r="L63" s="531"/>
      <c r="M63" s="532"/>
      <c r="N63" s="1151"/>
      <c r="O63" s="1151"/>
      <c r="P63" s="2624"/>
      <c r="Q63" s="503"/>
    </row>
    <row r="64" spans="1:29" ht="15.75" thickBot="1">
      <c r="A64" s="533"/>
      <c r="B64" s="534"/>
      <c r="C64" s="535">
        <v>100</v>
      </c>
      <c r="D64" s="535"/>
      <c r="E64" s="535"/>
      <c r="F64" s="535"/>
      <c r="G64" s="535"/>
      <c r="H64" s="535"/>
      <c r="I64" s="535"/>
      <c r="J64" s="535"/>
      <c r="K64" s="535"/>
      <c r="L64" s="535"/>
      <c r="M64" s="536"/>
      <c r="N64" s="1152"/>
      <c r="O64" s="1152"/>
      <c r="P64" s="2624"/>
      <c r="Q64" s="503"/>
    </row>
    <row r="65" spans="1:17" ht="27.75" thickTop="1">
      <c r="A65" s="533"/>
      <c r="B65" s="537" t="s">
        <v>2505</v>
      </c>
      <c r="C65" s="538" t="s">
        <v>2536</v>
      </c>
      <c r="D65" s="538" t="s">
        <v>2537</v>
      </c>
      <c r="E65" s="538" t="s">
        <v>2538</v>
      </c>
      <c r="F65" s="538" t="s">
        <v>2539</v>
      </c>
      <c r="G65" s="538" t="s">
        <v>2540</v>
      </c>
      <c r="H65" s="538" t="s">
        <v>2541</v>
      </c>
      <c r="I65" s="538" t="s">
        <v>2542</v>
      </c>
      <c r="J65" s="538"/>
      <c r="K65" s="539"/>
      <c r="L65" s="540"/>
      <c r="M65" s="541"/>
      <c r="N65" s="1151"/>
      <c r="O65" s="1151"/>
      <c r="P65" s="2624"/>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2"/>
      <c r="O66" s="1152"/>
      <c r="P66" s="2624"/>
      <c r="Q66" s="503"/>
    </row>
    <row r="67" spans="1:17" ht="15.75" thickTop="1">
      <c r="A67" s="533"/>
      <c r="B67" s="545" t="s">
        <v>2506</v>
      </c>
      <c r="C67" s="546" t="str">
        <f>C68&amp;"（含）"&amp;"-"&amp;D68</f>
        <v>0（含）-0.5</v>
      </c>
      <c r="D67" s="546" t="str">
        <f t="shared" ref="D67:L67" si="21">D68&amp;"（含）"&amp;"-"&amp;E68</f>
        <v>0.5（含）-1</v>
      </c>
      <c r="E67" s="546" t="str">
        <f t="shared" si="21"/>
        <v>1（含）-1.5</v>
      </c>
      <c r="F67" s="546" t="str">
        <f t="shared" si="21"/>
        <v>1.5（含）-2</v>
      </c>
      <c r="G67" s="546" t="str">
        <f t="shared" si="21"/>
        <v>2（含）-2.5</v>
      </c>
      <c r="H67" s="546" t="str">
        <f t="shared" si="21"/>
        <v>2.5（含）-3</v>
      </c>
      <c r="I67" s="546" t="str">
        <f t="shared" si="21"/>
        <v>3（含）-3.5</v>
      </c>
      <c r="J67" s="546" t="str">
        <f t="shared" si="21"/>
        <v>3.5（含）-4</v>
      </c>
      <c r="K67" s="546" t="str">
        <f>K68&amp;"（含）"&amp;"-"&amp;L68</f>
        <v>4（含）-4.5</v>
      </c>
      <c r="L67" s="546" t="str">
        <f t="shared" si="21"/>
        <v>4.5（含）-5</v>
      </c>
      <c r="M67" s="447" t="str">
        <f>M68&amp;"（含）"&amp;"-"&amp;P68</f>
        <v>5（含）-</v>
      </c>
      <c r="N67" s="1152"/>
      <c r="O67" s="1152"/>
      <c r="P67" s="2624"/>
      <c r="Q67" s="503"/>
    </row>
    <row r="68" spans="1:17" ht="15">
      <c r="A68" s="533"/>
      <c r="B68" s="547"/>
      <c r="C68" s="548">
        <v>0</v>
      </c>
      <c r="D68" s="548">
        <v>0.5</v>
      </c>
      <c r="E68" s="548">
        <v>1</v>
      </c>
      <c r="F68" s="548">
        <v>1.5</v>
      </c>
      <c r="G68" s="548">
        <v>2</v>
      </c>
      <c r="H68" s="548">
        <v>2.5</v>
      </c>
      <c r="I68" s="548">
        <v>3</v>
      </c>
      <c r="J68" s="548">
        <v>3.5</v>
      </c>
      <c r="K68" s="548">
        <v>4</v>
      </c>
      <c r="L68" s="548">
        <v>4.5</v>
      </c>
      <c r="M68" s="548">
        <v>5</v>
      </c>
      <c r="N68" s="1151"/>
      <c r="O68" s="1151"/>
      <c r="P68" s="2624"/>
      <c r="Q68" s="503"/>
    </row>
    <row r="69" spans="1:17" ht="15.75" thickBot="1">
      <c r="A69" s="533"/>
      <c r="B69" s="534"/>
      <c r="C69" s="543">
        <v>100</v>
      </c>
      <c r="D69" s="543">
        <f t="shared" ref="D69:M69" si="22">C69-$K11</f>
        <v>97</v>
      </c>
      <c r="E69" s="543">
        <f t="shared" si="22"/>
        <v>94</v>
      </c>
      <c r="F69" s="543">
        <f t="shared" si="22"/>
        <v>91</v>
      </c>
      <c r="G69" s="543">
        <f t="shared" si="22"/>
        <v>88</v>
      </c>
      <c r="H69" s="543">
        <f t="shared" si="22"/>
        <v>85</v>
      </c>
      <c r="I69" s="543">
        <f t="shared" si="22"/>
        <v>82</v>
      </c>
      <c r="J69" s="543">
        <f t="shared" si="22"/>
        <v>79</v>
      </c>
      <c r="K69" s="543">
        <f t="shared" si="22"/>
        <v>76</v>
      </c>
      <c r="L69" s="543">
        <f t="shared" si="22"/>
        <v>73</v>
      </c>
      <c r="M69" s="544">
        <f t="shared" si="22"/>
        <v>70</v>
      </c>
      <c r="N69" s="1152"/>
      <c r="O69" s="1152"/>
      <c r="P69" s="2624"/>
      <c r="Q69" s="503"/>
    </row>
    <row r="70" spans="1:17" s="470" customFormat="1" ht="15.75" thickTop="1">
      <c r="A70" s="552"/>
      <c r="B70" s="537">
        <f>B12</f>
        <v>0</v>
      </c>
      <c r="C70" s="553"/>
      <c r="D70" s="553"/>
      <c r="E70" s="553"/>
      <c r="F70" s="553"/>
      <c r="G70" s="553"/>
      <c r="H70" s="554"/>
      <c r="I70" s="554"/>
      <c r="J70" s="554"/>
      <c r="K70" s="554"/>
      <c r="L70" s="555"/>
      <c r="M70" s="556"/>
      <c r="N70" s="1153"/>
      <c r="O70" s="1153"/>
      <c r="P70" s="2625"/>
      <c r="Q70" s="558"/>
    </row>
    <row r="71" spans="1:17" s="470" customFormat="1" ht="15.75" thickBot="1">
      <c r="A71" s="552"/>
      <c r="B71" s="542"/>
      <c r="C71" s="559"/>
      <c r="D71" s="535"/>
      <c r="E71" s="535"/>
      <c r="F71" s="535"/>
      <c r="G71" s="535"/>
      <c r="H71" s="535"/>
      <c r="I71" s="535"/>
      <c r="J71" s="535"/>
      <c r="K71" s="535"/>
      <c r="L71" s="535"/>
      <c r="M71" s="536"/>
      <c r="N71" s="1152"/>
      <c r="O71" s="1152"/>
      <c r="P71" s="2625"/>
      <c r="Q71" s="558"/>
    </row>
    <row r="72" spans="1:17" s="470" customFormat="1" ht="15.75" thickTop="1">
      <c r="A72" s="552"/>
      <c r="B72" s="537">
        <f>B13</f>
        <v>0</v>
      </c>
      <c r="C72" s="553"/>
      <c r="D72" s="553"/>
      <c r="E72" s="553"/>
      <c r="F72" s="553"/>
      <c r="G72" s="553"/>
      <c r="H72" s="554"/>
      <c r="I72" s="554"/>
      <c r="J72" s="554"/>
      <c r="K72" s="554"/>
      <c r="L72" s="555"/>
      <c r="M72" s="556"/>
      <c r="N72" s="1153"/>
      <c r="O72" s="1153"/>
      <c r="P72" s="2626"/>
      <c r="Q72" s="560"/>
    </row>
    <row r="73" spans="1:17" s="470" customFormat="1" ht="15.75" thickBot="1">
      <c r="A73" s="552"/>
      <c r="B73" s="542"/>
      <c r="C73" s="559"/>
      <c r="D73" s="559"/>
      <c r="E73" s="559"/>
      <c r="F73" s="559"/>
      <c r="G73" s="559"/>
      <c r="H73" s="561"/>
      <c r="I73" s="561"/>
      <c r="J73" s="561"/>
      <c r="K73" s="561"/>
      <c r="L73" s="561"/>
      <c r="M73" s="562"/>
      <c r="N73" s="1153"/>
      <c r="O73" s="1153"/>
      <c r="P73" s="2625"/>
      <c r="Q73" s="558"/>
    </row>
    <row r="74" spans="1:17" s="470" customFormat="1" ht="15.75" thickTop="1">
      <c r="A74" s="552"/>
      <c r="B74" s="545">
        <f>B14</f>
        <v>0</v>
      </c>
      <c r="C74" s="553"/>
      <c r="D74" s="553"/>
      <c r="E74" s="553"/>
      <c r="F74" s="553"/>
      <c r="G74" s="522"/>
      <c r="H74" s="563"/>
      <c r="I74" s="563"/>
      <c r="J74" s="563"/>
      <c r="K74" s="563"/>
      <c r="L74" s="564"/>
      <c r="M74" s="565"/>
      <c r="N74" s="1153"/>
      <c r="O74" s="1153"/>
      <c r="P74" s="2627"/>
      <c r="Q74" s="558"/>
    </row>
    <row r="75" spans="1:17" s="470" customFormat="1" ht="15.75" thickBot="1">
      <c r="A75" s="567"/>
      <c r="B75" s="568"/>
      <c r="C75" s="569"/>
      <c r="D75" s="569"/>
      <c r="E75" s="569"/>
      <c r="F75" s="569"/>
      <c r="G75" s="569"/>
      <c r="H75" s="570"/>
      <c r="I75" s="570"/>
      <c r="J75" s="570"/>
      <c r="K75" s="570"/>
      <c r="L75" s="570"/>
      <c r="M75" s="571"/>
      <c r="N75" s="1153"/>
      <c r="O75" s="1153"/>
      <c r="P75" s="2625"/>
      <c r="Q75" s="558"/>
    </row>
    <row r="76" spans="1:17">
      <c r="A76" s="526" t="s">
        <v>2507</v>
      </c>
      <c r="B76" s="527" t="s">
        <v>2543</v>
      </c>
      <c r="C76" s="572" t="s">
        <v>2544</v>
      </c>
      <c r="D76" s="572" t="s">
        <v>2545</v>
      </c>
      <c r="E76" s="572" t="s">
        <v>2546</v>
      </c>
      <c r="F76" s="572" t="s">
        <v>2547</v>
      </c>
      <c r="G76" s="572" t="s">
        <v>2548</v>
      </c>
      <c r="H76" s="528"/>
      <c r="I76" s="528"/>
      <c r="J76" s="528"/>
      <c r="K76" s="573"/>
      <c r="L76" s="574"/>
      <c r="M76" s="575"/>
      <c r="N76" s="1151"/>
      <c r="O76" s="1151"/>
      <c r="P76" s="2628"/>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2"/>
      <c r="O77" s="1152"/>
      <c r="P77" s="2624"/>
      <c r="Q77" s="503"/>
    </row>
    <row r="78" spans="1:17" ht="15.75" thickTop="1">
      <c r="A78" s="533"/>
      <c r="B78" s="537" t="s">
        <v>2549</v>
      </c>
      <c r="C78" s="577" t="s">
        <v>2544</v>
      </c>
      <c r="D78" s="577" t="s">
        <v>2545</v>
      </c>
      <c r="E78" s="577" t="s">
        <v>2546</v>
      </c>
      <c r="F78" s="577" t="s">
        <v>2547</v>
      </c>
      <c r="G78" s="577" t="s">
        <v>2548</v>
      </c>
      <c r="H78" s="538"/>
      <c r="I78" s="538"/>
      <c r="J78" s="538"/>
      <c r="K78" s="539"/>
      <c r="L78" s="540"/>
      <c r="M78" s="541"/>
      <c r="N78" s="1151"/>
      <c r="O78" s="1151"/>
      <c r="P78" s="2624"/>
      <c r="Q78" s="503"/>
    </row>
    <row r="79" spans="1:17" ht="15.75" thickBot="1">
      <c r="A79" s="533"/>
      <c r="B79" s="542"/>
      <c r="C79" s="543">
        <v>100</v>
      </c>
      <c r="D79" s="543">
        <f>C79-$K17</f>
        <v>99</v>
      </c>
      <c r="E79" s="543">
        <f>D79-$K17</f>
        <v>98</v>
      </c>
      <c r="F79" s="543">
        <f>E79-$K17</f>
        <v>97</v>
      </c>
      <c r="G79" s="543">
        <f>F79-$K17</f>
        <v>96</v>
      </c>
      <c r="H79" s="543"/>
      <c r="I79" s="543"/>
      <c r="J79" s="543"/>
      <c r="K79" s="543"/>
      <c r="L79" s="543"/>
      <c r="M79" s="544"/>
      <c r="N79" s="1152"/>
      <c r="O79" s="1152"/>
      <c r="P79" s="2624"/>
      <c r="Q79" s="503"/>
    </row>
    <row r="80" spans="1:17" ht="15.75" thickTop="1">
      <c r="A80" s="533"/>
      <c r="B80" s="537" t="s">
        <v>2550</v>
      </c>
      <c r="C80" s="577" t="s">
        <v>2544</v>
      </c>
      <c r="D80" s="577" t="s">
        <v>2545</v>
      </c>
      <c r="E80" s="577" t="s">
        <v>2546</v>
      </c>
      <c r="F80" s="577" t="s">
        <v>2547</v>
      </c>
      <c r="G80" s="577" t="s">
        <v>2548</v>
      </c>
      <c r="H80" s="538"/>
      <c r="I80" s="538"/>
      <c r="J80" s="538"/>
      <c r="K80" s="539"/>
      <c r="L80" s="540"/>
      <c r="M80" s="541"/>
      <c r="N80" s="1151"/>
      <c r="O80" s="1151"/>
      <c r="P80" s="2624"/>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2"/>
      <c r="O81" s="1152"/>
      <c r="P81" s="2624"/>
      <c r="Q81" s="503"/>
    </row>
    <row r="82" spans="1:17" ht="15.75" thickTop="1">
      <c r="A82" s="533"/>
      <c r="B82" s="545" t="s">
        <v>2050</v>
      </c>
      <c r="C82" s="538" t="s">
        <v>2551</v>
      </c>
      <c r="D82" s="538" t="s">
        <v>2552</v>
      </c>
      <c r="E82" s="538" t="s">
        <v>2553</v>
      </c>
      <c r="F82" s="538" t="s">
        <v>2554</v>
      </c>
      <c r="G82" s="538" t="s">
        <v>2555</v>
      </c>
      <c r="H82" s="538"/>
      <c r="I82" s="538"/>
      <c r="J82" s="538"/>
      <c r="K82" s="538"/>
      <c r="L82" s="538"/>
      <c r="M82" s="1381"/>
      <c r="N82" s="1152"/>
      <c r="O82" s="1152"/>
      <c r="P82" s="2624"/>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24"/>
      <c r="Q83" s="503"/>
    </row>
    <row r="84" spans="1:17" ht="15.75" thickTop="1">
      <c r="A84" s="533"/>
      <c r="B84" s="537" t="s">
        <v>2556</v>
      </c>
      <c r="C84" s="577" t="s">
        <v>2544</v>
      </c>
      <c r="D84" s="577" t="s">
        <v>2545</v>
      </c>
      <c r="E84" s="577" t="s">
        <v>2546</v>
      </c>
      <c r="F84" s="577" t="s">
        <v>2547</v>
      </c>
      <c r="G84" s="577" t="s">
        <v>2548</v>
      </c>
      <c r="H84" s="538"/>
      <c r="I84" s="538"/>
      <c r="J84" s="538"/>
      <c r="K84" s="539"/>
      <c r="L84" s="540"/>
      <c r="M84" s="541"/>
      <c r="N84" s="1151"/>
      <c r="O84" s="1151"/>
      <c r="P84" s="2624"/>
      <c r="Q84" s="503"/>
    </row>
    <row r="85" spans="1:17" ht="15.75" thickBot="1">
      <c r="A85" s="533"/>
      <c r="B85" s="542"/>
      <c r="C85" s="543">
        <v>100</v>
      </c>
      <c r="D85" s="543">
        <f>C85-$K23</f>
        <v>95</v>
      </c>
      <c r="E85" s="543">
        <f>D85-$K23</f>
        <v>90</v>
      </c>
      <c r="F85" s="543">
        <f>E85-$K23</f>
        <v>85</v>
      </c>
      <c r="G85" s="543">
        <f>F85-$K23</f>
        <v>80</v>
      </c>
      <c r="H85" s="543"/>
      <c r="I85" s="543"/>
      <c r="J85" s="543"/>
      <c r="K85" s="543"/>
      <c r="L85" s="543"/>
      <c r="M85" s="544"/>
      <c r="N85" s="1152"/>
      <c r="O85" s="1152"/>
      <c r="P85" s="2624"/>
      <c r="Q85" s="503"/>
    </row>
    <row r="86" spans="1:17" s="117" customFormat="1" ht="15.75" thickTop="1">
      <c r="A86" s="578"/>
      <c r="B86" s="537" t="s">
        <v>2557</v>
      </c>
      <c r="C86" s="553" t="s">
        <v>3326</v>
      </c>
      <c r="D86" s="553"/>
      <c r="E86" s="553"/>
      <c r="F86" s="553"/>
      <c r="G86" s="553"/>
      <c r="H86" s="553"/>
      <c r="I86" s="553"/>
      <c r="J86" s="553"/>
      <c r="K86" s="553"/>
      <c r="L86" s="579"/>
      <c r="M86" s="580"/>
      <c r="N86" s="1150"/>
      <c r="O86" s="1150"/>
      <c r="P86" s="2624"/>
      <c r="Q86" s="503"/>
    </row>
    <row r="87" spans="1:17" s="117" customFormat="1" ht="15.75" thickBot="1">
      <c r="A87" s="578"/>
      <c r="B87" s="542"/>
      <c r="C87" s="581">
        <v>100</v>
      </c>
      <c r="D87" s="543" t="e">
        <f t="shared" ref="D87:M87" si="24">$C$87-($C$86-D86)*$K$25</f>
        <v>#VALUE!</v>
      </c>
      <c r="E87" s="543" t="e">
        <f t="shared" si="24"/>
        <v>#VALUE!</v>
      </c>
      <c r="F87" s="543" t="e">
        <f t="shared" si="24"/>
        <v>#VALUE!</v>
      </c>
      <c r="G87" s="543" t="e">
        <f t="shared" si="24"/>
        <v>#VALUE!</v>
      </c>
      <c r="H87" s="543" t="e">
        <f t="shared" si="24"/>
        <v>#VALUE!</v>
      </c>
      <c r="I87" s="543" t="e">
        <f t="shared" si="24"/>
        <v>#VALUE!</v>
      </c>
      <c r="J87" s="543" t="e">
        <f t="shared" si="24"/>
        <v>#VALUE!</v>
      </c>
      <c r="K87" s="543" t="e">
        <f t="shared" si="24"/>
        <v>#VALUE!</v>
      </c>
      <c r="L87" s="543" t="e">
        <f t="shared" si="24"/>
        <v>#VALUE!</v>
      </c>
      <c r="M87" s="543" t="e">
        <f t="shared" si="24"/>
        <v>#VALUE!</v>
      </c>
      <c r="N87" s="1152"/>
      <c r="O87" s="1152"/>
      <c r="P87" s="2624"/>
      <c r="Q87" s="503"/>
    </row>
    <row r="88" spans="1:17" s="117" customFormat="1" ht="15.75" thickTop="1">
      <c r="A88" s="578"/>
      <c r="B88" s="537" t="s">
        <v>2558</v>
      </c>
      <c r="C88" s="553" t="s">
        <v>3326</v>
      </c>
      <c r="D88" s="553"/>
      <c r="E88" s="553"/>
      <c r="F88" s="2629"/>
      <c r="G88" s="553"/>
      <c r="H88" s="553"/>
      <c r="I88" s="553"/>
      <c r="J88" s="553"/>
      <c r="K88" s="553"/>
      <c r="L88" s="553"/>
      <c r="M88" s="580"/>
      <c r="N88" s="1150"/>
      <c r="O88" s="1150"/>
      <c r="P88" s="2624"/>
      <c r="Q88" s="503"/>
    </row>
    <row r="89" spans="1:17" s="117" customFormat="1" ht="15.75" thickBot="1">
      <c r="A89" s="578"/>
      <c r="B89" s="542"/>
      <c r="C89" s="581">
        <v>100</v>
      </c>
      <c r="D89" s="543">
        <f t="shared" ref="D89:M89" si="25">C89-$K26</f>
        <v>99</v>
      </c>
      <c r="E89" s="543">
        <f t="shared" si="25"/>
        <v>98</v>
      </c>
      <c r="F89" s="543">
        <f t="shared" si="25"/>
        <v>97</v>
      </c>
      <c r="G89" s="543">
        <f t="shared" si="25"/>
        <v>96</v>
      </c>
      <c r="H89" s="543">
        <f t="shared" si="25"/>
        <v>95</v>
      </c>
      <c r="I89" s="543">
        <f t="shared" si="25"/>
        <v>94</v>
      </c>
      <c r="J89" s="543">
        <f t="shared" si="25"/>
        <v>93</v>
      </c>
      <c r="K89" s="543">
        <f t="shared" si="25"/>
        <v>92</v>
      </c>
      <c r="L89" s="543">
        <f t="shared" si="25"/>
        <v>91</v>
      </c>
      <c r="M89" s="543">
        <f t="shared" si="25"/>
        <v>90</v>
      </c>
      <c r="N89" s="1152"/>
      <c r="O89" s="1152"/>
      <c r="P89" s="2624"/>
      <c r="Q89" s="503"/>
    </row>
    <row r="90" spans="1:17" s="470" customFormat="1" ht="15.75" thickTop="1">
      <c r="A90" s="552"/>
      <c r="B90" s="537">
        <f>B27</f>
        <v>0</v>
      </c>
      <c r="C90" s="553"/>
      <c r="D90" s="553"/>
      <c r="E90" s="553"/>
      <c r="F90" s="553"/>
      <c r="G90" s="553"/>
      <c r="H90" s="554"/>
      <c r="I90" s="554"/>
      <c r="J90" s="554"/>
      <c r="K90" s="554"/>
      <c r="L90" s="555"/>
      <c r="M90" s="556"/>
      <c r="N90" s="1153"/>
      <c r="O90" s="1153"/>
      <c r="P90" s="2625"/>
      <c r="Q90" s="558"/>
    </row>
    <row r="91" spans="1:17" s="470" customFormat="1" ht="15.75" thickBot="1">
      <c r="A91" s="552"/>
      <c r="B91" s="542"/>
      <c r="C91" s="559"/>
      <c r="D91" s="559"/>
      <c r="E91" s="559"/>
      <c r="F91" s="559"/>
      <c r="G91" s="559"/>
      <c r="H91" s="561"/>
      <c r="I91" s="561"/>
      <c r="J91" s="561"/>
      <c r="K91" s="561"/>
      <c r="L91" s="561"/>
      <c r="M91" s="562"/>
      <c r="N91" s="1153"/>
      <c r="O91" s="1153"/>
      <c r="P91" s="2625"/>
      <c r="Q91" s="558"/>
    </row>
    <row r="92" spans="1:17" ht="15.75" thickTop="1">
      <c r="A92" s="533"/>
      <c r="B92" s="537">
        <f>B28</f>
        <v>0</v>
      </c>
      <c r="C92" s="553"/>
      <c r="D92" s="553"/>
      <c r="E92" s="553"/>
      <c r="F92" s="553"/>
      <c r="G92" s="582"/>
      <c r="H92" s="582"/>
      <c r="I92" s="582"/>
      <c r="J92" s="582"/>
      <c r="K92" s="583"/>
      <c r="L92" s="584"/>
      <c r="M92" s="585"/>
      <c r="N92" s="1151"/>
      <c r="O92" s="1151"/>
      <c r="P92" s="2624"/>
      <c r="Q92" s="503"/>
    </row>
    <row r="93" spans="1:17" ht="15.75" thickBot="1">
      <c r="A93" s="533"/>
      <c r="B93" s="542"/>
      <c r="C93" s="559"/>
      <c r="D93" s="535"/>
      <c r="E93" s="535"/>
      <c r="F93" s="535"/>
      <c r="G93" s="535"/>
      <c r="H93" s="535"/>
      <c r="I93" s="535"/>
      <c r="J93" s="535"/>
      <c r="K93" s="535"/>
      <c r="L93" s="535"/>
      <c r="M93" s="536"/>
      <c r="N93" s="1152"/>
      <c r="O93" s="1152"/>
      <c r="P93" s="2624"/>
      <c r="Q93" s="503"/>
    </row>
    <row r="94" spans="1:17" ht="15.75" thickTop="1">
      <c r="A94" s="533"/>
      <c r="B94" s="537">
        <f>B29</f>
        <v>0</v>
      </c>
      <c r="C94" s="553"/>
      <c r="D94" s="553"/>
      <c r="E94" s="553"/>
      <c r="F94" s="553"/>
      <c r="G94" s="582"/>
      <c r="H94" s="582"/>
      <c r="I94" s="582"/>
      <c r="J94" s="582"/>
      <c r="K94" s="583"/>
      <c r="L94" s="584"/>
      <c r="M94" s="585"/>
      <c r="N94" s="1151"/>
      <c r="O94" s="1151"/>
      <c r="P94" s="2624"/>
      <c r="Q94" s="503"/>
    </row>
    <row r="95" spans="1:17" ht="15.75" thickBot="1">
      <c r="A95" s="533"/>
      <c r="B95" s="542"/>
      <c r="C95" s="559"/>
      <c r="D95" s="559"/>
      <c r="E95" s="559"/>
      <c r="F95" s="559"/>
      <c r="G95" s="535"/>
      <c r="H95" s="535"/>
      <c r="I95" s="535"/>
      <c r="J95" s="535"/>
      <c r="K95" s="535"/>
      <c r="L95" s="535"/>
      <c r="M95" s="536"/>
      <c r="N95" s="1152"/>
      <c r="O95" s="1152"/>
      <c r="P95" s="2624"/>
      <c r="Q95" s="503"/>
    </row>
    <row r="96" spans="1:17" ht="15.75" thickTop="1">
      <c r="A96" s="533"/>
      <c r="B96" s="537">
        <f>B30</f>
        <v>0</v>
      </c>
      <c r="C96" s="553"/>
      <c r="D96" s="553"/>
      <c r="E96" s="553"/>
      <c r="F96" s="553"/>
      <c r="G96" s="582"/>
      <c r="H96" s="582"/>
      <c r="I96" s="582"/>
      <c r="J96" s="582"/>
      <c r="K96" s="583"/>
      <c r="L96" s="584"/>
      <c r="M96" s="585"/>
      <c r="N96" s="1151"/>
      <c r="O96" s="1151"/>
      <c r="P96" s="2624"/>
      <c r="Q96" s="503"/>
    </row>
    <row r="97" spans="1:17" ht="15.75" thickBot="1">
      <c r="A97" s="533"/>
      <c r="B97" s="542"/>
      <c r="C97" s="569"/>
      <c r="D97" s="569"/>
      <c r="E97" s="569"/>
      <c r="F97" s="569"/>
      <c r="G97" s="535"/>
      <c r="H97" s="535"/>
      <c r="I97" s="535"/>
      <c r="J97" s="535"/>
      <c r="K97" s="535"/>
      <c r="L97" s="535"/>
      <c r="M97" s="536"/>
      <c r="N97" s="1152"/>
      <c r="O97" s="1152"/>
      <c r="P97" s="2624"/>
      <c r="Q97" s="503"/>
    </row>
    <row r="98" spans="1:17" ht="15.75" thickTop="1">
      <c r="A98" s="533"/>
      <c r="B98" s="545">
        <f>B31</f>
        <v>0</v>
      </c>
      <c r="C98" s="586"/>
      <c r="D98" s="586"/>
      <c r="E98" s="586"/>
      <c r="F98" s="586"/>
      <c r="G98" s="586"/>
      <c r="H98" s="586"/>
      <c r="I98" s="586"/>
      <c r="J98" s="586"/>
      <c r="K98" s="587"/>
      <c r="L98" s="588"/>
      <c r="M98" s="589"/>
      <c r="N98" s="1151"/>
      <c r="O98" s="1151"/>
      <c r="P98" s="2624"/>
      <c r="Q98" s="503"/>
    </row>
    <row r="99" spans="1:17" ht="15.75" thickBot="1">
      <c r="A99" s="2630"/>
      <c r="B99" s="568"/>
      <c r="C99" s="590"/>
      <c r="D99" s="590"/>
      <c r="E99" s="590"/>
      <c r="F99" s="590"/>
      <c r="G99" s="590"/>
      <c r="H99" s="590"/>
      <c r="I99" s="590"/>
      <c r="J99" s="590"/>
      <c r="K99" s="590"/>
      <c r="L99" s="590"/>
      <c r="M99" s="591"/>
      <c r="N99" s="1152"/>
      <c r="O99" s="1152"/>
      <c r="P99" s="2624"/>
      <c r="Q99" s="503"/>
    </row>
    <row r="100" spans="1:17">
      <c r="A100" s="526" t="s">
        <v>2511</v>
      </c>
      <c r="B100" s="527" t="s">
        <v>2559</v>
      </c>
      <c r="C100" s="2987" t="s">
        <v>3353</v>
      </c>
      <c r="D100" s="2987" t="s">
        <v>3354</v>
      </c>
      <c r="E100" s="2987" t="s">
        <v>3342</v>
      </c>
      <c r="F100" s="529"/>
      <c r="G100" s="529"/>
      <c r="H100" s="529"/>
      <c r="I100" s="529"/>
      <c r="J100" s="529"/>
      <c r="K100" s="530"/>
      <c r="L100" s="531"/>
      <c r="M100" s="532"/>
      <c r="N100" s="1151"/>
      <c r="O100" s="1151"/>
      <c r="P100" s="2624"/>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2"/>
      <c r="O101" s="1152"/>
      <c r="P101" s="2624"/>
      <c r="Q101" s="503"/>
    </row>
    <row r="102" spans="1:17" ht="29.25" thickTop="1">
      <c r="A102" s="533"/>
      <c r="B102" s="537" t="s">
        <v>2560</v>
      </c>
      <c r="C102" s="577" t="str">
        <f>C103&amp;"(含)"&amp;"-"&amp;D103</f>
        <v>0(含)-100000</v>
      </c>
      <c r="D102" s="577" t="str">
        <f t="shared" ref="D102:L102" si="27">D103&amp;"(含)"&amp;"-"&amp;E103</f>
        <v>100000(含)-200000</v>
      </c>
      <c r="E102" s="577" t="str">
        <f t="shared" si="27"/>
        <v>200000(含)-300000</v>
      </c>
      <c r="F102" s="577" t="str">
        <f t="shared" si="27"/>
        <v>300000(含)-400000</v>
      </c>
      <c r="G102" s="577" t="str">
        <f t="shared" si="27"/>
        <v>400000(含)-500000</v>
      </c>
      <c r="H102" s="577" t="str">
        <f t="shared" si="27"/>
        <v>500000(含)-</v>
      </c>
      <c r="I102" s="577" t="str">
        <f t="shared" si="27"/>
        <v>(含)-</v>
      </c>
      <c r="J102" s="577" t="str">
        <f t="shared" si="27"/>
        <v>(含)-</v>
      </c>
      <c r="K102" s="577" t="str">
        <f>K103&amp;"(含)"&amp;"-"&amp;L103</f>
        <v>(含)-</v>
      </c>
      <c r="L102" s="577" t="str">
        <f t="shared" si="27"/>
        <v>(含)-</v>
      </c>
      <c r="M102" s="577" t="str">
        <f>M103&amp;"(含)"&amp;"-"&amp;P103</f>
        <v>(含)-</v>
      </c>
      <c r="N102" s="1150"/>
      <c r="O102" s="1150"/>
      <c r="P102" s="2624"/>
      <c r="Q102" s="503"/>
    </row>
    <row r="103" spans="1:17" s="470" customFormat="1">
      <c r="A103" s="592"/>
      <c r="B103" s="593"/>
      <c r="C103" s="594">
        <v>0</v>
      </c>
      <c r="D103" s="594">
        <v>100000</v>
      </c>
      <c r="E103" s="594">
        <v>200000</v>
      </c>
      <c r="F103" s="594">
        <v>300000</v>
      </c>
      <c r="G103" s="594">
        <v>400000</v>
      </c>
      <c r="H103" s="594">
        <v>500000</v>
      </c>
      <c r="I103" s="594"/>
      <c r="J103" s="595"/>
      <c r="K103" s="595"/>
      <c r="L103" s="596"/>
      <c r="M103" s="597"/>
      <c r="N103" s="1153"/>
      <c r="O103" s="1153"/>
      <c r="P103" s="2625"/>
      <c r="Q103" s="558"/>
    </row>
    <row r="104" spans="1:17" s="470" customFormat="1" ht="15.75" thickBot="1">
      <c r="A104" s="552"/>
      <c r="B104" s="542"/>
      <c r="C104" s="559">
        <v>100</v>
      </c>
      <c r="D104" s="535">
        <v>101</v>
      </c>
      <c r="E104" s="535">
        <v>102</v>
      </c>
      <c r="F104" s="535">
        <v>103</v>
      </c>
      <c r="G104" s="535">
        <v>104</v>
      </c>
      <c r="H104" s="535">
        <v>105</v>
      </c>
      <c r="I104" s="535"/>
      <c r="J104" s="535"/>
      <c r="K104" s="535"/>
      <c r="L104" s="535"/>
      <c r="M104" s="535"/>
      <c r="N104" s="1152"/>
      <c r="O104" s="1152"/>
      <c r="P104" s="2625"/>
      <c r="Q104" s="558"/>
    </row>
    <row r="105" spans="1:17" ht="15" thickTop="1">
      <c r="A105" s="598"/>
      <c r="B105" s="537" t="s">
        <v>2561</v>
      </c>
      <c r="C105" s="2988" t="s">
        <v>3328</v>
      </c>
      <c r="D105" s="553"/>
      <c r="E105" s="582"/>
      <c r="F105" s="582"/>
      <c r="G105" s="582"/>
      <c r="H105" s="582"/>
      <c r="I105" s="582"/>
      <c r="J105" s="582"/>
      <c r="K105" s="583"/>
      <c r="L105" s="584"/>
      <c r="M105" s="585"/>
      <c r="N105" s="1151"/>
      <c r="O105" s="1151"/>
      <c r="P105" s="2624"/>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52"/>
      <c r="O106" s="1152"/>
      <c r="P106" s="2624"/>
      <c r="Q106" s="503"/>
    </row>
    <row r="107" spans="1:17" ht="15" thickTop="1">
      <c r="A107" s="598"/>
      <c r="B107" s="537" t="s">
        <v>2562</v>
      </c>
      <c r="C107" s="2989" t="s">
        <v>3330</v>
      </c>
      <c r="D107" s="2989" t="s">
        <v>3350</v>
      </c>
      <c r="E107" s="582"/>
      <c r="F107" s="582"/>
      <c r="G107" s="582"/>
      <c r="H107" s="582"/>
      <c r="I107" s="582"/>
      <c r="J107" s="582"/>
      <c r="K107" s="583"/>
      <c r="L107" s="584"/>
      <c r="M107" s="585"/>
      <c r="N107" s="1151"/>
      <c r="O107" s="1151"/>
      <c r="P107" s="2624"/>
      <c r="Q107" s="503"/>
    </row>
    <row r="108" spans="1:17" ht="15.75"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2"/>
      <c r="O108" s="1152"/>
      <c r="P108" s="2624"/>
      <c r="Q108" s="503"/>
    </row>
    <row r="109" spans="1:17" ht="15" thickTop="1">
      <c r="A109" s="598"/>
      <c r="B109" s="537" t="s">
        <v>2563</v>
      </c>
      <c r="C109" s="2988" t="s">
        <v>3332</v>
      </c>
      <c r="D109" s="553"/>
      <c r="E109" s="553"/>
      <c r="F109" s="582"/>
      <c r="G109" s="582"/>
      <c r="H109" s="582"/>
      <c r="I109" s="582"/>
      <c r="J109" s="582"/>
      <c r="K109" s="583"/>
      <c r="L109" s="584"/>
      <c r="M109" s="585"/>
      <c r="N109" s="1151"/>
      <c r="O109" s="1151"/>
      <c r="P109" s="2624"/>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52"/>
      <c r="O110" s="1152"/>
      <c r="P110" s="2624"/>
      <c r="Q110" s="503"/>
    </row>
    <row r="111" spans="1:17" s="470" customFormat="1" ht="15" thickTop="1">
      <c r="A111" s="592"/>
      <c r="B111" s="537" t="s">
        <v>1953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5"/>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25"/>
      <c r="Q113" s="558"/>
    </row>
    <row r="114" spans="1:17" ht="15" thickTop="1">
      <c r="A114" s="598"/>
      <c r="B114" s="537" t="s">
        <v>2564</v>
      </c>
      <c r="C114" s="2988" t="s">
        <v>3334</v>
      </c>
      <c r="D114" s="553"/>
      <c r="E114" s="582"/>
      <c r="F114" s="582"/>
      <c r="G114" s="582"/>
      <c r="H114" s="582"/>
      <c r="I114" s="582"/>
      <c r="J114" s="582"/>
      <c r="K114" s="583"/>
      <c r="L114" s="584"/>
      <c r="M114" s="585"/>
      <c r="N114" s="1151"/>
      <c r="O114" s="1151"/>
      <c r="P114" s="2624"/>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52"/>
      <c r="O115" s="1152"/>
      <c r="P115" s="2624"/>
      <c r="Q115" s="503"/>
    </row>
    <row r="116" spans="1:17" ht="15" thickTop="1">
      <c r="A116" s="598"/>
      <c r="B116" s="537" t="s">
        <v>2565</v>
      </c>
      <c r="C116" s="553" t="s">
        <v>3107</v>
      </c>
      <c r="D116" s="553" t="s">
        <v>3096</v>
      </c>
      <c r="E116" s="553" t="s">
        <v>3108</v>
      </c>
      <c r="F116" s="553" t="s">
        <v>3109</v>
      </c>
      <c r="G116" s="553" t="s">
        <v>3110</v>
      </c>
      <c r="H116" s="582"/>
      <c r="I116" s="582"/>
      <c r="J116" s="582"/>
      <c r="K116" s="583"/>
      <c r="L116" s="584"/>
      <c r="M116" s="585"/>
      <c r="N116" s="1151"/>
      <c r="O116" s="1151"/>
      <c r="P116" s="2624"/>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24"/>
      <c r="Q117" s="503"/>
    </row>
    <row r="118" spans="1:17" ht="15" thickTop="1">
      <c r="A118" s="598"/>
      <c r="B118" s="537" t="s">
        <v>2566</v>
      </c>
      <c r="C118" s="582" t="s">
        <v>3326</v>
      </c>
      <c r="D118" s="582"/>
      <c r="E118" s="582"/>
      <c r="F118" s="582"/>
      <c r="G118" s="582"/>
      <c r="H118" s="582"/>
      <c r="I118" s="582"/>
      <c r="J118" s="582"/>
      <c r="K118" s="583"/>
      <c r="L118" s="584"/>
      <c r="M118" s="585"/>
      <c r="N118" s="1151"/>
      <c r="O118" s="1151"/>
      <c r="P118" s="2624"/>
      <c r="Q118" s="503"/>
    </row>
    <row r="119" spans="1:17" ht="15.75" thickBot="1">
      <c r="A119" s="533"/>
      <c r="B119" s="542"/>
      <c r="C119" s="543">
        <v>100</v>
      </c>
      <c r="D119" s="543">
        <f t="shared" ref="D119:M119" si="32">C119-$K40</f>
        <v>99</v>
      </c>
      <c r="E119" s="543">
        <f t="shared" si="32"/>
        <v>98</v>
      </c>
      <c r="F119" s="543">
        <f t="shared" si="32"/>
        <v>97</v>
      </c>
      <c r="G119" s="543">
        <f t="shared" si="32"/>
        <v>96</v>
      </c>
      <c r="H119" s="543">
        <f t="shared" si="32"/>
        <v>95</v>
      </c>
      <c r="I119" s="543">
        <f t="shared" si="32"/>
        <v>94</v>
      </c>
      <c r="J119" s="543">
        <f t="shared" si="32"/>
        <v>93</v>
      </c>
      <c r="K119" s="543">
        <f t="shared" si="32"/>
        <v>92</v>
      </c>
      <c r="L119" s="543">
        <f t="shared" si="32"/>
        <v>91</v>
      </c>
      <c r="M119" s="543">
        <f t="shared" si="32"/>
        <v>90</v>
      </c>
      <c r="N119" s="1152"/>
      <c r="O119" s="1152"/>
      <c r="P119" s="2624"/>
      <c r="Q119" s="503"/>
    </row>
    <row r="120" spans="1:17" s="470" customFormat="1" ht="28.5" thickTop="1">
      <c r="A120" s="592"/>
      <c r="B120" s="537" t="s">
        <v>2522</v>
      </c>
      <c r="C120" s="553" t="s">
        <v>3326</v>
      </c>
      <c r="D120" s="553"/>
      <c r="E120" s="553"/>
      <c r="F120" s="553"/>
      <c r="G120" s="553"/>
      <c r="H120" s="553"/>
      <c r="I120" s="553"/>
      <c r="J120" s="553"/>
      <c r="K120" s="553"/>
      <c r="L120" s="579"/>
      <c r="M120" s="580"/>
      <c r="N120" s="1153"/>
      <c r="O120" s="1153"/>
      <c r="P120" s="2625"/>
      <c r="Q120" s="558"/>
    </row>
    <row r="121" spans="1:17" s="470" customFormat="1" ht="15.75" thickBot="1">
      <c r="A121" s="552"/>
      <c r="B121" s="534"/>
      <c r="C121" s="559">
        <v>100</v>
      </c>
      <c r="D121" s="535"/>
      <c r="E121" s="535"/>
      <c r="F121" s="535"/>
      <c r="G121" s="535"/>
      <c r="H121" s="535"/>
      <c r="I121" s="535"/>
      <c r="J121" s="535"/>
      <c r="K121" s="535"/>
      <c r="L121" s="535"/>
      <c r="M121" s="535"/>
      <c r="N121" s="1153"/>
      <c r="O121" s="1153"/>
      <c r="P121" s="2625"/>
      <c r="Q121" s="558"/>
    </row>
    <row r="122" spans="1:17" ht="15" thickTop="1">
      <c r="A122" s="598"/>
      <c r="B122" s="537" t="s">
        <v>2567</v>
      </c>
      <c r="C122" s="2988" t="s">
        <v>3332</v>
      </c>
      <c r="D122" s="2988" t="s">
        <v>3337</v>
      </c>
      <c r="E122" s="2988" t="s">
        <v>3338</v>
      </c>
      <c r="F122" s="2989" t="s">
        <v>3336</v>
      </c>
      <c r="G122" s="582"/>
      <c r="H122" s="582"/>
      <c r="I122" s="582"/>
      <c r="J122" s="582"/>
      <c r="K122" s="583"/>
      <c r="L122" s="584"/>
      <c r="M122" s="585"/>
      <c r="N122" s="1151"/>
      <c r="O122" s="1151"/>
      <c r="P122" s="2624"/>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2"/>
      <c r="O123" s="1152"/>
      <c r="P123" s="2624"/>
      <c r="Q123" s="503"/>
    </row>
    <row r="124" spans="1:17" ht="15" thickTop="1">
      <c r="A124" s="598"/>
      <c r="B124" s="537" t="s">
        <v>2568</v>
      </c>
      <c r="C124" s="577" t="s">
        <v>2544</v>
      </c>
      <c r="D124" s="577" t="s">
        <v>2545</v>
      </c>
      <c r="E124" s="577" t="s">
        <v>2546</v>
      </c>
      <c r="F124" s="577" t="s">
        <v>2547</v>
      </c>
      <c r="G124" s="577" t="s">
        <v>2548</v>
      </c>
      <c r="H124" s="538"/>
      <c r="I124" s="538"/>
      <c r="J124" s="538"/>
      <c r="K124" s="539"/>
      <c r="L124" s="540"/>
      <c r="M124" s="541"/>
      <c r="N124" s="1151"/>
      <c r="O124" s="1151"/>
      <c r="P124" s="2625"/>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24"/>
      <c r="Q125" s="503"/>
    </row>
    <row r="126" spans="1:17" s="470" customFormat="1" ht="15" thickTop="1">
      <c r="A126" s="592"/>
      <c r="B126" s="537">
        <f>B44</f>
        <v>0</v>
      </c>
      <c r="C126" s="553"/>
      <c r="D126" s="553"/>
      <c r="E126" s="553"/>
      <c r="F126" s="553"/>
      <c r="G126" s="553"/>
      <c r="H126" s="554"/>
      <c r="I126" s="554"/>
      <c r="J126" s="554"/>
      <c r="K126" s="554"/>
      <c r="L126" s="555"/>
      <c r="M126" s="556"/>
      <c r="N126" s="1153"/>
      <c r="O126" s="1153"/>
      <c r="P126" s="2625"/>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5"/>
      <c r="Q127" s="558"/>
    </row>
    <row r="128" spans="1:17" ht="15" thickTop="1">
      <c r="A128" s="598"/>
      <c r="B128" s="537">
        <f>B45</f>
        <v>0</v>
      </c>
      <c r="C128" s="553"/>
      <c r="D128" s="553"/>
      <c r="E128" s="553"/>
      <c r="F128" s="553"/>
      <c r="G128" s="582"/>
      <c r="H128" s="582"/>
      <c r="I128" s="582"/>
      <c r="J128" s="582"/>
      <c r="K128" s="583"/>
      <c r="L128" s="584"/>
      <c r="M128" s="585"/>
      <c r="N128" s="1151"/>
      <c r="O128" s="1151"/>
      <c r="P128" s="2624"/>
      <c r="Q128" s="503"/>
    </row>
    <row r="129" spans="1:17" ht="15.75" thickBot="1">
      <c r="A129" s="533"/>
      <c r="B129" s="542"/>
      <c r="C129" s="559"/>
      <c r="D129" s="559"/>
      <c r="E129" s="559"/>
      <c r="F129" s="559"/>
      <c r="G129" s="535"/>
      <c r="H129" s="535"/>
      <c r="I129" s="535"/>
      <c r="J129" s="535"/>
      <c r="K129" s="535"/>
      <c r="L129" s="535"/>
      <c r="M129" s="536"/>
      <c r="N129" s="1152"/>
      <c r="O129" s="1152"/>
      <c r="P129" s="2624"/>
      <c r="Q129" s="503"/>
    </row>
    <row r="130" spans="1:17" ht="15" thickTop="1">
      <c r="A130" s="598"/>
      <c r="B130" s="545">
        <f>B46</f>
        <v>0</v>
      </c>
      <c r="C130" s="553"/>
      <c r="D130" s="553"/>
      <c r="E130" s="553"/>
      <c r="F130" s="553"/>
      <c r="G130" s="586"/>
      <c r="H130" s="586"/>
      <c r="I130" s="586"/>
      <c r="J130" s="586"/>
      <c r="K130" s="522"/>
      <c r="L130" s="523"/>
      <c r="M130" s="589"/>
      <c r="N130" s="1151"/>
      <c r="O130" s="1151"/>
      <c r="P130" s="2624"/>
      <c r="Q130" s="503"/>
    </row>
    <row r="131" spans="1:17" ht="15.75" thickBot="1">
      <c r="A131" s="2630"/>
      <c r="B131" s="568"/>
      <c r="C131" s="569"/>
      <c r="D131" s="569"/>
      <c r="E131" s="569"/>
      <c r="F131" s="569"/>
      <c r="G131" s="590"/>
      <c r="H131" s="590"/>
      <c r="I131" s="590"/>
      <c r="J131" s="590"/>
      <c r="K131" s="590"/>
      <c r="L131" s="590"/>
      <c r="M131" s="591"/>
      <c r="N131" s="1152"/>
      <c r="O131" s="1152"/>
      <c r="P131" s="2624"/>
      <c r="Q131" s="503"/>
    </row>
    <row r="136" spans="1:17" ht="15" thickBot="1">
      <c r="B136" s="2631" t="s">
        <v>2569</v>
      </c>
    </row>
    <row r="137" spans="1:17" ht="15">
      <c r="B137" s="2632" t="s">
        <v>2570</v>
      </c>
      <c r="C137" s="2633"/>
      <c r="D137" s="2633"/>
      <c r="E137" s="2633"/>
      <c r="F137" s="2633"/>
      <c r="G137" s="2634"/>
      <c r="H137" s="2635"/>
      <c r="I137" s="2636" t="s">
        <v>2571</v>
      </c>
      <c r="J137" s="2633"/>
      <c r="K137" s="2637"/>
    </row>
    <row r="138" spans="1:17" ht="15">
      <c r="B138" s="2638"/>
      <c r="C138" s="145" t="s">
        <v>2572</v>
      </c>
      <c r="D138" s="145" t="s">
        <v>2573</v>
      </c>
      <c r="E138" s="2639" t="s">
        <v>2574</v>
      </c>
      <c r="F138" s="2640" t="s">
        <v>2575</v>
      </c>
      <c r="G138" s="145" t="s">
        <v>2573</v>
      </c>
      <c r="H138" s="146" t="s">
        <v>2574</v>
      </c>
      <c r="I138" s="2641"/>
      <c r="J138" s="145" t="s">
        <v>2576</v>
      </c>
      <c r="K138" s="146" t="s">
        <v>2577</v>
      </c>
    </row>
    <row r="139" spans="1:17" ht="15">
      <c r="B139" s="1083">
        <v>6</v>
      </c>
      <c r="C139" s="1084">
        <v>96</v>
      </c>
      <c r="D139" s="2642" t="s">
        <v>2578</v>
      </c>
      <c r="E139" s="1085">
        <v>100</v>
      </c>
      <c r="F139" s="1086">
        <v>102.5</v>
      </c>
      <c r="G139" s="2642" t="s">
        <v>2578</v>
      </c>
      <c r="H139" s="1087">
        <v>105</v>
      </c>
      <c r="I139" s="2643" t="s">
        <v>2579</v>
      </c>
      <c r="J139" s="1084">
        <v>20</v>
      </c>
      <c r="K139" s="1088">
        <f>C145/(J139-2)</f>
        <v>4.0555555555555553E-3</v>
      </c>
    </row>
    <row r="140" spans="1:17" ht="15">
      <c r="B140" s="1089">
        <v>5</v>
      </c>
      <c r="C140" s="1090">
        <v>100</v>
      </c>
      <c r="D140" s="1090"/>
      <c r="E140" s="1091"/>
      <c r="F140" s="1092">
        <v>102</v>
      </c>
      <c r="G140" s="1090"/>
      <c r="H140" s="1093"/>
      <c r="I140" s="2644" t="s">
        <v>2580</v>
      </c>
      <c r="J140" s="314">
        <f>ROUNDUP((J139-1)/2,0)</f>
        <v>10</v>
      </c>
      <c r="K140" s="1094">
        <v>100</v>
      </c>
    </row>
    <row r="141" spans="1:17" ht="15">
      <c r="B141" s="1089">
        <v>4</v>
      </c>
      <c r="C141" s="1090">
        <v>102</v>
      </c>
      <c r="D141" s="1090"/>
      <c r="E141" s="1091"/>
      <c r="F141" s="1092">
        <v>101.5</v>
      </c>
      <c r="G141" s="1090"/>
      <c r="H141" s="1093"/>
      <c r="I141" s="2644" t="s">
        <v>2581</v>
      </c>
      <c r="J141" s="314">
        <v>1</v>
      </c>
      <c r="K141" s="1095">
        <f>ROUND(100+(J141-J140)*K139*100,1)</f>
        <v>96.4</v>
      </c>
    </row>
    <row r="142" spans="1:17" ht="15">
      <c r="B142" s="1089">
        <v>3</v>
      </c>
      <c r="C142" s="1090">
        <v>103</v>
      </c>
      <c r="D142" s="1090"/>
      <c r="E142" s="1091"/>
      <c r="F142" s="1092">
        <v>101</v>
      </c>
      <c r="G142" s="1090"/>
      <c r="H142" s="1093"/>
      <c r="I142" s="2644" t="s">
        <v>2582</v>
      </c>
      <c r="J142" s="314">
        <f>J139</f>
        <v>20</v>
      </c>
      <c r="K142" s="1096">
        <v>95</v>
      </c>
    </row>
    <row r="143" spans="1:17" ht="15">
      <c r="B143" s="1089">
        <v>2</v>
      </c>
      <c r="C143" s="1090">
        <v>100</v>
      </c>
      <c r="D143" s="1090"/>
      <c r="E143" s="1091"/>
      <c r="F143" s="1092">
        <v>100.5</v>
      </c>
      <c r="G143" s="1090"/>
      <c r="H143" s="1093"/>
      <c r="I143" s="2644" t="s">
        <v>2583</v>
      </c>
      <c r="J143" s="1090">
        <v>15</v>
      </c>
      <c r="K143" s="1095">
        <f>ROUND(100+(J143-J140)*K139*100,1)</f>
        <v>102</v>
      </c>
    </row>
    <row r="144" spans="1:17" ht="15">
      <c r="B144" s="1089">
        <v>1</v>
      </c>
      <c r="C144" s="1090">
        <v>98</v>
      </c>
      <c r="D144" s="2645" t="s">
        <v>2584</v>
      </c>
      <c r="E144" s="1091">
        <v>102</v>
      </c>
      <c r="F144" s="1097">
        <v>100</v>
      </c>
      <c r="G144" s="2645" t="s">
        <v>2584</v>
      </c>
      <c r="H144" s="1093">
        <v>105</v>
      </c>
      <c r="I144" s="2644" t="s">
        <v>2583</v>
      </c>
      <c r="J144" s="1090">
        <v>18</v>
      </c>
      <c r="K144" s="1095">
        <f>ROUND(100+(J144-J140)*K139*100,1)</f>
        <v>103.2</v>
      </c>
    </row>
    <row r="145" spans="2:11" ht="15.75" thickBot="1">
      <c r="B145" s="2646" t="s">
        <v>2585</v>
      </c>
      <c r="C145" s="1098">
        <f>ROUND(MAX(C139:C144)/MIN(C139:C144)-1,3)</f>
        <v>7.2999999999999995E-2</v>
      </c>
      <c r="D145" s="1099"/>
      <c r="E145" s="1099"/>
      <c r="F145" s="2647" t="s">
        <v>2586</v>
      </c>
      <c r="G145" s="2648"/>
      <c r="H145" s="2649"/>
      <c r="I145" s="2650" t="s">
        <v>2583</v>
      </c>
      <c r="J145" s="1100">
        <v>8</v>
      </c>
      <c r="K145" s="1101">
        <f>ROUND(100+(J145-J140)*K139*100,1)</f>
        <v>99.2</v>
      </c>
    </row>
    <row r="147" spans="2:11">
      <c r="B147" s="2631" t="s">
        <v>2587</v>
      </c>
    </row>
    <row r="148" spans="2:11">
      <c r="B148" s="2631" t="s">
        <v>2588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742" priority="15" stopIfTrue="1" operator="containsText" text="超过">
      <formula>NOT(ISERROR(SEARCH("超过",F52)))</formula>
    </cfRule>
  </conditionalFormatting>
  <conditionalFormatting sqref="J54">
    <cfRule type="containsText" dxfId="741" priority="14" stopIfTrue="1" operator="containsText" text="超过">
      <formula>NOT(ISERROR(SEARCH("超过",J54)))</formula>
    </cfRule>
  </conditionalFormatting>
  <conditionalFormatting sqref="H54">
    <cfRule type="containsText" dxfId="740" priority="13" stopIfTrue="1" operator="containsText" text="超过">
      <formula>NOT(ISERROR(SEARCH("超过",H54)))</formula>
    </cfRule>
  </conditionalFormatting>
  <conditionalFormatting sqref="F54">
    <cfRule type="containsText" dxfId="739" priority="12" stopIfTrue="1" operator="containsText" text="超过">
      <formula>NOT(ISERROR(SEARCH("超过",F54)))</formula>
    </cfRule>
  </conditionalFormatting>
  <conditionalFormatting sqref="F53 H53 J53">
    <cfRule type="containsText" dxfId="738" priority="11" stopIfTrue="1" operator="containsText" text="超过">
      <formula>NOT(ISERROR(SEARCH("超过",F53)))</formula>
    </cfRule>
  </conditionalFormatting>
  <conditionalFormatting sqref="E52">
    <cfRule type="expression" dxfId="737" priority="10" stopIfTrue="1">
      <formula>$F$52="超过30%"</formula>
    </cfRule>
  </conditionalFormatting>
  <conditionalFormatting sqref="G54">
    <cfRule type="expression" dxfId="736" priority="8" stopIfTrue="1">
      <formula>$H$54="超过30%"</formula>
    </cfRule>
  </conditionalFormatting>
  <conditionalFormatting sqref="E53">
    <cfRule type="expression" dxfId="735" priority="7" stopIfTrue="1">
      <formula>$F$53="超过20%"</formula>
    </cfRule>
  </conditionalFormatting>
  <conditionalFormatting sqref="E54">
    <cfRule type="expression" dxfId="734" priority="6" stopIfTrue="1">
      <formula>$F$54="超过30%"</formula>
    </cfRule>
  </conditionalFormatting>
  <conditionalFormatting sqref="G52">
    <cfRule type="expression" dxfId="733" priority="5" stopIfTrue="1">
      <formula>$H$52="超过30%"</formula>
    </cfRule>
  </conditionalFormatting>
  <conditionalFormatting sqref="G53">
    <cfRule type="expression" dxfId="732" priority="4" stopIfTrue="1">
      <formula>$H$53="超过20%"</formula>
    </cfRule>
  </conditionalFormatting>
  <conditionalFormatting sqref="I52">
    <cfRule type="expression" dxfId="731" priority="3" stopIfTrue="1">
      <formula>$J$52="超过30%"</formula>
    </cfRule>
  </conditionalFormatting>
  <conditionalFormatting sqref="I53">
    <cfRule type="expression" dxfId="730" priority="2" stopIfTrue="1">
      <formula>$J$53="超过20%"</formula>
    </cfRule>
  </conditionalFormatting>
  <conditionalFormatting sqref="I54">
    <cfRule type="expression" dxfId="7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1581</v>
      </c>
      <c r="B1" s="781"/>
      <c r="C1" s="1835"/>
      <c r="D1" s="1818"/>
      <c r="E1" s="1819" t="s">
        <v>1379</v>
      </c>
      <c r="F1" s="1282" t="b">
        <f>J53</f>
        <v>0</v>
      </c>
      <c r="G1" s="1834">
        <f>MATCH(C1,'数据-取费表'!A6:A16,0)+5</f>
        <v>11</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1582</v>
      </c>
      <c r="B2" s="1842" t="e">
        <f ca="1">ROUND(D2/10000,0)</f>
        <v>#DIV/0!</v>
      </c>
      <c r="C2" s="1843" t="s">
        <v>1583</v>
      </c>
      <c r="D2" s="1936" t="e">
        <f ca="1">C40+J29+L46</f>
        <v>#DIV/0!</v>
      </c>
      <c r="E2" s="1844" t="s">
        <v>1584</v>
      </c>
      <c r="F2" s="1845"/>
      <c r="G2" s="1846"/>
      <c r="H2" s="1838"/>
      <c r="I2" s="1838"/>
      <c r="J2" s="1838"/>
      <c r="K2" s="1839"/>
      <c r="L2" s="1838"/>
      <c r="M2" s="1838"/>
    </row>
    <row r="3" spans="1:37" ht="18" customHeight="1" thickBot="1">
      <c r="A3" s="1847" t="s">
        <v>1585</v>
      </c>
      <c r="B3" s="1848">
        <f ca="1">IF(ISERROR(D2/F43),0,ROUND(D2/F43,0))</f>
        <v>0</v>
      </c>
      <c r="C3" s="1843" t="s">
        <v>1586</v>
      </c>
      <c r="D3" s="1843"/>
      <c r="E3" s="1844"/>
      <c r="F3" s="1845"/>
      <c r="G3" s="1846"/>
      <c r="H3" s="743" t="s">
        <v>1580</v>
      </c>
      <c r="I3" s="1838"/>
      <c r="J3" s="1838"/>
      <c r="K3" s="1839"/>
      <c r="L3" s="1838"/>
      <c r="M3" s="1838"/>
    </row>
    <row r="4" spans="1:37" ht="18" customHeight="1">
      <c r="A4" s="339" t="s">
        <v>1587</v>
      </c>
      <c r="B4" s="340" t="s">
        <v>1588</v>
      </c>
      <c r="C4" s="340" t="s">
        <v>1589</v>
      </c>
      <c r="D4" s="340" t="s">
        <v>1590</v>
      </c>
      <c r="E4" s="341" t="s">
        <v>1591</v>
      </c>
      <c r="F4" s="342"/>
      <c r="G4" s="1849"/>
      <c r="H4" s="339" t="s">
        <v>1587</v>
      </c>
      <c r="I4" s="340" t="s">
        <v>1588</v>
      </c>
      <c r="J4" s="340" t="s">
        <v>1589</v>
      </c>
      <c r="K4" s="340" t="s">
        <v>1590</v>
      </c>
      <c r="L4" s="341" t="s">
        <v>1591</v>
      </c>
      <c r="M4" s="342"/>
    </row>
    <row r="5" spans="1:37" ht="18" customHeight="1">
      <c r="A5" s="343">
        <v>1</v>
      </c>
      <c r="B5" s="344" t="s">
        <v>1592</v>
      </c>
      <c r="C5" s="1291">
        <f ca="1">C6+C10+C12</f>
        <v>0</v>
      </c>
      <c r="D5" s="1820" t="s">
        <v>1593</v>
      </c>
      <c r="E5" s="1292"/>
      <c r="F5" s="1293"/>
      <c r="G5" s="1849"/>
      <c r="H5" s="343">
        <v>1</v>
      </c>
      <c r="I5" s="344" t="s">
        <v>1592</v>
      </c>
      <c r="J5" s="1291">
        <f ca="1">J6+J10+J12</f>
        <v>0</v>
      </c>
      <c r="K5" s="1820" t="s">
        <v>1593</v>
      </c>
      <c r="L5" s="1292"/>
      <c r="M5" s="1293"/>
    </row>
    <row r="6" spans="1:37" ht="18" customHeight="1">
      <c r="A6" s="1290" t="s">
        <v>1031</v>
      </c>
      <c r="B6" s="3259" t="s">
        <v>1395</v>
      </c>
      <c r="C6" s="1295">
        <f ca="1">ROUND(F6*F8*F7*(1-F9),0)</f>
        <v>0</v>
      </c>
      <c r="D6" s="163" t="s">
        <v>2976</v>
      </c>
      <c r="E6" s="346" t="s">
        <v>1397</v>
      </c>
      <c r="F6" s="347">
        <f ca="1">INDIRECT("'数据-取费表'!u"&amp;$G$1)</f>
        <v>0</v>
      </c>
      <c r="G6" s="1849"/>
      <c r="H6" s="1290" t="s">
        <v>1031</v>
      </c>
      <c r="I6" s="3259" t="s">
        <v>1395</v>
      </c>
      <c r="J6" s="345">
        <f ca="1">ROUND(M6*M8*M7*(1-M9),0)</f>
        <v>0</v>
      </c>
      <c r="K6" s="1832" t="s">
        <v>2977</v>
      </c>
      <c r="L6" s="346" t="s">
        <v>1397</v>
      </c>
      <c r="M6" s="347">
        <f ca="1">INDIRECT("'数据-取费表'!z"&amp;$G$1)</f>
        <v>0</v>
      </c>
    </row>
    <row r="7" spans="1:37" ht="18" customHeight="1">
      <c r="A7" s="1294"/>
      <c r="B7" s="3260"/>
      <c r="C7" s="1296"/>
      <c r="D7" s="351"/>
      <c r="E7" s="1297" t="s">
        <v>1398</v>
      </c>
      <c r="F7" s="347">
        <f ca="1">IF(INDIRECT("'数据-取费表'!ah"&amp;$G$1)="",INDIRECT("'数据-取费表'!k"&amp;$G$1),INDIRECT("'数据-取费表'!ah"&amp;$G$1))</f>
        <v>0</v>
      </c>
      <c r="G7" s="1849"/>
      <c r="H7" s="348"/>
      <c r="I7" s="3260"/>
      <c r="J7" s="350"/>
      <c r="K7" s="351"/>
      <c r="L7" s="346" t="s">
        <v>1398</v>
      </c>
      <c r="M7" s="347">
        <f ca="1">F7</f>
        <v>0</v>
      </c>
    </row>
    <row r="8" spans="1:37" ht="18" customHeight="1">
      <c r="A8" s="348"/>
      <c r="B8" s="3260"/>
      <c r="C8" s="350"/>
      <c r="D8" s="351"/>
      <c r="E8" s="346" t="s">
        <v>1399</v>
      </c>
      <c r="F8" s="347">
        <f ca="1">INDIRECT("'数据-取费表'!ai"&amp;$G$1)</f>
        <v>0</v>
      </c>
      <c r="G8" s="1849"/>
      <c r="H8" s="348"/>
      <c r="I8" s="3260"/>
      <c r="J8" s="350"/>
      <c r="K8" s="351"/>
      <c r="L8" s="346" t="s">
        <v>1399</v>
      </c>
      <c r="M8" s="347">
        <f ca="1">INDIRECT("'数据-取费表'!ai"&amp;$G$1)</f>
        <v>0</v>
      </c>
    </row>
    <row r="9" spans="1:37" ht="18" customHeight="1">
      <c r="A9" s="348"/>
      <c r="B9" s="3261"/>
      <c r="C9" s="350"/>
      <c r="D9" s="351"/>
      <c r="E9" s="346" t="s">
        <v>1400</v>
      </c>
      <c r="F9" s="356">
        <f ca="1">INDIRECT("'数据-取费表'!w"&amp;$G$1)</f>
        <v>0</v>
      </c>
      <c r="G9" s="1849"/>
      <c r="H9" s="348"/>
      <c r="I9" s="3261"/>
      <c r="J9" s="350"/>
      <c r="K9" s="351"/>
      <c r="L9" s="357" t="s">
        <v>1400</v>
      </c>
      <c r="M9" s="358">
        <f ca="1">INDIRECT("'数据-取费表'!ab"&amp;$G$1)</f>
        <v>0</v>
      </c>
    </row>
    <row r="10" spans="1:37" ht="18" customHeight="1">
      <c r="A10" s="1290" t="s">
        <v>1035</v>
      </c>
      <c r="B10" s="1821" t="s">
        <v>1401</v>
      </c>
      <c r="C10" s="360">
        <f ca="1">ROUND(IF(F10="押一",C6/12*F11,IF(F10="押二",C6/12*2*F11,IF(F10="押三",C6/12*3*F11,C11*F11))),0)</f>
        <v>0</v>
      </c>
      <c r="D10" s="1822" t="s">
        <v>2987</v>
      </c>
      <c r="E10" s="357" t="s">
        <v>1402</v>
      </c>
      <c r="F10" s="1365"/>
      <c r="G10" s="1849"/>
      <c r="H10" s="1290" t="s">
        <v>1035</v>
      </c>
      <c r="I10" s="1821" t="s">
        <v>1401</v>
      </c>
      <c r="J10" s="345">
        <f ca="1">ROUND(IF(M10="押一",J6/12*M11,IF(M10="押二",J6/12*2*M11,IF(M10="押三",J6/12*3*M11,J11*M11))),0)</f>
        <v>0</v>
      </c>
      <c r="K10" s="1833" t="s">
        <v>2989</v>
      </c>
      <c r="L10" s="357" t="s">
        <v>1402</v>
      </c>
      <c r="M10" s="1365"/>
    </row>
    <row r="11" spans="1:37" ht="18" customHeight="1">
      <c r="A11" s="352"/>
      <c r="B11" s="1823" t="s">
        <v>1594</v>
      </c>
      <c r="C11" s="1177"/>
      <c r="D11" s="351"/>
      <c r="E11" s="357" t="s">
        <v>1404</v>
      </c>
      <c r="F11" s="358">
        <f ca="1">'数据-取费表'!B39</f>
        <v>1.4999999999999999E-2</v>
      </c>
      <c r="G11" s="1849"/>
      <c r="H11" s="1298"/>
      <c r="I11" s="1823" t="s">
        <v>1595</v>
      </c>
      <c r="J11" s="1177"/>
      <c r="K11" s="747"/>
      <c r="L11" s="357" t="s">
        <v>1404</v>
      </c>
      <c r="M11" s="1055">
        <f ca="1">'数据-取费表'!B39</f>
        <v>1.4999999999999999E-2</v>
      </c>
    </row>
    <row r="12" spans="1:37" ht="18" customHeight="1" thickBot="1">
      <c r="A12" s="1332" t="s">
        <v>1071</v>
      </c>
      <c r="B12" s="1825" t="s">
        <v>1405</v>
      </c>
      <c r="C12" s="1333"/>
      <c r="D12" s="1334"/>
      <c r="E12" s="1339"/>
      <c r="F12" s="1335"/>
      <c r="G12" s="1849"/>
      <c r="H12" s="1332" t="s">
        <v>1071</v>
      </c>
      <c r="I12" s="1825" t="s">
        <v>1405</v>
      </c>
      <c r="J12" s="1333"/>
      <c r="K12" s="1347"/>
      <c r="L12" s="1339"/>
      <c r="M12" s="1348"/>
    </row>
    <row r="13" spans="1:37" ht="18" customHeight="1" thickTop="1">
      <c r="A13" s="1328">
        <v>2</v>
      </c>
      <c r="B13" s="1329" t="s">
        <v>1406</v>
      </c>
      <c r="C13" s="354">
        <f ca="1">ROUND(C29*F13,0)</f>
        <v>0</v>
      </c>
      <c r="D13" s="1330" t="s">
        <v>1407</v>
      </c>
      <c r="E13" s="1330" t="s">
        <v>1408</v>
      </c>
      <c r="F13" s="1331">
        <f ca="1">INDIRECT("'数据-取费表'!y"&amp;$G$1)</f>
        <v>0</v>
      </c>
      <c r="G13" s="1849"/>
      <c r="H13" s="1328">
        <v>2</v>
      </c>
      <c r="I13" s="1329" t="s">
        <v>1406</v>
      </c>
      <c r="J13" s="1289">
        <f ca="1">ROUND(J14*J15,0)</f>
        <v>0</v>
      </c>
      <c r="K13" s="1336" t="s">
        <v>1407</v>
      </c>
      <c r="L13" s="1850"/>
      <c r="M13" s="1851"/>
    </row>
    <row r="14" spans="1:37" ht="18" customHeight="1">
      <c r="A14" s="1200" t="s">
        <v>1030</v>
      </c>
      <c r="B14" s="346" t="s">
        <v>1409</v>
      </c>
      <c r="C14" s="362">
        <f ca="1">ROUND(INDIRECT("'数据-取费表'!l"&amp;$G$1)*F43+'数据-取费表'!L14*INDIRECT("'数据-取费表'!S"&amp;$G$1),0)</f>
        <v>0</v>
      </c>
      <c r="D14" s="1798" t="s">
        <v>1410</v>
      </c>
      <c r="E14" s="1792"/>
      <c r="F14" s="363"/>
      <c r="G14" s="1849"/>
      <c r="H14" s="1200" t="s">
        <v>1031</v>
      </c>
      <c r="I14" s="346" t="s">
        <v>1411</v>
      </c>
      <c r="J14" s="24">
        <f ca="1">C29</f>
        <v>0</v>
      </c>
      <c r="K14" s="15"/>
      <c r="L14" s="978"/>
      <c r="M14" s="979"/>
    </row>
    <row r="15" spans="1:37" s="1856" customFormat="1" ht="18" customHeight="1" thickBot="1">
      <c r="A15" s="1200" t="s">
        <v>1032</v>
      </c>
      <c r="B15" s="346" t="s">
        <v>1412</v>
      </c>
      <c r="C15" s="24">
        <f ca="1">ROUND(C14*F15,0)</f>
        <v>0</v>
      </c>
      <c r="D15" s="364" t="s">
        <v>1413</v>
      </c>
      <c r="E15" s="364" t="s">
        <v>1414</v>
      </c>
      <c r="F15" s="365">
        <f>'数据-取费表'!B33</f>
        <v>0.03</v>
      </c>
      <c r="G15" s="1852"/>
      <c r="H15" s="1338" t="s">
        <v>1035</v>
      </c>
      <c r="I15" s="1339" t="s">
        <v>1408</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1381</v>
      </c>
      <c r="B16" s="346" t="s">
        <v>1415</v>
      </c>
      <c r="C16" s="24">
        <f ca="1">ROUND(INDIRECT("'数据-取费表'!l"&amp;$G$1)*F43*F16,0)</f>
        <v>0</v>
      </c>
      <c r="D16" s="346" t="s">
        <v>1413</v>
      </c>
      <c r="E16" s="346" t="s">
        <v>1414</v>
      </c>
      <c r="F16" s="366">
        <f ca="1">IF(INDIRECT("'数据-取费表'!c"&amp;$G$1)="住宅",'数据-取费表'!B34,0)</f>
        <v>0</v>
      </c>
      <c r="G16" s="1849"/>
      <c r="H16" s="1328" t="s">
        <v>1026</v>
      </c>
      <c r="I16" s="1329" t="s">
        <v>1416</v>
      </c>
      <c r="J16" s="354">
        <f ca="1">ROUND(J17+J22+J23+J24,0)</f>
        <v>0</v>
      </c>
      <c r="K16" s="1336" t="s">
        <v>1417</v>
      </c>
      <c r="L16" s="1337"/>
      <c r="M16" s="1293"/>
    </row>
    <row r="17" spans="1:37" s="1856" customFormat="1" ht="18" customHeight="1">
      <c r="A17" s="1200" t="s">
        <v>1382</v>
      </c>
      <c r="B17" s="346" t="s">
        <v>1418</v>
      </c>
      <c r="C17" s="24">
        <f ca="1">ROUND(F17*(F43+INDIRECT("'数据-取费表'!S"&amp;$G$1)),0)</f>
        <v>0</v>
      </c>
      <c r="D17" s="346" t="s">
        <v>1419</v>
      </c>
      <c r="E17" s="346" t="s">
        <v>1420</v>
      </c>
      <c r="F17" s="26">
        <f>'数据-取费表'!B35</f>
        <v>200</v>
      </c>
      <c r="G17" s="1852"/>
      <c r="H17" s="1200" t="s">
        <v>1031</v>
      </c>
      <c r="I17" s="346" t="s">
        <v>1421</v>
      </c>
      <c r="J17" s="24">
        <f ca="1">ROUND(IF(项目基本情况!B11="自然人",J5*M17,J18+J19+J20),0)</f>
        <v>0</v>
      </c>
      <c r="K17" s="1798" t="s">
        <v>1422</v>
      </c>
      <c r="L17" s="1796" t="s">
        <v>1423</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1383</v>
      </c>
      <c r="B18" s="346" t="s">
        <v>1424</v>
      </c>
      <c r="C18" s="24">
        <f ca="1">ROUND(C14*F18,0)</f>
        <v>0</v>
      </c>
      <c r="D18" s="346" t="s">
        <v>1413</v>
      </c>
      <c r="E18" s="346" t="s">
        <v>1414</v>
      </c>
      <c r="F18" s="366">
        <f>'数据-取费表'!B36</f>
        <v>1.4999999999999999E-2</v>
      </c>
      <c r="G18" s="1852"/>
      <c r="H18" s="1200" t="s">
        <v>1030</v>
      </c>
      <c r="I18" s="346" t="s">
        <v>1425</v>
      </c>
      <c r="J18" s="24">
        <f ca="1">ROUND(J5*M18/(1+'数据-取费表'!C42),0)</f>
        <v>0</v>
      </c>
      <c r="K18" s="1796" t="s">
        <v>1426</v>
      </c>
      <c r="L18" s="346" t="s">
        <v>1414</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6" t="s">
        <v>1427</v>
      </c>
      <c r="C19" s="24">
        <f ca="1">SUM(C14:C18)</f>
        <v>0</v>
      </c>
      <c r="D19" s="139" t="s">
        <v>1428</v>
      </c>
      <c r="E19" s="1816"/>
      <c r="F19" s="26"/>
      <c r="G19" s="1849"/>
      <c r="H19" s="1200" t="s">
        <v>1032</v>
      </c>
      <c r="I19" s="346" t="s">
        <v>1429</v>
      </c>
      <c r="J19" s="24">
        <f ca="1">IF(K19="按租金收入计税",ROUND(J5*M19,0),ROUND(C29*M19*0.7,0))</f>
        <v>0</v>
      </c>
      <c r="K19" s="1826" t="s">
        <v>1430</v>
      </c>
      <c r="L19" s="346" t="s">
        <v>1414</v>
      </c>
      <c r="M19" s="366">
        <f>IF(K19="按租金收入计税",'数据-取费表'!B51,'数据-取费表'!B50)</f>
        <v>1.2E-2</v>
      </c>
    </row>
    <row r="20" spans="1:37" s="1856" customFormat="1" ht="18" customHeight="1">
      <c r="A20" s="1200" t="s">
        <v>1035</v>
      </c>
      <c r="B20" s="346" t="s">
        <v>1431</v>
      </c>
      <c r="C20" s="24">
        <f ca="1">ROUND(C19*F20,0)</f>
        <v>0</v>
      </c>
      <c r="D20" s="368" t="s">
        <v>1432</v>
      </c>
      <c r="E20" s="346" t="s">
        <v>1414</v>
      </c>
      <c r="F20" s="366">
        <f>'数据-取费表'!B37</f>
        <v>0.03</v>
      </c>
      <c r="G20" s="1852"/>
      <c r="H20" s="1200" t="s">
        <v>1381</v>
      </c>
      <c r="I20" s="163" t="s">
        <v>1433</v>
      </c>
      <c r="J20" s="25">
        <f ca="1">ROUND(M20*M21,0)</f>
        <v>0</v>
      </c>
      <c r="K20" s="369" t="s">
        <v>1434</v>
      </c>
      <c r="L20" s="346" t="s">
        <v>1435</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6" t="s">
        <v>1436</v>
      </c>
      <c r="C21" s="24" t="s">
        <v>1</v>
      </c>
      <c r="D21" s="368" t="s">
        <v>1437</v>
      </c>
      <c r="E21" s="346" t="s">
        <v>1438</v>
      </c>
      <c r="F21" s="366">
        <f>'数据-取费表'!B38</f>
        <v>0.03</v>
      </c>
      <c r="G21" s="1852"/>
      <c r="H21" s="371"/>
      <c r="I21" s="355"/>
      <c r="J21" s="29"/>
      <c r="K21" s="372"/>
      <c r="L21" s="346" t="s">
        <v>1439</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1384</v>
      </c>
      <c r="B22" s="346" t="s">
        <v>1440</v>
      </c>
      <c r="C22" s="24"/>
      <c r="D22" s="139" t="str">
        <f>IF(F23&lt;=1,"单利计息。","复利计息。")&amp;"建造成本、管理费用、销售费用产生的利息。"</f>
        <v>复利计息。建造成本、管理费用、销售费用产生的利息。</v>
      </c>
      <c r="E22" s="1816"/>
      <c r="F22" s="26"/>
      <c r="G22" s="1849"/>
      <c r="H22" s="1200" t="s">
        <v>1035</v>
      </c>
      <c r="I22" s="346" t="s">
        <v>1441</v>
      </c>
      <c r="J22" s="24">
        <f ca="1">ROUND(J14*M22,0)</f>
        <v>0</v>
      </c>
      <c r="K22" s="1796" t="s">
        <v>1442</v>
      </c>
      <c r="L22" s="346" t="s">
        <v>1414</v>
      </c>
      <c r="M22" s="373">
        <f ca="1">INDIRECT("'数据-取费表'!Ak"&amp;$G$1)</f>
        <v>0</v>
      </c>
    </row>
    <row r="23" spans="1:37" s="1856" customFormat="1" ht="18" customHeight="1">
      <c r="A23" s="1200" t="s">
        <v>1030</v>
      </c>
      <c r="B23" s="346" t="s">
        <v>1443</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1444</v>
      </c>
      <c r="F23" s="370">
        <f>'数据-取费表'!B20</f>
        <v>2</v>
      </c>
      <c r="G23" s="1852"/>
      <c r="H23" s="1200" t="s">
        <v>1071</v>
      </c>
      <c r="I23" s="346" t="s">
        <v>1445</v>
      </c>
      <c r="J23" s="24">
        <f ca="1">ROUND(J13*M23,0)</f>
        <v>0</v>
      </c>
      <c r="K23" s="1796" t="s">
        <v>1446</v>
      </c>
      <c r="L23" s="346" t="s">
        <v>1447</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1448</v>
      </c>
      <c r="B24" s="346" t="s">
        <v>1449</v>
      </c>
      <c r="C24" s="24">
        <f ca="1">ROUND(IF('数据-取费表'!B22&lt;=1,F21*F24*F23/2,F21*(POWER((1+F24),F23/2)-1)),4)</f>
        <v>1.4E-3</v>
      </c>
      <c r="D24" s="374" t="str">
        <f>IF(F23&lt;=1,"销售费用×利率×(建设周期÷2)","销售费用×((1+利率)^(建设周期÷2)-1)")</f>
        <v>销售费用×((1+利率)^(建设周期÷2)-1)</v>
      </c>
      <c r="E24" s="346" t="s">
        <v>1450</v>
      </c>
      <c r="F24" s="376">
        <f ca="1">'数据-取费表'!B40</f>
        <v>4.7500000000000001E-2</v>
      </c>
      <c r="G24" s="1852"/>
      <c r="H24" s="1338" t="s">
        <v>1385</v>
      </c>
      <c r="I24" s="1339" t="s">
        <v>1431</v>
      </c>
      <c r="J24" s="1340">
        <f ca="1">ROUND(J5*M24,0)</f>
        <v>0</v>
      </c>
      <c r="K24" s="1341" t="s">
        <v>1451</v>
      </c>
      <c r="L24" s="1339" t="s">
        <v>1447</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1452</v>
      </c>
      <c r="B25" s="346" t="s">
        <v>1453</v>
      </c>
      <c r="C25" s="24"/>
      <c r="D25" s="139" t="s">
        <v>1454</v>
      </c>
      <c r="E25" s="1816"/>
      <c r="F25" s="26"/>
      <c r="G25" s="1849"/>
      <c r="H25" s="1328" t="s">
        <v>1027</v>
      </c>
      <c r="I25" s="1343" t="s">
        <v>1455</v>
      </c>
      <c r="J25" s="354">
        <f ca="1">J5-J16</f>
        <v>0</v>
      </c>
      <c r="K25" s="1344" t="s">
        <v>1456</v>
      </c>
      <c r="L25" s="1345"/>
      <c r="M25" s="1346"/>
    </row>
    <row r="26" spans="1:37" ht="18" customHeight="1">
      <c r="A26" s="1200" t="s">
        <v>1030</v>
      </c>
      <c r="B26" s="346" t="s">
        <v>1457</v>
      </c>
      <c r="C26" s="24">
        <f ca="1">ROUND((C19+C20)*F26,0)</f>
        <v>0</v>
      </c>
      <c r="D26" s="368" t="s">
        <v>1458</v>
      </c>
      <c r="E26" s="357" t="s">
        <v>1459</v>
      </c>
      <c r="F26" s="356">
        <f ca="1">INDIRECT("'数据-取费表'!q"&amp;$G$1)</f>
        <v>0</v>
      </c>
      <c r="G26" s="1849"/>
      <c r="H26" s="343" t="s">
        <v>1028</v>
      </c>
      <c r="I26" s="344" t="s">
        <v>1460</v>
      </c>
      <c r="J26" s="345">
        <f ca="1">IF(J5&lt;&gt;0,ROUND(J25*(1-((1+M28)/(1+M26))^M27)/(M26-M28),0),0)</f>
        <v>0</v>
      </c>
      <c r="K26" s="369" t="s">
        <v>1461</v>
      </c>
      <c r="L26" s="346" t="s">
        <v>1462</v>
      </c>
      <c r="M26" s="356">
        <f ca="1">INDIRECT("'数据-取费表'!I"&amp;$G$1)</f>
        <v>0</v>
      </c>
    </row>
    <row r="27" spans="1:37" ht="18" customHeight="1">
      <c r="A27" s="1200" t="s">
        <v>1032</v>
      </c>
      <c r="B27" s="346" t="s">
        <v>1463</v>
      </c>
      <c r="C27" s="24">
        <f ca="1">ROUND(F21*F26,4)</f>
        <v>0</v>
      </c>
      <c r="D27" s="368" t="s">
        <v>1464</v>
      </c>
      <c r="E27" s="364"/>
      <c r="F27" s="365"/>
      <c r="G27" s="1849"/>
      <c r="H27" s="348"/>
      <c r="I27" s="349"/>
      <c r="J27" s="350"/>
      <c r="K27" s="377" t="s">
        <v>1465</v>
      </c>
      <c r="L27" s="346" t="s">
        <v>1466</v>
      </c>
      <c r="M27" s="378">
        <f ca="1">INDIRECT("'数据-取费表'!ag"&amp;$G$1)</f>
        <v>0</v>
      </c>
    </row>
    <row r="28" spans="1:37" s="1856" customFormat="1" ht="18" customHeight="1">
      <c r="A28" s="1200" t="s">
        <v>1033</v>
      </c>
      <c r="B28" s="346" t="s">
        <v>1467</v>
      </c>
      <c r="C28" s="24">
        <f>ROUND(F28/(1+'数据-取费表'!C42),4)</f>
        <v>5.33E-2</v>
      </c>
      <c r="D28" s="368" t="s">
        <v>1468</v>
      </c>
      <c r="E28" s="346" t="s">
        <v>1414</v>
      </c>
      <c r="F28" s="366">
        <f>'数据-取费表'!B41</f>
        <v>5.6000000000000001E-2</v>
      </c>
      <c r="G28" s="1852"/>
      <c r="H28" s="352"/>
      <c r="I28" s="353"/>
      <c r="J28" s="354"/>
      <c r="K28" s="372"/>
      <c r="L28" s="346" t="s">
        <v>1469</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1470</v>
      </c>
      <c r="C29" s="1340">
        <f ca="1">ROUND((C19+C20+C23+C26)/(1-F21-C24-C27-C28),0)</f>
        <v>0</v>
      </c>
      <c r="D29" s="1341"/>
      <c r="E29" s="1339"/>
      <c r="F29" s="1342"/>
      <c r="G29" s="1852"/>
      <c r="H29" s="379" t="s">
        <v>1029</v>
      </c>
      <c r="I29" s="380" t="s">
        <v>1471</v>
      </c>
      <c r="J29" s="381">
        <f ca="1">ROUND(J26/(1+F40)^F41,0)</f>
        <v>0</v>
      </c>
      <c r="K29" s="382" t="s">
        <v>1472</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1416</v>
      </c>
      <c r="C30" s="354">
        <f ca="1">ROUND(C31+C36+C37+C38,0)</f>
        <v>0</v>
      </c>
      <c r="D30" s="1336" t="s">
        <v>1417</v>
      </c>
      <c r="E30" s="1337"/>
      <c r="F30" s="1293"/>
      <c r="G30" s="1849"/>
      <c r="H30" s="744"/>
      <c r="I30" s="745"/>
      <c r="J30" s="746"/>
      <c r="K30" s="747"/>
      <c r="L30" s="748"/>
      <c r="M30" s="749"/>
    </row>
    <row r="31" spans="1:37" ht="18" customHeight="1">
      <c r="A31" s="1200" t="s">
        <v>1031</v>
      </c>
      <c r="B31" s="346" t="s">
        <v>1421</v>
      </c>
      <c r="C31" s="24">
        <f ca="1">ROUND(IF(项目基本情况!B11="自然人",C5*F31,C32+C33+C34),0)</f>
        <v>0</v>
      </c>
      <c r="D31" s="1798" t="s">
        <v>1422</v>
      </c>
      <c r="E31" s="1796" t="s">
        <v>1473</v>
      </c>
      <c r="F31" s="367" t="str">
        <f ca="1">IF(项目基本情况!B11="企业","",IF(INDIRECT("'数据-取费表'!c"&amp;$G$1)="住宅",5%,IF(F6*F7*F8/12/(1+'数据-取费表'!C42)&gt;20000,12%,7%)))</f>
        <v/>
      </c>
      <c r="G31" s="1849"/>
      <c r="H31" s="744"/>
      <c r="I31" s="745"/>
      <c r="J31" s="746"/>
      <c r="K31" s="747"/>
      <c r="L31" s="748"/>
      <c r="M31" s="749"/>
    </row>
    <row r="32" spans="1:37" ht="18" customHeight="1">
      <c r="A32" s="1200" t="s">
        <v>1030</v>
      </c>
      <c r="B32" s="346" t="s">
        <v>1425</v>
      </c>
      <c r="C32" s="24">
        <f ca="1">IF(项目基本情况!B11="自然人","——",ROUND(C5*F32/(1+'数据-取费表'!C42),0))</f>
        <v>0</v>
      </c>
      <c r="D32" s="1796" t="s">
        <v>1426</v>
      </c>
      <c r="E32" s="346" t="s">
        <v>1414</v>
      </c>
      <c r="F32" s="376">
        <f>'数据-取费表'!B41</f>
        <v>5.6000000000000001E-2</v>
      </c>
      <c r="G32" s="1849"/>
      <c r="H32" s="744"/>
      <c r="I32" s="745"/>
      <c r="J32" s="746"/>
      <c r="K32" s="747"/>
      <c r="L32" s="748"/>
      <c r="M32" s="749"/>
    </row>
    <row r="33" spans="1:18" ht="18" customHeight="1">
      <c r="A33" s="1200" t="s">
        <v>1032</v>
      </c>
      <c r="B33" s="346" t="s">
        <v>1429</v>
      </c>
      <c r="C33" s="24">
        <f ca="1">IF(项目基本情况!B11="自然人","——",IF(D33="按租金收入计税",ROUND(C5*F33,0),IF(D33="按房产原值计税",ROUND(C29*F33*0.7,0),INDIRECT("'数据-取费表'!Aj"&amp;$G$1))))</f>
        <v>0</v>
      </c>
      <c r="D33" s="1826" t="s">
        <v>1430</v>
      </c>
      <c r="E33" s="346" t="s">
        <v>1414</v>
      </c>
      <c r="F33" s="366">
        <f>IF(D33="按票据","——",IF(D33="按租金收入计税",'数据-取费表'!B51,'数据-取费表'!B50))</f>
        <v>1.2E-2</v>
      </c>
      <c r="G33" s="1849"/>
      <c r="H33" s="1857"/>
      <c r="I33" s="1858"/>
      <c r="J33" s="1859"/>
      <c r="K33" s="1860"/>
      <c r="L33" s="1857"/>
      <c r="M33" s="1857"/>
    </row>
    <row r="34" spans="1:18" ht="18" customHeight="1">
      <c r="A34" s="1290" t="s">
        <v>1381</v>
      </c>
      <c r="B34" s="163" t="s">
        <v>1433</v>
      </c>
      <c r="C34" s="25">
        <f ca="1">IF(项目基本情况!B11="自然人","——",ROUND(F34*F35,))</f>
        <v>0</v>
      </c>
      <c r="D34" s="369" t="s">
        <v>1434</v>
      </c>
      <c r="E34" s="346" t="s">
        <v>1435</v>
      </c>
      <c r="F34" s="370">
        <f>'数据-取费表'!B52</f>
        <v>10</v>
      </c>
      <c r="G34" s="1849"/>
      <c r="H34" s="744"/>
      <c r="I34" s="1858"/>
      <c r="J34" s="1859"/>
      <c r="K34" s="1861"/>
      <c r="L34" s="1862"/>
      <c r="M34" s="1862"/>
    </row>
    <row r="35" spans="1:18" ht="18" customHeight="1">
      <c r="A35" s="1352"/>
      <c r="B35" s="1350"/>
      <c r="C35" s="29"/>
      <c r="D35" s="372"/>
      <c r="E35" s="346" t="s">
        <v>1439</v>
      </c>
      <c r="F35" s="347">
        <f ca="1">INDIRECT("'数据-取费表'!r"&amp;$G$1)</f>
        <v>0</v>
      </c>
      <c r="G35" s="1849"/>
      <c r="H35" s="744"/>
      <c r="I35" s="1858"/>
      <c r="J35" s="1859"/>
      <c r="K35" s="1860"/>
      <c r="L35" s="1857"/>
      <c r="M35" s="1857"/>
    </row>
    <row r="36" spans="1:18" ht="18" customHeight="1">
      <c r="A36" s="1351" t="s">
        <v>1035</v>
      </c>
      <c r="B36" s="346" t="s">
        <v>1441</v>
      </c>
      <c r="C36" s="24">
        <f ca="1">ROUND(C29*F36,0)</f>
        <v>0</v>
      </c>
      <c r="D36" s="1796" t="s">
        <v>1474</v>
      </c>
      <c r="E36" s="346" t="s">
        <v>1414</v>
      </c>
      <c r="F36" s="373">
        <f ca="1">INDIRECT("'数据-取费表'!Ak"&amp;$G$1)</f>
        <v>0</v>
      </c>
      <c r="G36" s="1849"/>
      <c r="H36" s="1857"/>
      <c r="I36" s="1858"/>
      <c r="J36" s="1859"/>
      <c r="K36" s="750"/>
      <c r="L36" s="1857"/>
      <c r="M36" s="1857"/>
    </row>
    <row r="37" spans="1:18" ht="18" customHeight="1">
      <c r="A37" s="1200" t="s">
        <v>1071</v>
      </c>
      <c r="B37" s="346" t="s">
        <v>1445</v>
      </c>
      <c r="C37" s="24">
        <f ca="1">ROUND(C13*F37,0)</f>
        <v>0</v>
      </c>
      <c r="D37" s="1796" t="s">
        <v>1446</v>
      </c>
      <c r="E37" s="346" t="s">
        <v>1447</v>
      </c>
      <c r="F37" s="375">
        <f ca="1">INDIRECT("'数据-取费表'!Al"&amp;$G$1)</f>
        <v>0</v>
      </c>
      <c r="G37" s="1849"/>
      <c r="H37" s="1857"/>
      <c r="I37" s="1858"/>
      <c r="J37" s="1859"/>
      <c r="K37" s="750"/>
      <c r="L37" s="1857"/>
      <c r="M37" s="1857"/>
    </row>
    <row r="38" spans="1:18" ht="18" customHeight="1" thickBot="1">
      <c r="A38" s="1338" t="s">
        <v>1385</v>
      </c>
      <c r="B38" s="1339" t="s">
        <v>1431</v>
      </c>
      <c r="C38" s="1340">
        <f ca="1">ROUND(C5*F38,1)</f>
        <v>0</v>
      </c>
      <c r="D38" s="1341" t="s">
        <v>1451</v>
      </c>
      <c r="E38" s="1339" t="s">
        <v>1447</v>
      </c>
      <c r="F38" s="1335">
        <f ca="1">INDIRECT("'数据-取费表'!Am"&amp;$G$1)</f>
        <v>0</v>
      </c>
      <c r="G38" s="1849"/>
      <c r="H38" s="1857"/>
      <c r="I38" s="1858"/>
      <c r="J38" s="1859"/>
      <c r="K38" s="1863"/>
      <c r="L38" s="1857"/>
      <c r="M38" s="1857"/>
    </row>
    <row r="39" spans="1:18" ht="24.6" customHeight="1" thickTop="1">
      <c r="A39" s="1328" t="s">
        <v>1027</v>
      </c>
      <c r="B39" s="1343" t="s">
        <v>1475</v>
      </c>
      <c r="C39" s="354">
        <f ca="1">C5-C30</f>
        <v>0</v>
      </c>
      <c r="D39" s="1344" t="s">
        <v>1476</v>
      </c>
      <c r="E39" s="1345"/>
      <c r="F39" s="1346"/>
      <c r="G39" s="1849"/>
      <c r="H39" s="1857"/>
      <c r="I39" s="1858"/>
      <c r="J39" s="1859"/>
      <c r="K39" s="1863"/>
      <c r="L39" s="1857"/>
      <c r="M39" s="1857"/>
    </row>
    <row r="40" spans="1:18" ht="18" customHeight="1">
      <c r="A40" s="343" t="s">
        <v>1028</v>
      </c>
      <c r="B40" s="344" t="s">
        <v>1477</v>
      </c>
      <c r="C40" s="345" t="e">
        <f ca="1">ROUND(C39*(1-((1+F42)/(1+F40))^F41)/(F40-F42),0)</f>
        <v>#DIV/0!</v>
      </c>
      <c r="D40" s="369" t="s">
        <v>1461</v>
      </c>
      <c r="E40" s="346" t="s">
        <v>1462</v>
      </c>
      <c r="F40" s="356">
        <f ca="1">INDIRECT("'数据-取费表'!I"&amp;$G$1)</f>
        <v>0</v>
      </c>
      <c r="G40" s="1849"/>
      <c r="H40" s="1837"/>
      <c r="I40" s="1858"/>
      <c r="J40" s="1859"/>
      <c r="K40" s="1863"/>
      <c r="L40" s="1837"/>
      <c r="M40" s="1837"/>
    </row>
    <row r="41" spans="1:18" ht="18" customHeight="1">
      <c r="A41" s="348"/>
      <c r="B41" s="349"/>
      <c r="C41" s="350"/>
      <c r="D41" s="377" t="s">
        <v>1478</v>
      </c>
      <c r="E41" s="346" t="s">
        <v>1466</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1469</v>
      </c>
      <c r="F42" s="356">
        <f ca="1">INDIRECT("'数据-取费表'!v"&amp;$G$1)</f>
        <v>0</v>
      </c>
      <c r="G42" s="1849"/>
      <c r="H42" s="731"/>
      <c r="I42" s="1858"/>
      <c r="J42" s="1859"/>
      <c r="K42" s="750"/>
      <c r="L42" s="731"/>
      <c r="M42" s="731"/>
    </row>
    <row r="43" spans="1:18" ht="18" customHeight="1" thickBot="1">
      <c r="A43" s="379" t="s">
        <v>1029</v>
      </c>
      <c r="B43" s="380" t="s">
        <v>1479</v>
      </c>
      <c r="C43" s="381" t="e">
        <f ca="1">ROUND(C40/F43,0)</f>
        <v>#DIV/0!</v>
      </c>
      <c r="D43" s="382" t="s">
        <v>1480</v>
      </c>
      <c r="E43" s="383" t="s">
        <v>1481</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1596</v>
      </c>
      <c r="E45" s="1864"/>
      <c r="F45" s="1864"/>
      <c r="O45" s="1867" t="s">
        <v>1511</v>
      </c>
      <c r="P45" s="1837"/>
      <c r="Q45" s="1837"/>
      <c r="R45" s="1837"/>
    </row>
    <row r="46" spans="1:18" s="1840" customFormat="1" ht="13.5" thickBot="1">
      <c r="A46" s="1868" t="s">
        <v>1512</v>
      </c>
      <c r="C46" s="1869" t="e">
        <f ca="1">ROUND(C45/10000,0)</f>
        <v>#DIV/0!</v>
      </c>
      <c r="D46" s="1870" t="str">
        <f>C2</f>
        <v>万元</v>
      </c>
      <c r="I46" s="1871" t="s">
        <v>1513</v>
      </c>
      <c r="J46" s="1872"/>
      <c r="K46" s="1873"/>
      <c r="L46" s="1874" t="e">
        <f ca="1">IF(M47="住宅",0,IF(L48&gt;J51,L60,J60))</f>
        <v>#DIV/0!</v>
      </c>
      <c r="O46" s="1875" t="s">
        <v>1514</v>
      </c>
      <c r="P46" s="1876" t="s">
        <v>1515</v>
      </c>
      <c r="Q46" s="1877" t="s">
        <v>1516</v>
      </c>
      <c r="R46" s="1877" t="s">
        <v>1517</v>
      </c>
    </row>
    <row r="47" spans="1:18" s="1840" customFormat="1" ht="13.5" thickBot="1">
      <c r="A47" s="1164" t="s">
        <v>1388</v>
      </c>
      <c r="B47" s="1196" t="s">
        <v>1389</v>
      </c>
      <c r="C47" s="1196" t="s">
        <v>1390</v>
      </c>
      <c r="D47" s="1196" t="s">
        <v>1391</v>
      </c>
      <c r="E47" s="1278" t="s">
        <v>1392</v>
      </c>
      <c r="F47" s="1279"/>
      <c r="G47" s="791"/>
      <c r="I47" s="1878" t="s">
        <v>1518</v>
      </c>
      <c r="J47" s="1879"/>
      <c r="K47" s="1880" t="s">
        <v>1519</v>
      </c>
      <c r="L47" s="1881">
        <f ca="1">INDIRECT("'数据-取费表'!d"&amp;$G$1)</f>
        <v>0</v>
      </c>
      <c r="M47" s="1836" t="str">
        <f>IF(ISNUMBER(FIND("住宅",C1)),"住宅","非住宅")</f>
        <v>非住宅</v>
      </c>
      <c r="O47" s="1882" t="s">
        <v>1036</v>
      </c>
      <c r="P47" s="1883" t="s">
        <v>1520</v>
      </c>
      <c r="Q47" s="1884" t="e">
        <f ca="1">C40+J29</f>
        <v>#DIV/0!</v>
      </c>
      <c r="R47" s="1884" t="s">
        <v>1521</v>
      </c>
    </row>
    <row r="48" spans="1:18" s="1840" customFormat="1" ht="28.5" thickBot="1">
      <c r="A48" s="1359" t="s">
        <v>1131</v>
      </c>
      <c r="B48" s="344" t="s">
        <v>1393</v>
      </c>
      <c r="C48" s="1815">
        <f ca="1">C49+C53+C55</f>
        <v>0</v>
      </c>
      <c r="D48" s="1361"/>
      <c r="E48" s="1362"/>
      <c r="F48" s="1180"/>
      <c r="G48" s="791"/>
      <c r="H48" s="792"/>
      <c r="I48" s="1885" t="s">
        <v>1522</v>
      </c>
      <c r="J48" s="1886"/>
      <c r="K48" s="1887" t="s">
        <v>1523</v>
      </c>
      <c r="L48" s="1888">
        <f ca="1">INDIRECT("'数据-取费表'!f"&amp;$G$1)</f>
        <v>0</v>
      </c>
      <c r="O48" s="1882" t="s">
        <v>1037</v>
      </c>
      <c r="P48" s="1883" t="s">
        <v>1524</v>
      </c>
      <c r="Q48" s="1884" t="e">
        <f ca="1">J60</f>
        <v>#DIV/0!</v>
      </c>
      <c r="R48" s="1884" t="s">
        <v>1525</v>
      </c>
    </row>
    <row r="49" spans="1:18" s="1840" customFormat="1" ht="13.5" thickBot="1">
      <c r="A49" s="1193" t="s">
        <v>1132</v>
      </c>
      <c r="B49" s="1827" t="s">
        <v>1482</v>
      </c>
      <c r="C49" s="1363">
        <f ca="1">ROUND(F49*F51*F50*(1-F52),0)</f>
        <v>0</v>
      </c>
      <c r="D49" s="1275" t="s">
        <v>1396</v>
      </c>
      <c r="E49" s="1828" t="s">
        <v>1483</v>
      </c>
      <c r="F49" s="1280"/>
      <c r="G49" s="1889"/>
      <c r="H49" s="792"/>
      <c r="I49" s="1885" t="s">
        <v>1526</v>
      </c>
      <c r="J49" s="1890"/>
      <c r="K49" s="1887" t="s">
        <v>1527</v>
      </c>
      <c r="L49" s="1891"/>
      <c r="O49" s="1892" t="s">
        <v>1038</v>
      </c>
      <c r="P49" s="1883" t="s">
        <v>1528</v>
      </c>
      <c r="Q49" s="1884">
        <f ca="1">C29</f>
        <v>0</v>
      </c>
      <c r="R49" s="1884" t="s">
        <v>1521</v>
      </c>
    </row>
    <row r="50" spans="1:18" s="1840" customFormat="1" ht="13.5" thickBot="1">
      <c r="A50" s="1194"/>
      <c r="B50" s="1197"/>
      <c r="C50" s="1198"/>
      <c r="D50" s="1171"/>
      <c r="E50" s="1276" t="s">
        <v>1398</v>
      </c>
      <c r="F50" s="1277">
        <f ca="1">F7</f>
        <v>0</v>
      </c>
      <c r="H50" s="792"/>
      <c r="I50" s="1885" t="s">
        <v>1529</v>
      </c>
      <c r="J50" s="1893">
        <f>SUMPRODUCT((I63:I65=J47)*(J62:L62=J48)*(J63:L65))</f>
        <v>0</v>
      </c>
      <c r="K50" s="1887" t="s">
        <v>1530</v>
      </c>
      <c r="L50" s="1891"/>
      <c r="M50" s="1894"/>
      <c r="O50" s="1892" t="s">
        <v>1039</v>
      </c>
      <c r="P50" s="1883" t="s">
        <v>1531</v>
      </c>
      <c r="Q50" s="1895" t="e">
        <f ca="1">J58</f>
        <v>#DIV/0!</v>
      </c>
      <c r="R50" s="1884"/>
    </row>
    <row r="51" spans="1:18" s="1840" customFormat="1" ht="13.5" thickBot="1">
      <c r="A51" s="1195"/>
      <c r="B51" s="1197"/>
      <c r="C51" s="1198"/>
      <c r="D51" s="1171"/>
      <c r="E51" s="1199" t="s">
        <v>1399</v>
      </c>
      <c r="F51" s="347">
        <f ca="1">F8</f>
        <v>0</v>
      </c>
      <c r="I51" s="1896" t="s">
        <v>1532</v>
      </c>
      <c r="J51" s="1897">
        <f>IF(J49="",J50,J49+J50-YEAR('数据-取费表'!B2))</f>
        <v>0</v>
      </c>
      <c r="K51" s="1898" t="s">
        <v>1533</v>
      </c>
      <c r="L51" s="1899">
        <f ca="1">ROUND(-PV(INDIRECT("'数据-取费表'!h"&amp;$G$1),L48,(C39-C13*C76),0),0)</f>
        <v>0</v>
      </c>
      <c r="M51" s="1900"/>
      <c r="O51" s="1892" t="s">
        <v>1040</v>
      </c>
      <c r="P51" s="1883" t="s">
        <v>1534</v>
      </c>
      <c r="Q51" s="1895">
        <f>J52</f>
        <v>0</v>
      </c>
      <c r="R51" s="1884"/>
    </row>
    <row r="52" spans="1:18" s="1840" customFormat="1" ht="13.5" thickBot="1">
      <c r="A52" s="1195"/>
      <c r="B52" s="1197"/>
      <c r="C52" s="1198"/>
      <c r="D52" s="1171"/>
      <c r="E52" s="1199" t="s">
        <v>1400</v>
      </c>
      <c r="F52" s="1274"/>
      <c r="I52" s="1901" t="s">
        <v>1535</v>
      </c>
      <c r="J52" s="1902"/>
      <c r="K52" s="1901" t="s">
        <v>1536</v>
      </c>
      <c r="L52" s="1902"/>
      <c r="O52" s="1892" t="s">
        <v>1041</v>
      </c>
      <c r="P52" s="1883" t="s">
        <v>1537</v>
      </c>
      <c r="Q52" s="1884" t="b">
        <f>J53</f>
        <v>0</v>
      </c>
      <c r="R52" s="1884" t="s">
        <v>1538</v>
      </c>
    </row>
    <row r="53" spans="1:18" s="1840" customFormat="1" ht="30.75" customHeight="1" thickBot="1">
      <c r="A53" s="1360" t="s">
        <v>1133</v>
      </c>
      <c r="B53" s="368" t="s">
        <v>1401</v>
      </c>
      <c r="C53" s="360">
        <f ca="1">ROUND(IF(F53="押一",C49/12*F11,IF(F53="押二",C49/12*2*F11,IF(F53="押三",C49/12*3*F11,C54*F11))),0)</f>
        <v>0</v>
      </c>
      <c r="D53" s="1822" t="s">
        <v>2990</v>
      </c>
      <c r="E53" s="357" t="s">
        <v>1402</v>
      </c>
      <c r="F53" s="1365"/>
      <c r="I53" s="1903" t="s">
        <v>1539</v>
      </c>
      <c r="J53" s="1904" t="b">
        <f>IF(M47="住宅",IF(D1="——",MAX(J51,L48),IF(D1="在建（套用方法）",MAX(J51,L48-'数据-取费表'!B24),MAX(J51,L48-'数据-取费表'!B20))),IF(D1="——",MIN(J51,L48),IF(D1="在建（套用方法）",MIN(J51,L48-'数据-取费表'!B24),IF(D1="土地（套用方法）",MIN(J51,L48-'数据-取费表'!B20)))))</f>
        <v>0</v>
      </c>
      <c r="K53" s="3262" t="s">
        <v>1540</v>
      </c>
      <c r="L53" s="3263"/>
      <c r="O53" s="1882" t="s">
        <v>1042</v>
      </c>
      <c r="P53" s="1883" t="s">
        <v>1541</v>
      </c>
      <c r="Q53" s="1884" t="e">
        <f ca="1">Q47+Q48</f>
        <v>#DIV/0!</v>
      </c>
      <c r="R53" s="1884" t="s">
        <v>1043</v>
      </c>
    </row>
    <row r="54" spans="1:18" s="1840" customFormat="1" ht="13.5" thickBot="1">
      <c r="A54" s="1193"/>
      <c r="B54" s="1939" t="s">
        <v>1595</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1542</v>
      </c>
      <c r="P54" s="1837"/>
      <c r="Q54" s="1837"/>
      <c r="R54" s="1837"/>
    </row>
    <row r="55" spans="1:18" s="1840" customFormat="1" ht="13.5" thickBot="1">
      <c r="A55" s="1332" t="s">
        <v>1071</v>
      </c>
      <c r="B55" s="1825" t="s">
        <v>1405</v>
      </c>
      <c r="C55" s="1333"/>
      <c r="D55" s="1822"/>
      <c r="E55" s="1830"/>
      <c r="F55" s="1905"/>
      <c r="I55" s="1908" t="s">
        <v>1543</v>
      </c>
      <c r="J55" s="1909" t="e">
        <f ca="1">ROUND(IF(J47="钢混",J57/J50,1-(1-2%)*(J50-J57)/J50),3)</f>
        <v>#DIV/0!</v>
      </c>
      <c r="K55" s="1910" t="s">
        <v>1544</v>
      </c>
      <c r="L55" s="1911"/>
      <c r="O55" s="1875" t="s">
        <v>1514</v>
      </c>
      <c r="P55" s="1876" t="s">
        <v>1515</v>
      </c>
      <c r="Q55" s="1877" t="s">
        <v>1516</v>
      </c>
      <c r="R55" s="1877" t="s">
        <v>1517</v>
      </c>
    </row>
    <row r="56" spans="1:18" s="1840" customFormat="1" ht="36" customHeight="1" thickTop="1" thickBot="1">
      <c r="A56" s="1175">
        <v>2</v>
      </c>
      <c r="B56" s="1176" t="s">
        <v>1406</v>
      </c>
      <c r="C56" s="275">
        <f ca="1">C13</f>
        <v>0</v>
      </c>
      <c r="D56" s="1912"/>
      <c r="E56" s="1913"/>
      <c r="F56" s="1905"/>
      <c r="I56" s="1914" t="s">
        <v>1546</v>
      </c>
      <c r="J56" s="1915"/>
      <c r="K56" s="1885" t="s">
        <v>1547</v>
      </c>
      <c r="L56" s="1888">
        <f ca="1">IF(L48&lt;J51,"——",L48-J51)</f>
        <v>0</v>
      </c>
      <c r="O56" s="1882" t="s">
        <v>1036</v>
      </c>
      <c r="P56" s="1883" t="s">
        <v>1520</v>
      </c>
      <c r="Q56" s="1884" t="e">
        <f ca="1">C40+J29</f>
        <v>#DIV/0!</v>
      </c>
      <c r="R56" s="1884" t="s">
        <v>1521</v>
      </c>
    </row>
    <row r="57" spans="1:18" s="1840" customFormat="1" ht="24.75" thickBot="1">
      <c r="A57" s="1916"/>
      <c r="B57" s="1168" t="s">
        <v>1470</v>
      </c>
      <c r="C57" s="281">
        <f ca="1">C29</f>
        <v>0</v>
      </c>
      <c r="D57" s="1917"/>
      <c r="E57" s="1918"/>
      <c r="F57" s="1919"/>
      <c r="I57" s="1920" t="s">
        <v>1548</v>
      </c>
      <c r="J57" s="1921">
        <f ca="1">IF(OR(M47="住宅",J51&lt;L48,J56="是"),"——",J51-L48)</f>
        <v>0</v>
      </c>
      <c r="K57" s="1885" t="s">
        <v>1597</v>
      </c>
      <c r="L57" s="1888">
        <f ca="1">IF(L48&lt;J51,"——",IF(L55="比较法",L49,IF(L55="基准地价",L50,L51)))</f>
        <v>0</v>
      </c>
      <c r="O57" s="1882" t="s">
        <v>1037</v>
      </c>
      <c r="P57" s="1883" t="s">
        <v>1598</v>
      </c>
      <c r="Q57" s="1884" t="e">
        <f ca="1">L60</f>
        <v>#DIV/0!</v>
      </c>
      <c r="R57" s="1884" t="s">
        <v>1599</v>
      </c>
    </row>
    <row r="58" spans="1:18" s="1840" customFormat="1" ht="24.75" thickBot="1">
      <c r="A58" s="359" t="s">
        <v>1026</v>
      </c>
      <c r="B58" s="1176" t="s">
        <v>1416</v>
      </c>
      <c r="C58" s="360">
        <f ca="1">ROUND(C59+C64+C65+C66,0)</f>
        <v>0</v>
      </c>
      <c r="D58" s="1178" t="s">
        <v>1417</v>
      </c>
      <c r="E58" s="1179"/>
      <c r="F58" s="1180"/>
      <c r="I58" s="1920" t="s">
        <v>1552</v>
      </c>
      <c r="J58" s="1922" t="e">
        <f ca="1">IF(J55&lt;0.4,0.4,J55)</f>
        <v>#DIV/0!</v>
      </c>
      <c r="K58" s="1898" t="s">
        <v>1600</v>
      </c>
      <c r="L58" s="1888" t="e">
        <f ca="1">ROUND(POWER(1+L52,L47-L48)*(POWER(1+L52,L48)-1)/(POWER(1+L52,L47)-1),4)</f>
        <v>#DIV/0!</v>
      </c>
      <c r="O58" s="1892" t="s">
        <v>1038</v>
      </c>
      <c r="P58" s="1883" t="s">
        <v>1554</v>
      </c>
      <c r="Q58" s="1884">
        <f>IF(L55="比较法",L49,IF(L55="基准地价",L50,0))</f>
        <v>0</v>
      </c>
      <c r="R58" s="1884" t="s">
        <v>1521</v>
      </c>
    </row>
    <row r="59" spans="1:18" s="1840" customFormat="1" ht="24.75" thickBot="1">
      <c r="A59" s="1200" t="s">
        <v>1031</v>
      </c>
      <c r="B59" s="1168" t="s">
        <v>1421</v>
      </c>
      <c r="C59" s="24">
        <f ca="1">ROUND(IF(项目基本情况!B11="自然人",C48*F59,C60+C61+C62),0)</f>
        <v>0</v>
      </c>
      <c r="D59" s="1181" t="s">
        <v>1422</v>
      </c>
      <c r="E59" s="1182" t="s">
        <v>1423</v>
      </c>
      <c r="F59" s="367" t="str">
        <f ca="1">IF(项目基本情况!B11="企业","",IF(INDIRECT("'数据-取费表'!c"&amp;$G$1)="住宅",5%,IF(F49*F50*F51/12/(1+'数据-取费表'!C42)&gt;20000,12%,7%)))</f>
        <v/>
      </c>
      <c r="I59" s="1920" t="s">
        <v>1555</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1556</v>
      </c>
      <c r="Q59" s="1895">
        <f>L52</f>
        <v>0</v>
      </c>
      <c r="R59" s="1884"/>
    </row>
    <row r="60" spans="1:18" s="1840" customFormat="1" ht="16.5" thickBot="1">
      <c r="A60" s="1200" t="s">
        <v>1030</v>
      </c>
      <c r="B60" s="1168" t="s">
        <v>1425</v>
      </c>
      <c r="C60" s="24">
        <f ca="1">IF(项目基本情况!B11="自然人","——",ROUND(C48*F60/(1+'数据-取费表'!C42),0))</f>
        <v>0</v>
      </c>
      <c r="D60" s="1182" t="s">
        <v>1426</v>
      </c>
      <c r="E60" s="1168" t="s">
        <v>1414</v>
      </c>
      <c r="F60" s="376">
        <f t="shared" ref="F60:F66" si="0">F32</f>
        <v>5.6000000000000001E-2</v>
      </c>
      <c r="I60" s="1923" t="s">
        <v>1557</v>
      </c>
      <c r="J60" s="1924" t="e">
        <f ca="1">IF(OR(M47="住宅",J51&lt;L48,J56="是"),"0",ROUND(J59/(1+J52)^J53,0))</f>
        <v>#DIV/0!</v>
      </c>
      <c r="K60" s="1925" t="s">
        <v>1558</v>
      </c>
      <c r="L60" s="1924" t="e">
        <f ca="1">IF(OR(M47="住宅",L48&lt;J51),0,ROUND(L57*(L58/L59-1),0))</f>
        <v>#DIV/0!</v>
      </c>
      <c r="O60" s="1892" t="s">
        <v>1040</v>
      </c>
      <c r="P60" s="1883" t="s">
        <v>1559</v>
      </c>
      <c r="Q60" s="1884" t="e">
        <f ca="1">L58</f>
        <v>#DIV/0!</v>
      </c>
      <c r="R60" s="1884" t="s">
        <v>1560</v>
      </c>
    </row>
    <row r="61" spans="1:18" s="1840" customFormat="1" ht="13.5" thickBot="1">
      <c r="A61" s="1200" t="s">
        <v>1484</v>
      </c>
      <c r="B61" s="1168" t="s">
        <v>1485</v>
      </c>
      <c r="C61" s="24">
        <f ca="1">IF(项目基本情况!B11="自然人","——",IF(D61="按租金收入计税",ROUND(C48*F61,0),IF(D61="按房产原值计税",ROUND(C57*F61*0.7,0),INDIRECT("'数据-取费表'!Aj"&amp;$G$1))))</f>
        <v>0</v>
      </c>
      <c r="D61" s="1826" t="s">
        <v>1430</v>
      </c>
      <c r="E61" s="1168" t="s">
        <v>1486</v>
      </c>
      <c r="F61" s="366">
        <f t="shared" si="0"/>
        <v>1.2E-2</v>
      </c>
      <c r="I61" s="1926"/>
      <c r="J61" s="1926"/>
      <c r="K61" s="1926"/>
      <c r="L61" s="1926"/>
      <c r="O61" s="1892" t="s">
        <v>1041</v>
      </c>
      <c r="P61" s="1883" t="str">
        <f>K59</f>
        <v>建设期及建筑物耐用年限下的土地年期修正系数Kn</v>
      </c>
      <c r="Q61" s="1884" t="e">
        <f ca="1">L59</f>
        <v>#DIV/0!</v>
      </c>
      <c r="R61" s="1884" t="s">
        <v>1561</v>
      </c>
    </row>
    <row r="62" spans="1:18" s="1840" customFormat="1" ht="13.5" thickBot="1">
      <c r="A62" s="1200" t="s">
        <v>1487</v>
      </c>
      <c r="B62" s="1167" t="s">
        <v>1488</v>
      </c>
      <c r="C62" s="25">
        <f ca="1">IF(项目基本情况!B11="自然人","——",ROUND(F62*F63,0))</f>
        <v>0</v>
      </c>
      <c r="D62" s="1183" t="s">
        <v>1489</v>
      </c>
      <c r="E62" s="1168" t="s">
        <v>1490</v>
      </c>
      <c r="F62" s="370">
        <f t="shared" si="0"/>
        <v>10</v>
      </c>
      <c r="I62" s="1927" t="s">
        <v>1562</v>
      </c>
      <c r="J62" s="1928" t="s">
        <v>1563</v>
      </c>
      <c r="K62" s="1928" t="s">
        <v>1564</v>
      </c>
      <c r="L62" s="1928" t="s">
        <v>1565</v>
      </c>
      <c r="M62" s="1929" t="s">
        <v>1566</v>
      </c>
      <c r="O62" s="1882" t="s">
        <v>1042</v>
      </c>
      <c r="P62" s="1883" t="s">
        <v>1567</v>
      </c>
      <c r="Q62" s="1884" t="e">
        <f ca="1">Q56+Q57</f>
        <v>#DIV/0!</v>
      </c>
      <c r="R62" s="1884" t="s">
        <v>1043</v>
      </c>
    </row>
    <row r="63" spans="1:18" s="1840" customFormat="1" ht="13.5" thickBot="1">
      <c r="A63" s="371"/>
      <c r="B63" s="1174"/>
      <c r="C63" s="29"/>
      <c r="D63" s="1184"/>
      <c r="E63" s="1168" t="s">
        <v>1491</v>
      </c>
      <c r="F63" s="347">
        <f t="shared" ca="1" si="0"/>
        <v>0</v>
      </c>
      <c r="I63" s="1927" t="s">
        <v>1568</v>
      </c>
      <c r="J63" s="1928">
        <v>70</v>
      </c>
      <c r="K63" s="1928">
        <v>50</v>
      </c>
      <c r="L63" s="1928">
        <v>80</v>
      </c>
      <c r="M63" s="1930">
        <v>0.02</v>
      </c>
      <c r="O63" s="1867" t="s">
        <v>1569</v>
      </c>
      <c r="P63" s="1837"/>
      <c r="Q63" s="1837"/>
      <c r="R63" s="1837"/>
    </row>
    <row r="64" spans="1:18" s="1840" customFormat="1" ht="13.5" thickBot="1">
      <c r="A64" s="1200" t="s">
        <v>1492</v>
      </c>
      <c r="B64" s="1168" t="s">
        <v>1493</v>
      </c>
      <c r="C64" s="24">
        <f ca="1">ROUND(C57*F64,0)</f>
        <v>0</v>
      </c>
      <c r="D64" s="1182" t="s">
        <v>1494</v>
      </c>
      <c r="E64" s="1168" t="s">
        <v>1486</v>
      </c>
      <c r="F64" s="373">
        <f t="shared" ca="1" si="0"/>
        <v>0</v>
      </c>
      <c r="I64" s="1927" t="s">
        <v>1570</v>
      </c>
      <c r="J64" s="1928">
        <v>50</v>
      </c>
      <c r="K64" s="1928">
        <v>35</v>
      </c>
      <c r="L64" s="1928">
        <v>60</v>
      </c>
      <c r="M64" s="1929">
        <v>0</v>
      </c>
      <c r="O64" s="1875" t="s">
        <v>1514</v>
      </c>
      <c r="P64" s="1876" t="s">
        <v>1515</v>
      </c>
      <c r="Q64" s="1877" t="s">
        <v>1516</v>
      </c>
      <c r="R64" s="1877" t="s">
        <v>1517</v>
      </c>
    </row>
    <row r="65" spans="1:18" s="1840" customFormat="1" ht="13.5" thickBot="1">
      <c r="A65" s="1200" t="s">
        <v>1495</v>
      </c>
      <c r="B65" s="1168" t="s">
        <v>1445</v>
      </c>
      <c r="C65" s="24">
        <f ca="1">ROUND(C56*F65,0)</f>
        <v>0</v>
      </c>
      <c r="D65" s="1182" t="s">
        <v>1446</v>
      </c>
      <c r="E65" s="1168" t="s">
        <v>1447</v>
      </c>
      <c r="F65" s="375">
        <f t="shared" ca="1" si="0"/>
        <v>0</v>
      </c>
      <c r="I65" s="1927" t="s">
        <v>1571</v>
      </c>
      <c r="J65" s="1928">
        <v>40</v>
      </c>
      <c r="K65" s="1928">
        <v>30</v>
      </c>
      <c r="L65" s="1928">
        <v>50</v>
      </c>
      <c r="M65" s="1930">
        <v>0.02</v>
      </c>
      <c r="O65" s="1882" t="s">
        <v>1036</v>
      </c>
      <c r="P65" s="1883" t="s">
        <v>1572</v>
      </c>
      <c r="Q65" s="1884" t="e">
        <f ca="1">C40+J29</f>
        <v>#DIV/0!</v>
      </c>
      <c r="R65" s="1884" t="s">
        <v>1521</v>
      </c>
    </row>
    <row r="66" spans="1:18" s="1840" customFormat="1" ht="16.5" thickBot="1">
      <c r="A66" s="1200" t="s">
        <v>1496</v>
      </c>
      <c r="B66" s="1168" t="s">
        <v>1431</v>
      </c>
      <c r="C66" s="24">
        <f ca="1">ROUND(C48*F66,0)</f>
        <v>0</v>
      </c>
      <c r="D66" s="1182" t="s">
        <v>1497</v>
      </c>
      <c r="E66" s="1168" t="s">
        <v>1414</v>
      </c>
      <c r="F66" s="356">
        <f t="shared" ca="1" si="0"/>
        <v>0</v>
      </c>
      <c r="O66" s="1882" t="s">
        <v>1037</v>
      </c>
      <c r="P66" s="1883" t="s">
        <v>1550</v>
      </c>
      <c r="Q66" s="1884" t="e">
        <f ca="1">L60</f>
        <v>#DIV/0!</v>
      </c>
      <c r="R66" s="1884" t="s">
        <v>1573</v>
      </c>
    </row>
    <row r="67" spans="1:18" s="1840" customFormat="1" ht="16.5" thickBot="1">
      <c r="A67" s="1175" t="s">
        <v>1027</v>
      </c>
      <c r="B67" s="1185" t="s">
        <v>1455</v>
      </c>
      <c r="C67" s="360">
        <f ca="1">C48-C58</f>
        <v>0</v>
      </c>
      <c r="D67" s="1181" t="s">
        <v>1456</v>
      </c>
      <c r="E67" s="1186"/>
      <c r="F67" s="1187"/>
      <c r="O67" s="1892" t="s">
        <v>1038</v>
      </c>
      <c r="P67" s="1883" t="s">
        <v>1554</v>
      </c>
      <c r="Q67" s="1931">
        <f ca="1">L51</f>
        <v>0</v>
      </c>
      <c r="R67" s="1884" t="s">
        <v>1574</v>
      </c>
    </row>
    <row r="68" spans="1:18" s="1840" customFormat="1" ht="16.5" thickBot="1">
      <c r="A68" s="1165" t="s">
        <v>1028</v>
      </c>
      <c r="B68" s="1166" t="s">
        <v>1477</v>
      </c>
      <c r="C68" s="345" t="e">
        <f ca="1">ROUND(C67*(1-((1+F70)/(1+F68))^F69)/(F68-F70),0)</f>
        <v>#DIV/0!</v>
      </c>
      <c r="D68" s="1183" t="s">
        <v>1461</v>
      </c>
      <c r="E68" s="1168" t="s">
        <v>1462</v>
      </c>
      <c r="F68" s="356">
        <f ca="1">F40</f>
        <v>0</v>
      </c>
      <c r="O68" s="1892" t="s">
        <v>1039</v>
      </c>
      <c r="P68" s="1932" t="s">
        <v>1575</v>
      </c>
      <c r="Q68" s="1884">
        <f ca="1">ROUND(Q69-Q70*Q71,0)</f>
        <v>0</v>
      </c>
      <c r="R68" s="1884" t="s">
        <v>1047</v>
      </c>
    </row>
    <row r="69" spans="1:18" s="1840" customFormat="1" ht="13.5" thickBot="1">
      <c r="A69" s="1169"/>
      <c r="B69" s="1170"/>
      <c r="C69" s="350"/>
      <c r="D69" s="1188" t="s">
        <v>1465</v>
      </c>
      <c r="E69" s="1168" t="s">
        <v>1466</v>
      </c>
      <c r="F69" s="378">
        <f ca="1">F41</f>
        <v>0</v>
      </c>
      <c r="O69" s="1892" t="s">
        <v>1044</v>
      </c>
      <c r="P69" s="1932" t="s">
        <v>1576</v>
      </c>
      <c r="Q69" s="1884">
        <f ca="1">C39</f>
        <v>0</v>
      </c>
      <c r="R69" s="1884" t="s">
        <v>1521</v>
      </c>
    </row>
    <row r="70" spans="1:18" s="1840" customFormat="1" ht="13.5" thickBot="1">
      <c r="A70" s="1172"/>
      <c r="B70" s="1173"/>
      <c r="C70" s="354"/>
      <c r="D70" s="1184"/>
      <c r="E70" s="1168" t="s">
        <v>1469</v>
      </c>
      <c r="F70" s="1274">
        <f ca="1">F42</f>
        <v>0</v>
      </c>
      <c r="O70" s="1892" t="s">
        <v>1045</v>
      </c>
      <c r="P70" s="1932" t="s">
        <v>1577</v>
      </c>
      <c r="Q70" s="1884">
        <f ca="1">C13</f>
        <v>0</v>
      </c>
      <c r="R70" s="1884" t="s">
        <v>1521</v>
      </c>
    </row>
    <row r="71" spans="1:18" s="1840" customFormat="1" ht="13.5" thickBot="1">
      <c r="A71" s="1189" t="s">
        <v>1029</v>
      </c>
      <c r="B71" s="1190" t="s">
        <v>1479</v>
      </c>
      <c r="C71" s="381" t="e">
        <f ca="1">ROUND(C68/F71,0)</f>
        <v>#DIV/0!</v>
      </c>
      <c r="D71" s="1191" t="s">
        <v>1480</v>
      </c>
      <c r="E71" s="1192" t="s">
        <v>1481</v>
      </c>
      <c r="F71" s="384">
        <f ca="1">F43</f>
        <v>0</v>
      </c>
      <c r="O71" s="1892" t="s">
        <v>1046</v>
      </c>
      <c r="P71" s="1932" t="s">
        <v>1578</v>
      </c>
      <c r="Q71" s="1895">
        <f ca="1">C76</f>
        <v>0</v>
      </c>
      <c r="R71" s="1884"/>
    </row>
    <row r="72" spans="1:18" s="1840" customFormat="1" ht="13.5" thickBot="1">
      <c r="B72" s="795"/>
      <c r="C72" s="795"/>
      <c r="O72" s="1892" t="s">
        <v>1040</v>
      </c>
      <c r="P72" s="1883" t="s">
        <v>1556</v>
      </c>
      <c r="Q72" s="1895">
        <f>L52</f>
        <v>0</v>
      </c>
      <c r="R72" s="1884"/>
    </row>
    <row r="73" spans="1:18" ht="16.5" thickBot="1">
      <c r="A73" s="1840"/>
      <c r="B73" s="795"/>
      <c r="C73" s="795"/>
      <c r="D73" s="1840"/>
      <c r="E73" s="1840"/>
      <c r="F73" s="1840"/>
      <c r="O73" s="1892" t="s">
        <v>1041</v>
      </c>
      <c r="P73" s="1883" t="s">
        <v>1559</v>
      </c>
      <c r="Q73" s="1884" t="e">
        <f ca="1">L58</f>
        <v>#DIV/0!</v>
      </c>
      <c r="R73" s="1884" t="s">
        <v>1560</v>
      </c>
    </row>
    <row r="74" spans="1:18" ht="13.5" thickBot="1">
      <c r="A74" s="1840"/>
      <c r="B74" s="316" t="s">
        <v>1579</v>
      </c>
      <c r="C74" s="1934"/>
      <c r="D74" s="1840"/>
      <c r="E74" s="1840"/>
      <c r="F74" s="1840"/>
      <c r="O74" s="1892" t="s">
        <v>1048</v>
      </c>
      <c r="P74" s="1883" t="str">
        <f>K59</f>
        <v>建设期及建筑物耐用年限下的土地年期修正系数Kn</v>
      </c>
      <c r="Q74" s="1884" t="e">
        <f ca="1">L59</f>
        <v>#DIV/0!</v>
      </c>
      <c r="R74" s="1884" t="s">
        <v>1561</v>
      </c>
    </row>
    <row r="75" spans="1:18" ht="13.5" thickBot="1">
      <c r="A75" s="1840"/>
      <c r="B75" s="385" t="s">
        <v>1498</v>
      </c>
      <c r="C75" s="386">
        <f ca="1">ROUND(C13*C76,0)</f>
        <v>0</v>
      </c>
      <c r="D75" s="1840"/>
      <c r="E75" s="1840"/>
      <c r="F75" s="1840"/>
      <c r="K75" s="1866"/>
      <c r="L75" s="1840"/>
      <c r="O75" s="1882" t="s">
        <v>1042</v>
      </c>
      <c r="P75" s="1883" t="s">
        <v>1541</v>
      </c>
      <c r="Q75" s="1884" t="e">
        <f ca="1">Q65+Q66</f>
        <v>#DIV/0!</v>
      </c>
      <c r="R75" s="1884" t="s">
        <v>1043</v>
      </c>
    </row>
    <row r="76" spans="1:18">
      <c r="B76" s="387" t="s">
        <v>1499</v>
      </c>
      <c r="C76" s="388">
        <f ca="1">INDIRECT("'数据-取费表'!j"&amp;$G$1)</f>
        <v>0</v>
      </c>
      <c r="I76" s="1840"/>
      <c r="J76" s="1840"/>
      <c r="K76" s="1866"/>
      <c r="L76" s="1840"/>
    </row>
    <row r="77" spans="1:18">
      <c r="B77" s="389" t="s">
        <v>1500</v>
      </c>
      <c r="C77" s="390"/>
      <c r="I77" s="1840"/>
      <c r="J77" s="1840"/>
      <c r="K77" s="1866"/>
      <c r="L77" s="1840"/>
    </row>
    <row r="78" spans="1:18">
      <c r="B78" s="313" t="s">
        <v>1501</v>
      </c>
      <c r="C78" s="391"/>
    </row>
    <row r="79" spans="1:18">
      <c r="B79" s="385" t="s">
        <v>1502</v>
      </c>
      <c r="C79" s="317" t="e">
        <f ca="1">1-C80</f>
        <v>#DIV/0!</v>
      </c>
    </row>
    <row r="80" spans="1:18">
      <c r="B80" s="385" t="s">
        <v>1503</v>
      </c>
      <c r="C80" s="317" t="e">
        <f ca="1">ROUND(C75/C39,3)</f>
        <v>#DIV/0!</v>
      </c>
    </row>
    <row r="81" spans="2:3">
      <c r="B81" s="313" t="s">
        <v>1504</v>
      </c>
      <c r="C81" s="281"/>
    </row>
    <row r="82" spans="2:3">
      <c r="B82" s="316" t="s">
        <v>1505</v>
      </c>
      <c r="C82" s="318" t="e">
        <f ca="1">1-C83</f>
        <v>#DIV/0!</v>
      </c>
    </row>
    <row r="83" spans="2:3">
      <c r="B83" s="316" t="s">
        <v>1506</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728" priority="4">
      <formula>$L$48&gt;$J$51</formula>
    </cfRule>
  </conditionalFormatting>
  <conditionalFormatting sqref="I55 I60">
    <cfRule type="expression" dxfId="727" priority="5">
      <formula>$J$51&gt;$L$48</formula>
    </cfRule>
  </conditionalFormatting>
  <conditionalFormatting sqref="C11">
    <cfRule type="expression" dxfId="726" priority="3">
      <formula>$F$10="自定义"</formula>
    </cfRule>
  </conditionalFormatting>
  <conditionalFormatting sqref="J11">
    <cfRule type="expression" dxfId="725" priority="2">
      <formula>$M$10="自定义"</formula>
    </cfRule>
  </conditionalFormatting>
  <conditionalFormatting sqref="C54">
    <cfRule type="expression" dxfId="7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6" t="s">
        <v>2474</v>
      </c>
      <c r="B1" s="2557"/>
      <c r="C1" s="2557"/>
      <c r="D1" s="2557"/>
      <c r="E1" s="2558"/>
    </row>
    <row r="2" spans="1:6" ht="15.75">
      <c r="A2" s="2559" t="s">
        <v>2278</v>
      </c>
      <c r="B2" s="2560">
        <f ca="1">SUMIF(B6:B13,"&lt;&gt;#ref!",B6:B13)</f>
        <v>11997</v>
      </c>
      <c r="C2" s="2561" t="s">
        <v>2467</v>
      </c>
      <c r="D2" s="2562" t="s">
        <v>2468</v>
      </c>
      <c r="E2" s="2563">
        <f>SUM(E6:E13)</f>
        <v>37739.420000000006</v>
      </c>
    </row>
    <row r="3" spans="1:6" ht="15.75">
      <c r="A3" s="2559" t="s">
        <v>1387</v>
      </c>
      <c r="B3" s="2560">
        <f ca="1">ROUND(B2*10000/E2,0)</f>
        <v>3179</v>
      </c>
      <c r="C3" s="2561" t="s">
        <v>2475</v>
      </c>
      <c r="D3" s="2564"/>
      <c r="E3" s="2565"/>
    </row>
    <row r="4" spans="1:6" ht="15.75">
      <c r="A4" s="2566"/>
      <c r="B4" s="2564"/>
      <c r="C4" s="2564"/>
      <c r="D4" s="2564"/>
      <c r="E4" s="2565"/>
    </row>
    <row r="5" spans="1:6" ht="15">
      <c r="A5" s="2567" t="s">
        <v>2469</v>
      </c>
      <c r="B5" s="3264" t="s">
        <v>2470</v>
      </c>
      <c r="C5" s="3264"/>
      <c r="D5" s="2568"/>
      <c r="E5" s="2569" t="s">
        <v>2471</v>
      </c>
      <c r="F5" s="2570" t="s">
        <v>2472</v>
      </c>
    </row>
    <row r="6" spans="1:6">
      <c r="A6" s="2571">
        <f>'数据-取费表'!AN6</f>
        <v>0</v>
      </c>
      <c r="B6" s="2570" t="e">
        <f ca="1">IF(F6="是",'数据-取费表'!AO6,0)</f>
        <v>#REF!</v>
      </c>
      <c r="C6" s="2561" t="s">
        <v>2467</v>
      </c>
      <c r="D6" s="2564"/>
      <c r="E6" s="2572">
        <f>IF(OR(A6=0,F6="否"),0,'数据-取费表'!K6+'数据-取费表'!S6)</f>
        <v>0</v>
      </c>
      <c r="F6" s="2573" t="s">
        <v>2473</v>
      </c>
    </row>
    <row r="7" spans="1:6">
      <c r="A7" s="2571">
        <f>'数据-取费表'!AN7</f>
        <v>0</v>
      </c>
      <c r="B7" s="2570" t="e">
        <f ca="1">IF(F7="是",'数据-取费表'!AO7,0)</f>
        <v>#REF!</v>
      </c>
      <c r="C7" s="2561" t="s">
        <v>2467</v>
      </c>
      <c r="D7" s="2564"/>
      <c r="E7" s="2572">
        <f>IF(OR(A7=0,F7="否"),0,'数据-取费表'!K7+'数据-取费表'!S7)</f>
        <v>0</v>
      </c>
      <c r="F7" s="2573" t="s">
        <v>2473</v>
      </c>
    </row>
    <row r="8" spans="1:6">
      <c r="A8" s="2571">
        <f>'数据-取费表'!AN8</f>
        <v>0</v>
      </c>
      <c r="B8" s="2570" t="e">
        <f ca="1">IF(F8="是",'数据-取费表'!AO8,0)</f>
        <v>#REF!</v>
      </c>
      <c r="C8" s="2561" t="s">
        <v>2467</v>
      </c>
      <c r="D8" s="2564"/>
      <c r="E8" s="2572">
        <f>IF(OR(A8=0,F8="否"),0,'数据-取费表'!K8+'数据-取费表'!S8)</f>
        <v>0</v>
      </c>
      <c r="F8" s="2573" t="s">
        <v>2473</v>
      </c>
    </row>
    <row r="9" spans="1:6">
      <c r="A9" s="2571">
        <f>'数据-取费表'!AN9</f>
        <v>0</v>
      </c>
      <c r="B9" s="2570" t="e">
        <f ca="1">IF(F9="是",'数据-取费表'!AO9,0)</f>
        <v>#REF!</v>
      </c>
      <c r="C9" s="2561" t="s">
        <v>2467</v>
      </c>
      <c r="D9" s="2564"/>
      <c r="E9" s="2572">
        <f>IF(OR(A9=0,F9="否"),0,'数据-取费表'!K9+'数据-取费表'!S9)</f>
        <v>0</v>
      </c>
      <c r="F9" s="2573" t="s">
        <v>2473</v>
      </c>
    </row>
    <row r="10" spans="1:6">
      <c r="A10" s="2571" t="str">
        <f>'数据-取费表'!AN10</f>
        <v>收益法</v>
      </c>
      <c r="B10" s="2570">
        <f ca="1">IF(F10="是",'数据-取费表'!AO10,0)</f>
        <v>11997</v>
      </c>
      <c r="C10" s="2561" t="s">
        <v>2467</v>
      </c>
      <c r="D10" s="2564"/>
      <c r="E10" s="2572">
        <f>IF(OR(A10=0,F10="否"),0,'数据-取费表'!K10+'数据-取费表'!S10)</f>
        <v>37739.420000000006</v>
      </c>
      <c r="F10" s="2573" t="s">
        <v>2473</v>
      </c>
    </row>
    <row r="11" spans="1:6">
      <c r="A11" s="2571">
        <f>'数据-取费表'!AN11</f>
        <v>0</v>
      </c>
      <c r="B11" s="2570" t="e">
        <f ca="1">IF(F11="是",'数据-取费表'!AO11,0)</f>
        <v>#REF!</v>
      </c>
      <c r="C11" s="2561" t="s">
        <v>2467</v>
      </c>
      <c r="D11" s="2564"/>
      <c r="E11" s="2572">
        <f>IF(OR(A11=0,F11="否"),0,'数据-取费表'!K11+'数据-取费表'!S11)</f>
        <v>0</v>
      </c>
      <c r="F11" s="2573" t="s">
        <v>2473</v>
      </c>
    </row>
    <row r="12" spans="1:6">
      <c r="A12" s="2571">
        <f>'数据-取费表'!AN12</f>
        <v>0</v>
      </c>
      <c r="B12" s="2570" t="e">
        <f ca="1">IF(F12="是",'数据-取费表'!AO12,0)</f>
        <v>#REF!</v>
      </c>
      <c r="C12" s="2561" t="s">
        <v>2467</v>
      </c>
      <c r="D12" s="2564"/>
      <c r="E12" s="2572">
        <f>IF(OR(A12=0,F12="否"),0,'数据-取费表'!K12+'数据-取费表'!S12)</f>
        <v>0</v>
      </c>
      <c r="F12" s="2573" t="s">
        <v>2473</v>
      </c>
    </row>
    <row r="13" spans="1:6" ht="15" thickBot="1">
      <c r="A13" s="2574">
        <f>'数据-取费表'!AN13</f>
        <v>0</v>
      </c>
      <c r="B13" s="2570" t="e">
        <f ca="1">IF(F13="是",'数据-取费表'!AO13,0)</f>
        <v>#REF!</v>
      </c>
      <c r="C13" s="2575" t="s">
        <v>2467</v>
      </c>
      <c r="D13" s="2576"/>
      <c r="E13" s="2572">
        <f>IF(OR(A13=0,F13="否"),0,'数据-取费表'!K13+'数据-取费表'!S13)</f>
        <v>0</v>
      </c>
      <c r="F13" s="2573" t="s">
        <v>2473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65" t="s">
        <v>1072</v>
      </c>
      <c r="B1" s="3266"/>
      <c r="C1" s="3267"/>
      <c r="D1" s="3268">
        <f>SUM(I10,I15,I20,I21,I23)</f>
        <v>0</v>
      </c>
      <c r="E1" s="3268"/>
      <c r="F1" s="3268"/>
      <c r="G1" s="3268"/>
      <c r="H1" s="3268"/>
      <c r="I1" s="3269"/>
    </row>
    <row r="2" spans="1:9">
      <c r="A2" s="3270" t="s">
        <v>1073</v>
      </c>
      <c r="B2" s="3271" t="s">
        <v>1074</v>
      </c>
      <c r="C2" s="3271"/>
      <c r="D2" s="1300" t="s">
        <v>1075</v>
      </c>
      <c r="E2" s="1300" t="s">
        <v>1076</v>
      </c>
      <c r="F2" s="1300" t="s">
        <v>1077</v>
      </c>
      <c r="G2" s="1300" t="s">
        <v>1078</v>
      </c>
      <c r="H2" s="1300" t="s">
        <v>1079</v>
      </c>
      <c r="I2" s="1301" t="s">
        <v>1080</v>
      </c>
    </row>
    <row r="3" spans="1:9">
      <c r="A3" s="3270"/>
      <c r="B3" s="3271" t="s">
        <v>1081</v>
      </c>
      <c r="C3" s="3271"/>
      <c r="D3" s="1302"/>
      <c r="E3" s="1300"/>
      <c r="F3" s="1303"/>
      <c r="G3" s="1303"/>
      <c r="H3" s="1304"/>
      <c r="I3" s="1305">
        <f>ROUND(D3*E3*F3*G3*H3/10000,0)</f>
        <v>0</v>
      </c>
    </row>
    <row r="4" spans="1:9">
      <c r="A4" s="3270"/>
      <c r="B4" s="3271" t="s">
        <v>1082</v>
      </c>
      <c r="C4" s="3271"/>
      <c r="D4" s="1302"/>
      <c r="E4" s="1300"/>
      <c r="F4" s="1303"/>
      <c r="G4" s="1303"/>
      <c r="H4" s="1304"/>
      <c r="I4" s="1305">
        <f t="shared" ref="I4:I9" si="0">ROUND(D4*E4*F4*G4*H4/10000,0)</f>
        <v>0</v>
      </c>
    </row>
    <row r="5" spans="1:9">
      <c r="A5" s="3270"/>
      <c r="B5" s="3271" t="s">
        <v>1083</v>
      </c>
      <c r="C5" s="3271"/>
      <c r="D5" s="1302"/>
      <c r="E5" s="1300"/>
      <c r="F5" s="1303"/>
      <c r="G5" s="1303"/>
      <c r="H5" s="1304"/>
      <c r="I5" s="1305">
        <f t="shared" si="0"/>
        <v>0</v>
      </c>
    </row>
    <row r="6" spans="1:9">
      <c r="A6" s="3270"/>
      <c r="B6" s="3271" t="s">
        <v>1084</v>
      </c>
      <c r="C6" s="3271"/>
      <c r="D6" s="1302"/>
      <c r="E6" s="1300"/>
      <c r="F6" s="1303"/>
      <c r="G6" s="1303"/>
      <c r="H6" s="1304"/>
      <c r="I6" s="1305">
        <f t="shared" si="0"/>
        <v>0</v>
      </c>
    </row>
    <row r="7" spans="1:9">
      <c r="A7" s="3270"/>
      <c r="B7" s="3271" t="s">
        <v>1085</v>
      </c>
      <c r="C7" s="3271"/>
      <c r="D7" s="1302"/>
      <c r="E7" s="1300"/>
      <c r="F7" s="1303"/>
      <c r="G7" s="1303"/>
      <c r="H7" s="1304"/>
      <c r="I7" s="1305">
        <f t="shared" si="0"/>
        <v>0</v>
      </c>
    </row>
    <row r="8" spans="1:9">
      <c r="A8" s="3270"/>
      <c r="B8" s="3271" t="s">
        <v>1086</v>
      </c>
      <c r="C8" s="3271"/>
      <c r="D8" s="1302"/>
      <c r="E8" s="1300"/>
      <c r="F8" s="1303"/>
      <c r="G8" s="1303"/>
      <c r="H8" s="1304"/>
      <c r="I8" s="1305">
        <f t="shared" si="0"/>
        <v>0</v>
      </c>
    </row>
    <row r="9" spans="1:9">
      <c r="A9" s="3270"/>
      <c r="B9" s="3271" t="s">
        <v>1087</v>
      </c>
      <c r="C9" s="3271"/>
      <c r="D9" s="1302"/>
      <c r="E9" s="1300"/>
      <c r="F9" s="1303"/>
      <c r="G9" s="1303"/>
      <c r="H9" s="1304"/>
      <c r="I9" s="1305">
        <f t="shared" si="0"/>
        <v>0</v>
      </c>
    </row>
    <row r="10" spans="1:9">
      <c r="A10" s="3270"/>
      <c r="B10" s="3272" t="s">
        <v>1088</v>
      </c>
      <c r="C10" s="3272"/>
      <c r="D10" s="1306"/>
      <c r="E10" s="1306" t="e">
        <f>ROUND(D1*10000/D10/H9,0)</f>
        <v>#DIV/0!</v>
      </c>
      <c r="F10" s="1307"/>
      <c r="G10" s="1307"/>
      <c r="H10" s="1308"/>
      <c r="I10" s="1309">
        <f>SUM(I3:I9)</f>
        <v>0</v>
      </c>
    </row>
    <row r="11" spans="1:9" ht="14.25">
      <c r="A11" s="3270" t="s">
        <v>1089</v>
      </c>
      <c r="B11" s="3271" t="s">
        <v>1090</v>
      </c>
      <c r="C11" s="3271"/>
      <c r="D11" s="1302" t="s">
        <v>1091</v>
      </c>
      <c r="E11" s="1302" t="s">
        <v>1092</v>
      </c>
      <c r="F11" s="1303" t="s">
        <v>1093</v>
      </c>
      <c r="G11" s="1303" t="s">
        <v>1079</v>
      </c>
      <c r="H11" s="1310" t="s">
        <v>1094</v>
      </c>
      <c r="I11" s="1301" t="s">
        <v>1080</v>
      </c>
    </row>
    <row r="12" spans="1:9">
      <c r="A12" s="3270"/>
      <c r="B12" s="3271" t="s">
        <v>1095</v>
      </c>
      <c r="C12" s="3271"/>
      <c r="D12" s="1302"/>
      <c r="E12" s="1302"/>
      <c r="F12" s="1303"/>
      <c r="G12" s="1304"/>
      <c r="H12" s="1311"/>
      <c r="I12" s="1301">
        <f>ROUND(D12*E12*F12*G12/10000,0)</f>
        <v>0</v>
      </c>
    </row>
    <row r="13" spans="1:9">
      <c r="A13" s="3270"/>
      <c r="B13" s="3271" t="s">
        <v>1096</v>
      </c>
      <c r="C13" s="3271"/>
      <c r="D13" s="1302"/>
      <c r="E13" s="1302"/>
      <c r="F13" s="1303"/>
      <c r="G13" s="1304"/>
      <c r="H13" s="1311"/>
      <c r="I13" s="1301">
        <f>ROUND(D13*E13*F13*G13/10000,0)</f>
        <v>0</v>
      </c>
    </row>
    <row r="14" spans="1:9">
      <c r="A14" s="3270"/>
      <c r="B14" s="3271" t="s">
        <v>1097</v>
      </c>
      <c r="C14" s="3271"/>
      <c r="D14" s="1302"/>
      <c r="E14" s="1302"/>
      <c r="F14" s="1303"/>
      <c r="G14" s="1304"/>
      <c r="H14" s="1311"/>
      <c r="I14" s="1301">
        <f>ROUND(D14*E14*F14*G14/10000,0)</f>
        <v>0</v>
      </c>
    </row>
    <row r="15" spans="1:9">
      <c r="A15" s="3270"/>
      <c r="B15" s="3272" t="s">
        <v>1088</v>
      </c>
      <c r="C15" s="3272"/>
      <c r="D15" s="1306"/>
      <c r="E15" s="1306">
        <f>SUM(E12:E14)</f>
        <v>0</v>
      </c>
      <c r="F15" s="1307"/>
      <c r="G15" s="1304"/>
      <c r="H15" s="1311"/>
      <c r="I15" s="1312">
        <f>SUM(I12:I14)</f>
        <v>0</v>
      </c>
    </row>
    <row r="16" spans="1:9" ht="24">
      <c r="A16" s="3270" t="s">
        <v>1098</v>
      </c>
      <c r="B16" s="3271" t="s">
        <v>1099</v>
      </c>
      <c r="C16" s="3271"/>
      <c r="D16" s="1302" t="s">
        <v>1075</v>
      </c>
      <c r="E16" s="1313" t="s">
        <v>1100</v>
      </c>
      <c r="F16" s="1303" t="s">
        <v>1101</v>
      </c>
      <c r="G16" s="1304" t="s">
        <v>1079</v>
      </c>
      <c r="H16" s="1310" t="s">
        <v>1094</v>
      </c>
      <c r="I16" s="1301" t="s">
        <v>1080</v>
      </c>
    </row>
    <row r="17" spans="1:9" ht="14.25">
      <c r="A17" s="3270"/>
      <c r="B17" s="3271" t="s">
        <v>1102</v>
      </c>
      <c r="C17" s="3271"/>
      <c r="D17" s="1302"/>
      <c r="E17" s="1302"/>
      <c r="F17" s="1303"/>
      <c r="G17" s="1304"/>
      <c r="H17" s="1314"/>
      <c r="I17" s="1315">
        <f>ROUND(D17*E17*F17*G17/10000,0)</f>
        <v>0</v>
      </c>
    </row>
    <row r="18" spans="1:9" ht="14.25">
      <c r="A18" s="3270"/>
      <c r="B18" s="3271" t="s">
        <v>1103</v>
      </c>
      <c r="C18" s="3271"/>
      <c r="D18" s="1302"/>
      <c r="E18" s="1302"/>
      <c r="F18" s="1303"/>
      <c r="G18" s="1304"/>
      <c r="H18" s="1314"/>
      <c r="I18" s="1315">
        <f>ROUND(D18*E18*F18*G18/10000,0)</f>
        <v>0</v>
      </c>
    </row>
    <row r="19" spans="1:9" ht="14.25">
      <c r="A19" s="3270"/>
      <c r="B19" s="3271" t="s">
        <v>1104</v>
      </c>
      <c r="C19" s="3271"/>
      <c r="D19" s="1302"/>
      <c r="E19" s="1302"/>
      <c r="F19" s="1303"/>
      <c r="G19" s="1304"/>
      <c r="H19" s="1314"/>
      <c r="I19" s="1315">
        <f>ROUND(D19*E19*F19*G19/10000,0)</f>
        <v>0</v>
      </c>
    </row>
    <row r="20" spans="1:9">
      <c r="A20" s="3270"/>
      <c r="B20" s="3272" t="s">
        <v>1088</v>
      </c>
      <c r="C20" s="3272"/>
      <c r="D20" s="1306">
        <f>SUM(D17:D19)</f>
        <v>0</v>
      </c>
      <c r="E20" s="1306"/>
      <c r="F20" s="1307"/>
      <c r="G20" s="1304"/>
      <c r="H20" s="1311"/>
      <c r="I20" s="1312">
        <f>SUM(I17:I19)</f>
        <v>0</v>
      </c>
    </row>
    <row r="21" spans="1:9">
      <c r="A21" s="3270" t="s">
        <v>1105</v>
      </c>
      <c r="B21" s="3274"/>
      <c r="C21" s="3274"/>
      <c r="D21" s="3274"/>
      <c r="E21" s="3274"/>
      <c r="F21" s="3274"/>
      <c r="G21" s="3274"/>
      <c r="H21" s="1763">
        <v>0.1</v>
      </c>
      <c r="I21" s="1309">
        <f>ROUND(I10*H21,0)</f>
        <v>0</v>
      </c>
    </row>
    <row r="22" spans="1:9" ht="14.25">
      <c r="A22" s="3275" t="s">
        <v>1106</v>
      </c>
      <c r="B22" s="3276"/>
      <c r="C22" s="3277"/>
      <c r="D22" s="1316" t="s">
        <v>1107</v>
      </c>
      <c r="E22" s="1316" t="s">
        <v>1108</v>
      </c>
      <c r="F22" s="1317" t="s">
        <v>1109</v>
      </c>
      <c r="G22" s="1317" t="s">
        <v>1110</v>
      </c>
      <c r="H22" s="1310" t="s">
        <v>1111</v>
      </c>
      <c r="I22" s="1301" t="s">
        <v>1112</v>
      </c>
    </row>
    <row r="23" spans="1:9" ht="14.25" thickBot="1">
      <c r="A23" s="3278"/>
      <c r="B23" s="3279"/>
      <c r="C23" s="3280"/>
      <c r="D23" s="1318"/>
      <c r="E23" s="1318"/>
      <c r="F23" s="1318"/>
      <c r="G23" s="1319"/>
      <c r="H23" s="1320"/>
      <c r="I23" s="1321">
        <f>ROUND(E23*D23*F23*(1-G23)/10000,0)</f>
        <v>0</v>
      </c>
    </row>
    <row r="26" spans="1:9">
      <c r="A26" s="1322" t="s">
        <v>1113</v>
      </c>
      <c r="B26" s="1322"/>
      <c r="C26" s="1322"/>
      <c r="D26" s="1322"/>
      <c r="E26" s="3281">
        <f>C27-C30-C31-C32</f>
        <v>0</v>
      </c>
      <c r="F26" s="3281"/>
      <c r="G26" s="3281"/>
      <c r="H26" s="1735" t="s">
        <v>1332</v>
      </c>
    </row>
    <row r="27" spans="1:9">
      <c r="A27" s="1323">
        <v>1</v>
      </c>
      <c r="B27" s="1324" t="s">
        <v>1114</v>
      </c>
      <c r="C27" s="1324">
        <f>C28+C29</f>
        <v>0</v>
      </c>
      <c r="D27" s="1324"/>
      <c r="E27" s="3282"/>
      <c r="F27" s="3282"/>
      <c r="G27" s="3282"/>
    </row>
    <row r="28" spans="1:9">
      <c r="A28" s="1325" t="s">
        <v>1115</v>
      </c>
      <c r="B28" s="1324" t="s">
        <v>1116</v>
      </c>
      <c r="C28" s="1324"/>
      <c r="D28" s="1324"/>
      <c r="E28" s="3282"/>
      <c r="F28" s="3282"/>
      <c r="G28" s="3282"/>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73"/>
      <c r="F32" s="3273"/>
      <c r="G32" s="3273"/>
    </row>
    <row r="33" spans="1:7" hidden="1">
      <c r="A33" s="3283" t="s">
        <v>1125</v>
      </c>
      <c r="B33" s="3284"/>
      <c r="C33" s="3284"/>
      <c r="D33" s="3285"/>
      <c r="E33" s="3281"/>
      <c r="F33" s="3281"/>
      <c r="G33" s="3281"/>
    </row>
    <row r="34" spans="1:7" hidden="1">
      <c r="A34" s="1327">
        <v>1</v>
      </c>
      <c r="B34" s="1324" t="s">
        <v>1126</v>
      </c>
      <c r="C34" s="1324"/>
      <c r="D34" s="1324"/>
      <c r="E34" s="3282"/>
      <c r="F34" s="3282"/>
      <c r="G34" s="3282"/>
    </row>
    <row r="35" spans="1:7" hidden="1">
      <c r="A35" s="1327">
        <v>2</v>
      </c>
      <c r="B35" s="1324" t="s">
        <v>1127</v>
      </c>
      <c r="C35" s="1324"/>
      <c r="D35" s="1324"/>
      <c r="E35" s="3282"/>
      <c r="F35" s="3282"/>
      <c r="G35" s="3282"/>
    </row>
    <row r="36" spans="1:7" hidden="1">
      <c r="A36" s="1327">
        <v>3</v>
      </c>
      <c r="B36" s="1324" t="s">
        <v>1128</v>
      </c>
      <c r="C36" s="1324"/>
      <c r="D36" s="1324"/>
      <c r="E36" s="3282"/>
      <c r="F36" s="3282"/>
      <c r="G36" s="3282"/>
    </row>
    <row r="37" spans="1:7" hidden="1">
      <c r="A37" s="1327">
        <v>4</v>
      </c>
      <c r="B37" s="1324" t="s">
        <v>1129</v>
      </c>
      <c r="C37" s="1324"/>
      <c r="D37" s="1324"/>
      <c r="E37" s="3282"/>
      <c r="F37" s="3282"/>
      <c r="G37" s="3282"/>
    </row>
    <row r="38" spans="1:7" hidden="1">
      <c r="A38" s="3283" t="s">
        <v>1130</v>
      </c>
      <c r="B38" s="3284"/>
      <c r="C38" s="3284"/>
      <c r="D38" s="3285"/>
      <c r="E38" s="3281"/>
      <c r="F38" s="3281"/>
      <c r="G38" s="32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2476</v>
      </c>
      <c r="B1" s="2577" t="s">
        <v>2589</v>
      </c>
      <c r="C1" s="1632" t="s">
        <v>2478</v>
      </c>
      <c r="D1" s="1619"/>
      <c r="E1" s="2651"/>
      <c r="F1" s="2579"/>
      <c r="G1" s="1629" t="s">
        <v>2590</v>
      </c>
      <c r="H1" s="1628"/>
      <c r="I1" s="1628"/>
      <c r="J1" s="1628"/>
      <c r="K1" s="1630"/>
      <c r="L1" s="1631"/>
      <c r="M1" s="1632"/>
      <c r="N1" s="1632"/>
      <c r="O1" s="1632"/>
      <c r="P1" s="2652"/>
      <c r="Q1" s="2653"/>
      <c r="R1" s="2653"/>
      <c r="S1" s="2653"/>
      <c r="T1" s="2653"/>
      <c r="U1" s="2653"/>
      <c r="V1" s="2653"/>
      <c r="W1" s="2653"/>
      <c r="X1" s="2653"/>
      <c r="Y1" s="2653"/>
      <c r="Z1" s="2653"/>
      <c r="AA1" s="2653"/>
      <c r="AB1" s="2653"/>
      <c r="AC1" s="2654"/>
    </row>
    <row r="2" spans="1:29" s="397" customFormat="1" ht="28.5" customHeight="1" thickTop="1">
      <c r="A2" s="1615" t="s">
        <v>2278</v>
      </c>
      <c r="B2" s="1417" t="e">
        <f ca="1">IF(C2="——",ROUND(C49*D3/10000,0),ROUND(C49*D3/10000,0)-D2)</f>
        <v>#DIV/0!</v>
      </c>
      <c r="C2" s="2581"/>
      <c r="D2" s="1364" t="e">
        <f ca="1">SUMIF(INDIRECT("'"&amp;F2&amp;"'"&amp;"!A:A"),"承租人权益价值",INDIRECT("'"&amp;F2&amp;"'"&amp;"!c:c"))</f>
        <v>#REF!</v>
      </c>
      <c r="E2" s="2582" t="s">
        <v>2279</v>
      </c>
      <c r="F2" s="2583"/>
      <c r="G2" s="1124"/>
      <c r="H2" s="1124"/>
      <c r="I2" s="1124"/>
      <c r="J2" s="1124"/>
      <c r="K2" s="1124"/>
      <c r="L2" s="1127"/>
      <c r="M2" s="1128"/>
      <c r="N2" s="1128"/>
      <c r="O2" s="1128"/>
      <c r="P2" s="2655"/>
      <c r="Q2" s="1128"/>
      <c r="R2" s="1128"/>
      <c r="S2" s="1128"/>
      <c r="T2" s="1128"/>
      <c r="U2" s="1128"/>
      <c r="V2" s="1128"/>
      <c r="W2" s="1128"/>
      <c r="X2" s="1128"/>
      <c r="Y2" s="1128"/>
      <c r="Z2" s="1128"/>
      <c r="AA2" s="1128"/>
      <c r="AB2" s="1128"/>
      <c r="AC2" s="2656"/>
    </row>
    <row r="3" spans="1:29" s="397" customFormat="1" ht="28.5" customHeight="1" thickBot="1">
      <c r="A3" s="246" t="s">
        <v>2280</v>
      </c>
      <c r="B3" s="608" t="e">
        <f ca="1">IF(C2="——",C49,ROUND(B2*10000/D3,0))</f>
        <v>#DIV/0!</v>
      </c>
      <c r="C3" s="399" t="s">
        <v>2591</v>
      </c>
      <c r="D3" s="398">
        <f>IF(D1="",'数据-汇总表'!E3,SUMIF('数据-汇总表'!$C19:$C33,D1,'数据-汇总表'!$E19:$E33))</f>
        <v>167325.31000000003</v>
      </c>
      <c r="E3" s="2657"/>
      <c r="F3" s="1125"/>
      <c r="G3" s="1124"/>
      <c r="H3" s="1124"/>
      <c r="I3" s="1124"/>
      <c r="J3" s="1124"/>
      <c r="K3" s="1126"/>
      <c r="L3" s="1127"/>
      <c r="M3" s="1128"/>
      <c r="N3" s="1128"/>
      <c r="O3" s="1128"/>
      <c r="P3" s="2655"/>
      <c r="Q3" s="1128"/>
      <c r="R3" s="1128"/>
      <c r="S3" s="1128"/>
      <c r="T3" s="1128"/>
      <c r="U3" s="1128"/>
      <c r="V3" s="1128"/>
      <c r="W3" s="1128"/>
      <c r="X3" s="1128"/>
      <c r="Y3" s="1128"/>
      <c r="Z3" s="1128"/>
      <c r="AA3" s="1128"/>
      <c r="AB3" s="1128"/>
      <c r="AC3" s="2657"/>
    </row>
    <row r="4" spans="1:29" ht="15">
      <c r="A4" s="400" t="s">
        <v>2592</v>
      </c>
      <c r="B4" s="401"/>
      <c r="C4" s="3222" t="s">
        <v>2593</v>
      </c>
      <c r="D4" s="3223"/>
      <c r="E4" s="3224" t="s">
        <v>2594</v>
      </c>
      <c r="F4" s="3225"/>
      <c r="G4" s="3222" t="s">
        <v>2595</v>
      </c>
      <c r="H4" s="3223"/>
      <c r="I4" s="3222" t="s">
        <v>2596</v>
      </c>
      <c r="J4" s="3223"/>
      <c r="K4" s="609" t="s">
        <v>2597</v>
      </c>
      <c r="L4" s="1129"/>
      <c r="M4" s="1130"/>
      <c r="N4" s="1130"/>
      <c r="O4" s="1130"/>
      <c r="P4" s="3226" t="s">
        <v>2598</v>
      </c>
      <c r="Q4" s="3227"/>
      <c r="R4" s="3208" t="s">
        <v>2594</v>
      </c>
      <c r="S4" s="3209"/>
      <c r="T4" s="3208" t="s">
        <v>2595</v>
      </c>
      <c r="U4" s="3209"/>
      <c r="V4" s="3234" t="s">
        <v>2596</v>
      </c>
      <c r="W4" s="3234"/>
      <c r="X4" s="1811"/>
      <c r="Y4" s="3208" t="s">
        <v>2598</v>
      </c>
      <c r="Z4" s="3209"/>
      <c r="AA4" s="3203" t="s">
        <v>2594</v>
      </c>
      <c r="AB4" s="3234" t="s">
        <v>2595</v>
      </c>
      <c r="AC4" s="3203" t="s">
        <v>2596</v>
      </c>
    </row>
    <row r="5" spans="1:29" ht="15">
      <c r="A5" s="403"/>
      <c r="B5" s="404"/>
      <c r="C5" s="3218" t="s">
        <v>2490</v>
      </c>
      <c r="D5" s="3215"/>
      <c r="E5" s="3212" t="s">
        <v>2491</v>
      </c>
      <c r="F5" s="3213"/>
      <c r="G5" s="3218" t="s">
        <v>2492</v>
      </c>
      <c r="H5" s="3215"/>
      <c r="I5" s="3218" t="s">
        <v>2493</v>
      </c>
      <c r="J5" s="3215"/>
      <c r="K5" s="609"/>
      <c r="L5" s="1129"/>
      <c r="M5" s="1130"/>
      <c r="N5" s="1130"/>
      <c r="O5" s="1130"/>
      <c r="P5" s="3228"/>
      <c r="Q5" s="3229"/>
      <c r="R5" s="3210"/>
      <c r="S5" s="3211"/>
      <c r="T5" s="3210"/>
      <c r="U5" s="3211"/>
      <c r="V5" s="3234"/>
      <c r="W5" s="3234"/>
      <c r="X5" s="1811"/>
      <c r="Y5" s="3210"/>
      <c r="Z5" s="3211"/>
      <c r="AA5" s="3204"/>
      <c r="AB5" s="3234"/>
      <c r="AC5" s="3204"/>
    </row>
    <row r="6" spans="1:29" ht="15.75" thickBot="1">
      <c r="A6" s="405"/>
      <c r="B6" s="406"/>
      <c r="C6" s="3216" t="s">
        <v>2494</v>
      </c>
      <c r="D6" s="3217"/>
      <c r="E6" s="3219" t="s">
        <v>2494</v>
      </c>
      <c r="F6" s="3220"/>
      <c r="G6" s="3216" t="s">
        <v>2494</v>
      </c>
      <c r="H6" s="3217"/>
      <c r="I6" s="3216" t="s">
        <v>2494</v>
      </c>
      <c r="J6" s="3217"/>
      <c r="K6" s="609" t="s">
        <v>2495</v>
      </c>
      <c r="L6" s="1129"/>
      <c r="M6" s="1130"/>
      <c r="N6" s="1130"/>
      <c r="O6" s="1130"/>
      <c r="P6" s="3230"/>
      <c r="Q6" s="3231"/>
      <c r="R6" s="3210"/>
      <c r="S6" s="3211"/>
      <c r="T6" s="3232"/>
      <c r="U6" s="3233"/>
      <c r="V6" s="3234"/>
      <c r="W6" s="3234"/>
      <c r="X6" s="1811"/>
      <c r="Y6" s="3232"/>
      <c r="Z6" s="3233"/>
      <c r="AA6" s="3205"/>
      <c r="AB6" s="3234"/>
      <c r="AC6" s="3205"/>
    </row>
    <row r="7" spans="1:29" s="117" customFormat="1" ht="15.75" thickBot="1">
      <c r="A7" s="407" t="s">
        <v>2496</v>
      </c>
      <c r="B7" s="408"/>
      <c r="C7" s="409">
        <f>'数据-取费表'!B2</f>
        <v>43452</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06" t="s">
        <v>2497</v>
      </c>
      <c r="Q7" s="3235"/>
      <c r="R7" s="769" t="s">
        <v>17</v>
      </c>
      <c r="S7" s="770">
        <f t="shared" ref="S7:S15" si="0">F7</f>
        <v>0</v>
      </c>
      <c r="T7" s="769" t="s">
        <v>17</v>
      </c>
      <c r="U7" s="770">
        <f t="shared" ref="U7:U15" si="1">H7</f>
        <v>0</v>
      </c>
      <c r="V7" s="769" t="s">
        <v>17</v>
      </c>
      <c r="W7" s="770">
        <f t="shared" ref="W7:W15" si="2">J7</f>
        <v>0</v>
      </c>
      <c r="X7" s="771"/>
      <c r="Y7" s="3206" t="s">
        <v>2497</v>
      </c>
      <c r="Z7" s="3207"/>
      <c r="AA7" s="772" t="e">
        <f>D7/F7</f>
        <v>#DIV/0!</v>
      </c>
      <c r="AB7" s="772" t="e">
        <f>D7/H7</f>
        <v>#DIV/0!</v>
      </c>
      <c r="AC7" s="772" t="e">
        <f>D7/J7</f>
        <v>#DIV/0!</v>
      </c>
    </row>
    <row r="8" spans="1:29" s="117" customFormat="1" ht="15.75" thickBot="1">
      <c r="A8" s="407" t="s">
        <v>2498</v>
      </c>
      <c r="B8" s="408"/>
      <c r="C8" s="413" t="s">
        <v>2599</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06" t="s">
        <v>2500</v>
      </c>
      <c r="Q8" s="3207"/>
      <c r="R8" s="769" t="s">
        <v>17</v>
      </c>
      <c r="S8" s="770">
        <f t="shared" si="0"/>
        <v>0</v>
      </c>
      <c r="T8" s="769" t="s">
        <v>17</v>
      </c>
      <c r="U8" s="770">
        <f t="shared" si="1"/>
        <v>0</v>
      </c>
      <c r="V8" s="769" t="s">
        <v>17</v>
      </c>
      <c r="W8" s="770">
        <f t="shared" si="2"/>
        <v>0</v>
      </c>
      <c r="X8" s="771"/>
      <c r="Y8" s="3206" t="s">
        <v>2500</v>
      </c>
      <c r="Z8" s="3207"/>
      <c r="AA8" s="772" t="e">
        <f t="shared" ref="AA8:AA46" si="3">D8/F8</f>
        <v>#DIV/0!</v>
      </c>
      <c r="AB8" s="772" t="e">
        <f t="shared" ref="AB8:AB46" si="4">D8/H8</f>
        <v>#DIV/0!</v>
      </c>
      <c r="AC8" s="772" t="e">
        <f t="shared" ref="AC8:AC46" si="5">D8/J8</f>
        <v>#DIV/0!</v>
      </c>
    </row>
    <row r="9" spans="1:29" s="117" customFormat="1">
      <c r="A9" s="414" t="s">
        <v>2501</v>
      </c>
      <c r="B9" s="71" t="s">
        <v>2502</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45" t="s">
        <v>2503</v>
      </c>
      <c r="Q9" s="1793" t="str">
        <f t="shared" ref="Q9:Q15" si="6">B9</f>
        <v>用途</v>
      </c>
      <c r="R9" s="769" t="s">
        <v>17</v>
      </c>
      <c r="S9" s="770">
        <f t="shared" si="0"/>
        <v>100</v>
      </c>
      <c r="T9" s="769" t="s">
        <v>17</v>
      </c>
      <c r="U9" s="770">
        <f t="shared" si="1"/>
        <v>100</v>
      </c>
      <c r="V9" s="769" t="s">
        <v>17</v>
      </c>
      <c r="W9" s="770">
        <f t="shared" si="2"/>
        <v>100</v>
      </c>
      <c r="X9" s="771"/>
      <c r="Y9" s="3083" t="s">
        <v>2504</v>
      </c>
      <c r="Z9" s="55" t="str">
        <f t="shared" ref="Z9:Z15" si="7">Q9</f>
        <v>用途</v>
      </c>
      <c r="AA9" s="772">
        <f t="shared" si="3"/>
        <v>1</v>
      </c>
      <c r="AB9" s="772">
        <f t="shared" si="4"/>
        <v>1</v>
      </c>
      <c r="AC9" s="772">
        <f t="shared" si="5"/>
        <v>1</v>
      </c>
    </row>
    <row r="10" spans="1:29" s="426" customFormat="1" ht="27">
      <c r="A10" s="420"/>
      <c r="B10" s="421" t="s">
        <v>2505</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45"/>
      <c r="Q10" s="1793" t="str">
        <f t="shared" si="6"/>
        <v>土地使用年限（年）</v>
      </c>
      <c r="R10" s="769" t="s">
        <v>17</v>
      </c>
      <c r="S10" s="770">
        <f t="shared" si="0"/>
        <v>100</v>
      </c>
      <c r="T10" s="769" t="s">
        <v>17</v>
      </c>
      <c r="U10" s="770">
        <f t="shared" si="1"/>
        <v>100</v>
      </c>
      <c r="V10" s="769" t="s">
        <v>17</v>
      </c>
      <c r="W10" s="770">
        <f t="shared" si="2"/>
        <v>100</v>
      </c>
      <c r="X10" s="771"/>
      <c r="Y10" s="3083"/>
      <c r="Z10" s="55" t="str">
        <f t="shared" si="7"/>
        <v>土地使用年限（年）</v>
      </c>
      <c r="AA10" s="772">
        <f t="shared" si="3"/>
        <v>1</v>
      </c>
      <c r="AB10" s="772">
        <f t="shared" si="4"/>
        <v>1</v>
      </c>
      <c r="AC10" s="772">
        <f t="shared" si="5"/>
        <v>1</v>
      </c>
    </row>
    <row r="11" spans="1:29" ht="15">
      <c r="A11" s="427"/>
      <c r="B11" s="421" t="s">
        <v>2506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45"/>
      <c r="Q11" s="1793" t="str">
        <f t="shared" si="6"/>
        <v>容积率</v>
      </c>
      <c r="R11" s="769" t="s">
        <v>17</v>
      </c>
      <c r="S11" s="770" t="e">
        <f t="shared" si="0"/>
        <v>#N/A</v>
      </c>
      <c r="T11" s="769" t="s">
        <v>17</v>
      </c>
      <c r="U11" s="770" t="e">
        <f t="shared" si="1"/>
        <v>#N/A</v>
      </c>
      <c r="V11" s="769" t="s">
        <v>17</v>
      </c>
      <c r="W11" s="770" t="e">
        <f t="shared" si="2"/>
        <v>#N/A</v>
      </c>
      <c r="X11" s="771"/>
      <c r="Y11" s="3083"/>
      <c r="Z11" s="55" t="str">
        <f t="shared" si="7"/>
        <v>容积率</v>
      </c>
      <c r="AA11" s="772" t="e">
        <f t="shared" si="3"/>
        <v>#N/A</v>
      </c>
      <c r="AB11" s="772" t="e">
        <f t="shared" si="4"/>
        <v>#N/A</v>
      </c>
      <c r="AC11" s="772" t="e">
        <f t="shared" si="5"/>
        <v>#N/A</v>
      </c>
    </row>
    <row r="12" spans="1:29" s="117" customFormat="1" ht="15">
      <c r="A12" s="430"/>
      <c r="B12" s="2595">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45"/>
      <c r="Q12" s="1793">
        <f t="shared" si="6"/>
        <v>111</v>
      </c>
      <c r="R12" s="769" t="s">
        <v>17</v>
      </c>
      <c r="S12" s="770">
        <f t="shared" si="0"/>
        <v>100</v>
      </c>
      <c r="T12" s="769" t="s">
        <v>17</v>
      </c>
      <c r="U12" s="770">
        <f t="shared" si="1"/>
        <v>100</v>
      </c>
      <c r="V12" s="769" t="s">
        <v>17</v>
      </c>
      <c r="W12" s="770">
        <f t="shared" si="2"/>
        <v>100</v>
      </c>
      <c r="X12" s="771"/>
      <c r="Y12" s="3083"/>
      <c r="Z12" s="55">
        <f t="shared" si="7"/>
        <v>111</v>
      </c>
      <c r="AA12" s="772">
        <f>D12/F12</f>
        <v>1</v>
      </c>
      <c r="AB12" s="772">
        <f>D12/H12</f>
        <v>1</v>
      </c>
      <c r="AC12" s="772">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45"/>
      <c r="Q13" s="1793">
        <f t="shared" si="6"/>
        <v>111</v>
      </c>
      <c r="R13" s="769" t="s">
        <v>17</v>
      </c>
      <c r="S13" s="770">
        <f t="shared" si="0"/>
        <v>100</v>
      </c>
      <c r="T13" s="769" t="s">
        <v>17</v>
      </c>
      <c r="U13" s="770">
        <f t="shared" si="1"/>
        <v>100</v>
      </c>
      <c r="V13" s="769" t="s">
        <v>17</v>
      </c>
      <c r="W13" s="770">
        <f t="shared" si="2"/>
        <v>100</v>
      </c>
      <c r="X13" s="771"/>
      <c r="Y13" s="3083"/>
      <c r="Z13" s="55">
        <f t="shared" si="7"/>
        <v>111</v>
      </c>
      <c r="AA13" s="772">
        <f t="shared" si="3"/>
        <v>1</v>
      </c>
      <c r="AB13" s="772">
        <f t="shared" si="4"/>
        <v>1</v>
      </c>
      <c r="AC13" s="772">
        <f t="shared" si="5"/>
        <v>1</v>
      </c>
    </row>
    <row r="14" spans="1:29" ht="15.75" thickBot="1">
      <c r="A14" s="435"/>
      <c r="B14" s="2597">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45"/>
      <c r="Q14" s="1793">
        <f t="shared" si="6"/>
        <v>111</v>
      </c>
      <c r="R14" s="769" t="s">
        <v>17</v>
      </c>
      <c r="S14" s="770">
        <f t="shared" si="0"/>
        <v>100</v>
      </c>
      <c r="T14" s="769" t="s">
        <v>17</v>
      </c>
      <c r="U14" s="770">
        <f t="shared" si="1"/>
        <v>100</v>
      </c>
      <c r="V14" s="769" t="s">
        <v>17</v>
      </c>
      <c r="W14" s="770">
        <f t="shared" si="2"/>
        <v>100</v>
      </c>
      <c r="X14" s="771"/>
      <c r="Y14" s="3083"/>
      <c r="Z14" s="55">
        <f t="shared" si="7"/>
        <v>111</v>
      </c>
      <c r="AA14" s="772">
        <f t="shared" si="3"/>
        <v>1</v>
      </c>
      <c r="AB14" s="772">
        <f t="shared" si="4"/>
        <v>1</v>
      </c>
      <c r="AC14" s="772">
        <f t="shared" si="5"/>
        <v>1</v>
      </c>
    </row>
    <row r="15" spans="1:29" ht="15">
      <c r="A15" s="439" t="s">
        <v>2507</v>
      </c>
      <c r="B15" s="69" t="s">
        <v>2600</v>
      </c>
      <c r="C15" s="2598" t="str">
        <f>估价对象房地状况!C4</f>
        <v>——</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52" t="s">
        <v>2508</v>
      </c>
      <c r="Q15" s="1808" t="str">
        <f t="shared" si="6"/>
        <v>商业繁华度</v>
      </c>
      <c r="R15" s="773" t="s">
        <v>17</v>
      </c>
      <c r="S15" s="774">
        <f t="shared" si="0"/>
        <v>100</v>
      </c>
      <c r="T15" s="773" t="s">
        <v>17</v>
      </c>
      <c r="U15" s="774">
        <f t="shared" si="1"/>
        <v>100</v>
      </c>
      <c r="V15" s="773" t="s">
        <v>17</v>
      </c>
      <c r="W15" s="774">
        <f t="shared" si="2"/>
        <v>100</v>
      </c>
      <c r="X15" s="1811"/>
      <c r="Y15" s="3236" t="s">
        <v>2508</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0"/>
      <c r="P16" s="3253"/>
      <c r="Q16" s="1808"/>
      <c r="R16" s="773"/>
      <c r="S16" s="774"/>
      <c r="T16" s="773"/>
      <c r="U16" s="774"/>
      <c r="V16" s="773"/>
      <c r="W16" s="774"/>
      <c r="X16" s="1811"/>
      <c r="Y16" s="3237"/>
      <c r="Z16" s="1812"/>
      <c r="AA16" s="1809">
        <v>1</v>
      </c>
      <c r="AB16" s="1809">
        <v>1</v>
      </c>
      <c r="AC16" s="1809">
        <v>1</v>
      </c>
    </row>
    <row r="17" spans="1:29" ht="128.25">
      <c r="A17" s="427"/>
      <c r="B17" s="450" t="s">
        <v>2049</v>
      </c>
      <c r="C17" s="2602" t="str">
        <f>估价对象房地状况!C6</f>
        <v>估价对象周边道路状况一般、公共交通通达情况一般、停车便捷程度较好，周边有143、300路等公交线路，综合评价交通便捷度一般</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53"/>
      <c r="Q17" s="1808" t="str">
        <f>B17</f>
        <v>交通便捷度</v>
      </c>
      <c r="R17" s="773" t="s">
        <v>17</v>
      </c>
      <c r="S17" s="774">
        <f>F17</f>
        <v>100</v>
      </c>
      <c r="T17" s="773" t="s">
        <v>17</v>
      </c>
      <c r="U17" s="774">
        <f>H17</f>
        <v>100</v>
      </c>
      <c r="V17" s="773" t="s">
        <v>17</v>
      </c>
      <c r="W17" s="774">
        <f>J17</f>
        <v>100</v>
      </c>
      <c r="X17" s="1811"/>
      <c r="Y17" s="3237"/>
      <c r="Z17" s="1812" t="str">
        <f>Q17</f>
        <v>交通便捷度</v>
      </c>
      <c r="AA17" s="1809">
        <f t="shared" si="3"/>
        <v>1</v>
      </c>
      <c r="AB17" s="1809">
        <f t="shared" si="4"/>
        <v>1</v>
      </c>
      <c r="AC17" s="1809">
        <f t="shared" si="5"/>
        <v>1</v>
      </c>
    </row>
    <row r="18" spans="1:29" ht="15">
      <c r="A18" s="427"/>
      <c r="B18" s="455"/>
      <c r="C18" s="2603"/>
      <c r="D18" s="449"/>
      <c r="E18" s="2605"/>
      <c r="F18" s="452"/>
      <c r="G18" s="2604"/>
      <c r="H18" s="447"/>
      <c r="I18" s="2605"/>
      <c r="J18" s="447"/>
      <c r="K18" s="614"/>
      <c r="L18" s="1139"/>
      <c r="M18" s="1130"/>
      <c r="N18" s="1130"/>
      <c r="O18" s="1130"/>
      <c r="P18" s="3253"/>
      <c r="Q18" s="1808"/>
      <c r="R18" s="773"/>
      <c r="S18" s="774"/>
      <c r="T18" s="773"/>
      <c r="U18" s="774"/>
      <c r="V18" s="773"/>
      <c r="W18" s="774"/>
      <c r="X18" s="1811"/>
      <c r="Y18" s="3237"/>
      <c r="Z18" s="1812"/>
      <c r="AA18" s="1809">
        <v>1</v>
      </c>
      <c r="AB18" s="1809">
        <v>1</v>
      </c>
      <c r="AC18" s="1809">
        <v>1</v>
      </c>
    </row>
    <row r="19" spans="1:29" ht="42.75">
      <c r="A19" s="427"/>
      <c r="B19" s="450" t="s">
        <v>2601</v>
      </c>
      <c r="C19" s="2602" t="str">
        <f>估价对象房地状况!C7</f>
        <v>估价对象所在区域公共配套设施齐备情况一般</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53"/>
      <c r="Q19" s="1808" t="str">
        <f>B19</f>
        <v>公共配套设施</v>
      </c>
      <c r="R19" s="773" t="s">
        <v>17</v>
      </c>
      <c r="S19" s="774">
        <f>F19</f>
        <v>100</v>
      </c>
      <c r="T19" s="773" t="s">
        <v>17</v>
      </c>
      <c r="U19" s="774">
        <f>H19</f>
        <v>100</v>
      </c>
      <c r="V19" s="773" t="s">
        <v>17</v>
      </c>
      <c r="W19" s="774">
        <f>J19</f>
        <v>100</v>
      </c>
      <c r="X19" s="1811"/>
      <c r="Y19" s="3237"/>
      <c r="Z19" s="1812" t="str">
        <f>Q19</f>
        <v>公共配套设施</v>
      </c>
      <c r="AA19" s="1809">
        <f t="shared" si="3"/>
        <v>1</v>
      </c>
      <c r="AB19" s="1809">
        <f t="shared" si="4"/>
        <v>1</v>
      </c>
      <c r="AC19" s="1809">
        <f t="shared" si="5"/>
        <v>1</v>
      </c>
    </row>
    <row r="20" spans="1:29" ht="15">
      <c r="A20" s="427"/>
      <c r="B20" s="455"/>
      <c r="C20" s="446"/>
      <c r="D20" s="447"/>
      <c r="E20" s="2600"/>
      <c r="F20" s="448"/>
      <c r="G20" s="2599"/>
      <c r="H20" s="447"/>
      <c r="I20" s="2600"/>
      <c r="J20" s="447"/>
      <c r="K20" s="614"/>
      <c r="L20" s="1139"/>
      <c r="M20" s="1130"/>
      <c r="N20" s="1130"/>
      <c r="O20" s="1130"/>
      <c r="P20" s="3253"/>
      <c r="Q20" s="1808"/>
      <c r="R20" s="773"/>
      <c r="S20" s="774"/>
      <c r="T20" s="773"/>
      <c r="U20" s="774"/>
      <c r="V20" s="773"/>
      <c r="W20" s="774"/>
      <c r="X20" s="1811"/>
      <c r="Y20" s="3237"/>
      <c r="Z20" s="1812"/>
      <c r="AA20" s="1809">
        <v>1</v>
      </c>
      <c r="AB20" s="1809">
        <v>1</v>
      </c>
      <c r="AC20" s="1809">
        <v>1</v>
      </c>
    </row>
    <row r="21" spans="1:29" ht="42.75">
      <c r="A21" s="427"/>
      <c r="B21" s="1383" t="s">
        <v>2602</v>
      </c>
      <c r="C21" s="2602" t="str">
        <f>估价对象房地状况!C8</f>
        <v>估价对象所在区域基础设施水平较好</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53"/>
      <c r="Q21" s="1808" t="str">
        <f>B21</f>
        <v>基础设施水平</v>
      </c>
      <c r="R21" s="773" t="s">
        <v>17</v>
      </c>
      <c r="S21" s="774">
        <f>F21</f>
        <v>100</v>
      </c>
      <c r="T21" s="773" t="s">
        <v>17</v>
      </c>
      <c r="U21" s="774">
        <f>H21</f>
        <v>100</v>
      </c>
      <c r="V21" s="773" t="s">
        <v>17</v>
      </c>
      <c r="W21" s="774">
        <f>J21</f>
        <v>100</v>
      </c>
      <c r="X21" s="1811"/>
      <c r="Y21" s="3237"/>
      <c r="Z21" s="1812" t="str">
        <f>Q21</f>
        <v>基础设施水平</v>
      </c>
      <c r="AA21" s="1809">
        <f t="shared" ref="AA21" si="8">D21/F21</f>
        <v>1</v>
      </c>
      <c r="AB21" s="1809">
        <f t="shared" ref="AB21" si="9">D21/H21</f>
        <v>1</v>
      </c>
      <c r="AC21" s="1809">
        <f t="shared" ref="AC21" si="10">D21/J21</f>
        <v>1</v>
      </c>
    </row>
    <row r="22" spans="1:29" ht="15">
      <c r="A22" s="427"/>
      <c r="B22" s="1383"/>
      <c r="C22" s="2603"/>
      <c r="D22" s="447"/>
      <c r="E22" s="446"/>
      <c r="F22" s="448"/>
      <c r="G22" s="446"/>
      <c r="H22" s="447"/>
      <c r="I22" s="446"/>
      <c r="J22" s="447"/>
      <c r="K22" s="1382"/>
      <c r="L22" s="1139"/>
      <c r="M22" s="1130"/>
      <c r="N22" s="1130"/>
      <c r="O22" s="1130"/>
      <c r="P22" s="3253"/>
      <c r="Q22" s="1808"/>
      <c r="R22" s="773"/>
      <c r="S22" s="774"/>
      <c r="T22" s="773"/>
      <c r="U22" s="774"/>
      <c r="V22" s="773"/>
      <c r="W22" s="774"/>
      <c r="X22" s="1811"/>
      <c r="Y22" s="3237"/>
      <c r="Z22" s="1812"/>
      <c r="AA22" s="1809">
        <v>1</v>
      </c>
      <c r="AB22" s="1809">
        <v>1</v>
      </c>
      <c r="AC22" s="1809">
        <v>1</v>
      </c>
    </row>
    <row r="23" spans="1:29" ht="114">
      <c r="A23" s="427"/>
      <c r="B23" s="450" t="s">
        <v>2052</v>
      </c>
      <c r="C23" s="2658" t="str">
        <f>估价对象房地状况!C9</f>
        <v>区域自然环境及人文环境好；周边有合肥半岛花博园、大房郢水库、合肥经济技术职业学院等，综合评价环境状况好</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53"/>
      <c r="Q23" s="1808" t="str">
        <f>B23</f>
        <v>自然及人文环境</v>
      </c>
      <c r="R23" s="773" t="s">
        <v>17</v>
      </c>
      <c r="S23" s="774">
        <f>F23</f>
        <v>100</v>
      </c>
      <c r="T23" s="773" t="s">
        <v>17</v>
      </c>
      <c r="U23" s="774">
        <f>H23</f>
        <v>100</v>
      </c>
      <c r="V23" s="773" t="s">
        <v>17</v>
      </c>
      <c r="W23" s="774">
        <f>J23</f>
        <v>100</v>
      </c>
      <c r="X23" s="1811"/>
      <c r="Y23" s="3237"/>
      <c r="Z23" s="1812" t="str">
        <f>Q23</f>
        <v>自然及人文环境</v>
      </c>
      <c r="AA23" s="1809">
        <f t="shared" si="3"/>
        <v>1</v>
      </c>
      <c r="AB23" s="1809">
        <f t="shared" si="4"/>
        <v>1</v>
      </c>
      <c r="AC23" s="1809">
        <f t="shared" si="5"/>
        <v>1</v>
      </c>
    </row>
    <row r="24" spans="1:29" ht="15">
      <c r="A24" s="427"/>
      <c r="B24" s="455"/>
      <c r="C24" s="446"/>
      <c r="D24" s="447"/>
      <c r="E24" s="2600"/>
      <c r="F24" s="448"/>
      <c r="G24" s="2599"/>
      <c r="H24" s="447"/>
      <c r="I24" s="2600"/>
      <c r="J24" s="447"/>
      <c r="K24" s="614"/>
      <c r="L24" s="1139"/>
      <c r="M24" s="1130"/>
      <c r="N24" s="1130"/>
      <c r="O24" s="1130"/>
      <c r="P24" s="3253"/>
      <c r="Q24" s="1808"/>
      <c r="R24" s="773"/>
      <c r="S24" s="774"/>
      <c r="T24" s="773"/>
      <c r="U24" s="774"/>
      <c r="V24" s="773"/>
      <c r="W24" s="774"/>
      <c r="X24" s="1811"/>
      <c r="Y24" s="3237"/>
      <c r="Z24" s="1812"/>
      <c r="AA24" s="1809">
        <v>1</v>
      </c>
      <c r="AB24" s="1809">
        <v>1</v>
      </c>
      <c r="AC24" s="1809">
        <v>1</v>
      </c>
    </row>
    <row r="25" spans="1:29" ht="15">
      <c r="A25" s="427"/>
      <c r="B25" s="421" t="s">
        <v>2603</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53"/>
      <c r="Q25" s="1808" t="str">
        <f t="shared" ref="Q25:Q46" si="11">B25</f>
        <v>临街状况</v>
      </c>
      <c r="R25" s="773" t="s">
        <v>17</v>
      </c>
      <c r="S25" s="774">
        <f>F25</f>
        <v>100</v>
      </c>
      <c r="T25" s="773" t="s">
        <v>17</v>
      </c>
      <c r="U25" s="774">
        <f>H25</f>
        <v>100</v>
      </c>
      <c r="V25" s="773" t="s">
        <v>17</v>
      </c>
      <c r="W25" s="774">
        <f>J25</f>
        <v>100</v>
      </c>
      <c r="X25" s="1811"/>
      <c r="Y25" s="3237"/>
      <c r="Z25" s="1812" t="str">
        <f>Q25</f>
        <v>临街状况</v>
      </c>
      <c r="AA25" s="1809">
        <f t="shared" si="3"/>
        <v>1</v>
      </c>
      <c r="AB25" s="1809">
        <f t="shared" si="4"/>
        <v>1</v>
      </c>
      <c r="AC25" s="1809">
        <f t="shared" si="5"/>
        <v>1</v>
      </c>
    </row>
    <row r="26" spans="1:29" ht="15">
      <c r="A26" s="427"/>
      <c r="B26" s="1385" t="s">
        <v>2604</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53"/>
      <c r="Q26" s="1808" t="str">
        <f t="shared" si="11"/>
        <v>平面位置/可视性</v>
      </c>
      <c r="R26" s="773" t="s">
        <v>17</v>
      </c>
      <c r="S26" s="774">
        <f>F26</f>
        <v>100</v>
      </c>
      <c r="T26" s="773" t="s">
        <v>17</v>
      </c>
      <c r="U26" s="774">
        <f>H26</f>
        <v>100</v>
      </c>
      <c r="V26" s="773" t="s">
        <v>17</v>
      </c>
      <c r="W26" s="774">
        <f>J26</f>
        <v>100</v>
      </c>
      <c r="X26" s="1811"/>
      <c r="Y26" s="3237"/>
      <c r="Z26" s="1812" t="str">
        <f>Q26</f>
        <v>平面位置/可视性</v>
      </c>
      <c r="AA26" s="1809">
        <f t="shared" si="3"/>
        <v>1</v>
      </c>
      <c r="AB26" s="1809">
        <f t="shared" si="4"/>
        <v>1</v>
      </c>
      <c r="AC26" s="1809">
        <f t="shared" si="5"/>
        <v>1</v>
      </c>
    </row>
    <row r="27" spans="1:29" s="117" customFormat="1" ht="15">
      <c r="A27" s="430"/>
      <c r="B27" s="450" t="s">
        <v>2605</v>
      </c>
      <c r="C27" s="2659"/>
      <c r="D27" s="461">
        <v>100</v>
      </c>
      <c r="E27" s="2659"/>
      <c r="F27" s="463">
        <f>SUMIF(90:90,E27,91:91)-SUMIF(90:90,C27,91:91)+100</f>
        <v>100</v>
      </c>
      <c r="G27" s="2659"/>
      <c r="H27" s="461">
        <f>SUMIF(90:90,G27,91:91)-SUMIF(90:90,C27,91:91)+100</f>
        <v>100</v>
      </c>
      <c r="I27" s="2659"/>
      <c r="J27" s="461">
        <f>SUMIF(90:90,I27,91:91)-SUMIF(90:90,C27,91:91)+100</f>
        <v>100</v>
      </c>
      <c r="K27" s="611"/>
      <c r="L27" s="1131"/>
      <c r="M27" s="1132"/>
      <c r="N27" s="1132"/>
      <c r="O27" s="1132"/>
      <c r="P27" s="3253"/>
      <c r="Q27" s="1793" t="str">
        <f t="shared" si="11"/>
        <v>人流量</v>
      </c>
      <c r="R27" s="769" t="s">
        <v>17</v>
      </c>
      <c r="S27" s="770">
        <f>F27</f>
        <v>100</v>
      </c>
      <c r="T27" s="769" t="s">
        <v>17</v>
      </c>
      <c r="U27" s="770">
        <f>H27</f>
        <v>100</v>
      </c>
      <c r="V27" s="769" t="s">
        <v>17</v>
      </c>
      <c r="W27" s="770">
        <f>J27</f>
        <v>100</v>
      </c>
      <c r="X27" s="771"/>
      <c r="Y27" s="3237"/>
      <c r="Z27" s="55" t="str">
        <f>Q27</f>
        <v>人流量</v>
      </c>
      <c r="AA27" s="1809">
        <f>D27/F27</f>
        <v>1</v>
      </c>
      <c r="AB27" s="1809">
        <f>D27/H27</f>
        <v>1</v>
      </c>
      <c r="AC27" s="1809">
        <f>D27/J27</f>
        <v>1</v>
      </c>
    </row>
    <row r="28" spans="1:29" ht="15">
      <c r="A28" s="427"/>
      <c r="B28" s="421" t="s">
        <v>2606</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53"/>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37"/>
      <c r="Z28" s="1812" t="str">
        <f t="shared" ref="Z28:Z46" si="15">Q28</f>
        <v>楼层</v>
      </c>
      <c r="AA28" s="1809">
        <f t="shared" si="3"/>
        <v>1</v>
      </c>
      <c r="AB28" s="1809">
        <f t="shared" si="4"/>
        <v>1</v>
      </c>
      <c r="AC28" s="1809">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53"/>
      <c r="Q29" s="1808">
        <f t="shared" si="11"/>
        <v>111</v>
      </c>
      <c r="R29" s="773" t="s">
        <v>17</v>
      </c>
      <c r="S29" s="774">
        <f t="shared" si="12"/>
        <v>100</v>
      </c>
      <c r="T29" s="773" t="s">
        <v>17</v>
      </c>
      <c r="U29" s="774">
        <f t="shared" si="13"/>
        <v>100</v>
      </c>
      <c r="V29" s="773" t="s">
        <v>17</v>
      </c>
      <c r="W29" s="774">
        <f t="shared" si="14"/>
        <v>100</v>
      </c>
      <c r="X29" s="1811"/>
      <c r="Y29" s="3237"/>
      <c r="Z29" s="1812">
        <f t="shared" si="15"/>
        <v>111</v>
      </c>
      <c r="AA29" s="1809">
        <f t="shared" si="3"/>
        <v>1</v>
      </c>
      <c r="AB29" s="1809">
        <f t="shared" si="4"/>
        <v>1</v>
      </c>
      <c r="AC29" s="1809">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53"/>
      <c r="Q30" s="1808">
        <f t="shared" si="11"/>
        <v>111</v>
      </c>
      <c r="R30" s="773" t="s">
        <v>17</v>
      </c>
      <c r="S30" s="774">
        <f t="shared" si="12"/>
        <v>100</v>
      </c>
      <c r="T30" s="773" t="s">
        <v>17</v>
      </c>
      <c r="U30" s="774">
        <f t="shared" si="13"/>
        <v>100</v>
      </c>
      <c r="V30" s="773" t="s">
        <v>17</v>
      </c>
      <c r="W30" s="774">
        <f t="shared" si="14"/>
        <v>100</v>
      </c>
      <c r="X30" s="1811"/>
      <c r="Y30" s="3237"/>
      <c r="Z30" s="1812">
        <f t="shared" si="15"/>
        <v>111</v>
      </c>
      <c r="AA30" s="1809">
        <f t="shared" si="3"/>
        <v>1</v>
      </c>
      <c r="AB30" s="1809">
        <f t="shared" si="4"/>
        <v>1</v>
      </c>
      <c r="AC30" s="1809">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53"/>
      <c r="Q31" s="1808">
        <f t="shared" si="11"/>
        <v>111</v>
      </c>
      <c r="R31" s="773" t="s">
        <v>17</v>
      </c>
      <c r="S31" s="774">
        <f t="shared" si="12"/>
        <v>100</v>
      </c>
      <c r="T31" s="773" t="s">
        <v>17</v>
      </c>
      <c r="U31" s="774">
        <f t="shared" si="13"/>
        <v>100</v>
      </c>
      <c r="V31" s="773" t="s">
        <v>17</v>
      </c>
      <c r="W31" s="774">
        <f t="shared" si="14"/>
        <v>100</v>
      </c>
      <c r="X31" s="1811"/>
      <c r="Y31" s="3237"/>
      <c r="Z31" s="1812">
        <f t="shared" si="15"/>
        <v>111</v>
      </c>
      <c r="AA31" s="1809">
        <f t="shared" si="3"/>
        <v>1</v>
      </c>
      <c r="AB31" s="1809">
        <f t="shared" si="4"/>
        <v>1</v>
      </c>
      <c r="AC31" s="1809">
        <f t="shared" si="5"/>
        <v>1</v>
      </c>
    </row>
    <row r="32" spans="1:29" ht="15">
      <c r="A32" s="439" t="s">
        <v>2511</v>
      </c>
      <c r="B32" s="71" t="s">
        <v>2607</v>
      </c>
      <c r="C32" s="2612"/>
      <c r="D32" s="466">
        <v>100</v>
      </c>
      <c r="E32" s="2612"/>
      <c r="F32" s="460">
        <f>SUMIF(100:100,E32,101:101)-SUMIF(100:100,C32,101:101)+100</f>
        <v>100</v>
      </c>
      <c r="G32" s="2612"/>
      <c r="H32" s="434">
        <f>SUMIF(100:100,G32,101:101)-SUMIF(100:100,C32,101:101)+100</f>
        <v>100</v>
      </c>
      <c r="I32" s="2612"/>
      <c r="J32" s="466">
        <f>SUMIF(100:100,I32,101:101)-SUMIF(100:100,C32,101:101)+100</f>
        <v>100</v>
      </c>
      <c r="K32" s="611"/>
      <c r="L32" s="1139"/>
      <c r="M32" s="1130"/>
      <c r="N32" s="1130"/>
      <c r="O32" s="1130"/>
      <c r="P32" s="3254" t="s">
        <v>2513</v>
      </c>
      <c r="Q32" s="1808" t="str">
        <f t="shared" si="11"/>
        <v>商业类型</v>
      </c>
      <c r="R32" s="773" t="s">
        <v>17</v>
      </c>
      <c r="S32" s="774">
        <f t="shared" si="12"/>
        <v>100</v>
      </c>
      <c r="T32" s="773" t="s">
        <v>17</v>
      </c>
      <c r="U32" s="774">
        <f t="shared" si="13"/>
        <v>100</v>
      </c>
      <c r="V32" s="773" t="s">
        <v>17</v>
      </c>
      <c r="W32" s="774">
        <f t="shared" si="14"/>
        <v>100</v>
      </c>
      <c r="X32" s="1811"/>
      <c r="Y32" s="3239" t="s">
        <v>2513</v>
      </c>
      <c r="Z32" s="1812" t="str">
        <f t="shared" si="15"/>
        <v>商业类型</v>
      </c>
      <c r="AA32" s="1809">
        <f t="shared" si="3"/>
        <v>1</v>
      </c>
      <c r="AB32" s="1809">
        <f t="shared" si="4"/>
        <v>1</v>
      </c>
      <c r="AC32" s="1809">
        <f t="shared" si="5"/>
        <v>1</v>
      </c>
    </row>
    <row r="33" spans="1:29" s="470" customFormat="1" ht="15">
      <c r="A33" s="467"/>
      <c r="B33" s="421" t="s">
        <v>2514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55"/>
      <c r="Q33" s="775" t="str">
        <f t="shared" si="11"/>
        <v>项目建筑规模</v>
      </c>
      <c r="R33" s="776" t="s">
        <v>17</v>
      </c>
      <c r="S33" s="777" t="e">
        <f t="shared" si="12"/>
        <v>#N/A</v>
      </c>
      <c r="T33" s="776" t="s">
        <v>17</v>
      </c>
      <c r="U33" s="777" t="e">
        <f t="shared" si="13"/>
        <v>#N/A</v>
      </c>
      <c r="V33" s="776" t="s">
        <v>17</v>
      </c>
      <c r="W33" s="777" t="e">
        <f t="shared" si="14"/>
        <v>#N/A</v>
      </c>
      <c r="X33" s="778"/>
      <c r="Y33" s="3239"/>
      <c r="Z33" s="779" t="str">
        <f t="shared" si="15"/>
        <v>项目建筑规模</v>
      </c>
      <c r="AA33" s="1809" t="e">
        <f t="shared" si="3"/>
        <v>#N/A</v>
      </c>
      <c r="AB33" s="1809" t="e">
        <f t="shared" si="4"/>
        <v>#N/A</v>
      </c>
      <c r="AC33" s="1809" t="e">
        <f t="shared" si="5"/>
        <v>#N/A</v>
      </c>
    </row>
    <row r="34" spans="1:29" ht="15">
      <c r="A34" s="471"/>
      <c r="B34" s="421" t="s">
        <v>2515</v>
      </c>
      <c r="C34" s="2614"/>
      <c r="D34" s="434">
        <v>100</v>
      </c>
      <c r="E34" s="2614"/>
      <c r="F34" s="460">
        <f>SUMIF(105:105,E34,106:106)-SUMIF(105:105,C34,106:106)+100</f>
        <v>100</v>
      </c>
      <c r="G34" s="2614"/>
      <c r="H34" s="434">
        <f>SUMIF(105:105,G34,106:106)-SUMIF(105:105,C34,106:106)+100</f>
        <v>100</v>
      </c>
      <c r="I34" s="2614"/>
      <c r="J34" s="434">
        <f>SUMIF(105:105,I34,106:106)-SUMIF(105:105,C34,106:106)+100</f>
        <v>100</v>
      </c>
      <c r="K34" s="611"/>
      <c r="L34" s="1139"/>
      <c r="M34" s="1130"/>
      <c r="N34" s="1130"/>
      <c r="O34" s="1130"/>
      <c r="P34" s="3255"/>
      <c r="Q34" s="1808" t="str">
        <f t="shared" si="11"/>
        <v>建筑结构</v>
      </c>
      <c r="R34" s="773" t="s">
        <v>17</v>
      </c>
      <c r="S34" s="774">
        <f t="shared" si="12"/>
        <v>100</v>
      </c>
      <c r="T34" s="773" t="s">
        <v>17</v>
      </c>
      <c r="U34" s="774">
        <f t="shared" si="13"/>
        <v>100</v>
      </c>
      <c r="V34" s="773" t="s">
        <v>17</v>
      </c>
      <c r="W34" s="774">
        <f t="shared" si="14"/>
        <v>100</v>
      </c>
      <c r="X34" s="1811"/>
      <c r="Y34" s="3239"/>
      <c r="Z34" s="1812" t="str">
        <f t="shared" si="15"/>
        <v>建筑结构</v>
      </c>
      <c r="AA34" s="1809">
        <f t="shared" si="3"/>
        <v>1</v>
      </c>
      <c r="AB34" s="1809">
        <f t="shared" si="4"/>
        <v>1</v>
      </c>
      <c r="AC34" s="1809">
        <f t="shared" si="5"/>
        <v>1</v>
      </c>
    </row>
    <row r="35" spans="1:29" ht="15">
      <c r="A35" s="471"/>
      <c r="B35" s="421" t="s">
        <v>2608</v>
      </c>
      <c r="C35" s="2608"/>
      <c r="D35" s="434">
        <v>100</v>
      </c>
      <c r="E35" s="2608"/>
      <c r="F35" s="460">
        <f>SUMIF(107:107,E35,108:108)-SUMIF(107:107,C35,108:108)+100</f>
        <v>100</v>
      </c>
      <c r="G35" s="2608"/>
      <c r="H35" s="434">
        <f>SUMIF(107:107,G35,108:108)-SUMIF(107:107,C35,108:108)+100</f>
        <v>100</v>
      </c>
      <c r="I35" s="2608"/>
      <c r="J35" s="434">
        <f>SUMIF(107:107,I35,108:108)-SUMIF(107:107,C35,108:108)+100</f>
        <v>100</v>
      </c>
      <c r="K35" s="611"/>
      <c r="L35" s="1139"/>
      <c r="M35" s="1130"/>
      <c r="N35" s="1130"/>
      <c r="O35" s="1130"/>
      <c r="P35" s="3255"/>
      <c r="Q35" s="1808" t="str">
        <f t="shared" si="11"/>
        <v>公共部分装修</v>
      </c>
      <c r="R35" s="773" t="s">
        <v>17</v>
      </c>
      <c r="S35" s="774">
        <f t="shared" si="12"/>
        <v>100</v>
      </c>
      <c r="T35" s="773" t="s">
        <v>17</v>
      </c>
      <c r="U35" s="774">
        <f t="shared" si="13"/>
        <v>100</v>
      </c>
      <c r="V35" s="773" t="s">
        <v>17</v>
      </c>
      <c r="W35" s="774">
        <f t="shared" si="14"/>
        <v>100</v>
      </c>
      <c r="X35" s="1811"/>
      <c r="Y35" s="3239"/>
      <c r="Z35" s="1812" t="str">
        <f t="shared" si="15"/>
        <v>公共部分装修</v>
      </c>
      <c r="AA35" s="1809">
        <f t="shared" si="3"/>
        <v>1</v>
      </c>
      <c r="AB35" s="1809">
        <f t="shared" si="4"/>
        <v>1</v>
      </c>
      <c r="AC35" s="1809">
        <f t="shared" si="5"/>
        <v>1</v>
      </c>
    </row>
    <row r="36" spans="1:29" ht="15">
      <c r="A36" s="471"/>
      <c r="B36" s="421" t="s">
        <v>2609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55"/>
      <c r="Q36" s="1808" t="str">
        <f t="shared" si="11"/>
        <v>成新度</v>
      </c>
      <c r="R36" s="773" t="s">
        <v>17</v>
      </c>
      <c r="S36" s="774" t="e">
        <f t="shared" si="12"/>
        <v>#N/A</v>
      </c>
      <c r="T36" s="773" t="s">
        <v>17</v>
      </c>
      <c r="U36" s="774" t="e">
        <f t="shared" si="13"/>
        <v>#N/A</v>
      </c>
      <c r="V36" s="773" t="s">
        <v>17</v>
      </c>
      <c r="W36" s="774" t="e">
        <f t="shared" si="14"/>
        <v>#N/A</v>
      </c>
      <c r="X36" s="1811"/>
      <c r="Y36" s="3239"/>
      <c r="Z36" s="1812" t="str">
        <f t="shared" si="15"/>
        <v>成新度</v>
      </c>
      <c r="AA36" s="1809" t="e">
        <f t="shared" si="3"/>
        <v>#N/A</v>
      </c>
      <c r="AB36" s="1809" t="e">
        <f t="shared" si="4"/>
        <v>#N/A</v>
      </c>
      <c r="AC36" s="1809" t="e">
        <f t="shared" si="5"/>
        <v>#N/A</v>
      </c>
    </row>
    <row r="37" spans="1:29" s="117" customFormat="1" ht="15">
      <c r="A37" s="472"/>
      <c r="B37" s="421" t="s">
        <v>2610</v>
      </c>
      <c r="C37" s="2608"/>
      <c r="D37" s="135">
        <v>100</v>
      </c>
      <c r="E37" s="2608"/>
      <c r="F37" s="460">
        <f>SUMIF(112:112,E37,113:113)-SUMIF(112:112,C37,113:113)+100</f>
        <v>100</v>
      </c>
      <c r="G37" s="2608"/>
      <c r="H37" s="434">
        <f>SUMIF(112:112,G37,113:113)-SUMIF(112:112,C37,113:113)+100</f>
        <v>100</v>
      </c>
      <c r="I37" s="2608"/>
      <c r="J37" s="434">
        <f>SUMIF(112:112,I37,113:113)-SUMIF(112:112,C37,113:113)+100</f>
        <v>100</v>
      </c>
      <c r="K37" s="611"/>
      <c r="L37" s="1131"/>
      <c r="M37" s="1132"/>
      <c r="N37" s="1132"/>
      <c r="O37" s="1132"/>
      <c r="P37" s="3255"/>
      <c r="Q37" s="1793" t="str">
        <f t="shared" si="11"/>
        <v>市政基础设施</v>
      </c>
      <c r="R37" s="769" t="s">
        <v>17</v>
      </c>
      <c r="S37" s="770">
        <f t="shared" si="12"/>
        <v>100</v>
      </c>
      <c r="T37" s="769" t="s">
        <v>17</v>
      </c>
      <c r="U37" s="770">
        <f t="shared" si="13"/>
        <v>100</v>
      </c>
      <c r="V37" s="769" t="s">
        <v>17</v>
      </c>
      <c r="W37" s="770">
        <f t="shared" si="14"/>
        <v>100</v>
      </c>
      <c r="X37" s="771"/>
      <c r="Y37" s="3239"/>
      <c r="Z37" s="55" t="str">
        <f t="shared" si="15"/>
        <v>市政基础设施</v>
      </c>
      <c r="AA37" s="772">
        <f t="shared" si="3"/>
        <v>1</v>
      </c>
      <c r="AB37" s="772">
        <f t="shared" si="4"/>
        <v>1</v>
      </c>
      <c r="AC37" s="772">
        <f t="shared" si="5"/>
        <v>1</v>
      </c>
    </row>
    <row r="38" spans="1:29" ht="15">
      <c r="A38" s="471"/>
      <c r="B38" s="421" t="s">
        <v>2611</v>
      </c>
      <c r="C38" s="2608"/>
      <c r="D38" s="434">
        <v>100</v>
      </c>
      <c r="E38" s="2608"/>
      <c r="F38" s="460">
        <f>SUMIF(114:114,E38,115:115)-SUMIF(114:114,C38,115:115)+100</f>
        <v>100</v>
      </c>
      <c r="G38" s="2608"/>
      <c r="H38" s="434">
        <f>SUMIF(114:114,G38,115:115)-SUMIF(114:114,C38,115:115)+100</f>
        <v>100</v>
      </c>
      <c r="I38" s="2608"/>
      <c r="J38" s="434">
        <f>SUMIF(114:114,I38,115:115)-SUMIF(114:114,C38,115:115)+100</f>
        <v>100</v>
      </c>
      <c r="K38" s="611"/>
      <c r="L38" s="1139"/>
      <c r="M38" s="1130"/>
      <c r="N38" s="1130"/>
      <c r="O38" s="1130"/>
      <c r="P38" s="3255" t="s">
        <v>2513</v>
      </c>
      <c r="Q38" s="1808" t="str">
        <f t="shared" si="11"/>
        <v>业态</v>
      </c>
      <c r="R38" s="773" t="s">
        <v>17</v>
      </c>
      <c r="S38" s="774">
        <f t="shared" si="12"/>
        <v>100</v>
      </c>
      <c r="T38" s="773" t="s">
        <v>17</v>
      </c>
      <c r="U38" s="774">
        <f t="shared" si="13"/>
        <v>100</v>
      </c>
      <c r="V38" s="773" t="s">
        <v>17</v>
      </c>
      <c r="W38" s="774">
        <f t="shared" si="14"/>
        <v>100</v>
      </c>
      <c r="X38" s="1811"/>
      <c r="Y38" s="3239" t="s">
        <v>2513</v>
      </c>
      <c r="Z38" s="1812" t="str">
        <f t="shared" si="15"/>
        <v>业态</v>
      </c>
      <c r="AA38" s="1809">
        <f t="shared" si="3"/>
        <v>1</v>
      </c>
      <c r="AB38" s="1809">
        <f t="shared" si="4"/>
        <v>1</v>
      </c>
      <c r="AC38" s="1809">
        <f t="shared" si="5"/>
        <v>1</v>
      </c>
    </row>
    <row r="39" spans="1:29" ht="15">
      <c r="A39" s="471"/>
      <c r="B39" s="421" t="s">
        <v>2612</v>
      </c>
      <c r="C39" s="2608"/>
      <c r="D39" s="434">
        <v>100</v>
      </c>
      <c r="E39" s="2608"/>
      <c r="F39" s="460">
        <f>SUMIF(116:116,E39,117:117)-SUMIF(116:116,C39,117:117)+100</f>
        <v>100</v>
      </c>
      <c r="G39" s="2608"/>
      <c r="H39" s="434">
        <f>SUMIF(116:116,G39,117:117)-SUMIF(116:116,C39,117:117)+100</f>
        <v>100</v>
      </c>
      <c r="I39" s="2608"/>
      <c r="J39" s="434">
        <f>SUMIF(116:116,I39,117:117)-SUMIF(116:116,C39,117:117)+100</f>
        <v>100</v>
      </c>
      <c r="K39" s="611"/>
      <c r="L39" s="1139"/>
      <c r="M39" s="1130"/>
      <c r="N39" s="1130"/>
      <c r="O39" s="1130"/>
      <c r="P39" s="3255"/>
      <c r="Q39" s="1808" t="str">
        <f t="shared" si="11"/>
        <v>层高</v>
      </c>
      <c r="R39" s="773" t="s">
        <v>17</v>
      </c>
      <c r="S39" s="774">
        <f t="shared" si="12"/>
        <v>100</v>
      </c>
      <c r="T39" s="773" t="s">
        <v>17</v>
      </c>
      <c r="U39" s="774">
        <f t="shared" si="13"/>
        <v>100</v>
      </c>
      <c r="V39" s="773" t="s">
        <v>17</v>
      </c>
      <c r="W39" s="774">
        <f t="shared" si="14"/>
        <v>100</v>
      </c>
      <c r="X39" s="1811"/>
      <c r="Y39" s="3239"/>
      <c r="Z39" s="1812" t="str">
        <f t="shared" si="15"/>
        <v>层高</v>
      </c>
      <c r="AA39" s="1809">
        <f t="shared" si="3"/>
        <v>1</v>
      </c>
      <c r="AB39" s="1809">
        <f t="shared" si="4"/>
        <v>1</v>
      </c>
      <c r="AC39" s="1809">
        <f t="shared" si="5"/>
        <v>1</v>
      </c>
    </row>
    <row r="40" spans="1:29" ht="15">
      <c r="A40" s="471"/>
      <c r="B40" s="421" t="s">
        <v>2613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55"/>
      <c r="Q40" s="1808" t="str">
        <f t="shared" si="11"/>
        <v>单套建筑面积</v>
      </c>
      <c r="R40" s="773" t="s">
        <v>17</v>
      </c>
      <c r="S40" s="774">
        <f t="shared" si="12"/>
        <v>100</v>
      </c>
      <c r="T40" s="773" t="s">
        <v>17</v>
      </c>
      <c r="U40" s="774">
        <f t="shared" si="13"/>
        <v>100</v>
      </c>
      <c r="V40" s="773" t="s">
        <v>17</v>
      </c>
      <c r="W40" s="774">
        <f t="shared" si="14"/>
        <v>100</v>
      </c>
      <c r="X40" s="1811"/>
      <c r="Y40" s="3239"/>
      <c r="Z40" s="1812" t="str">
        <f t="shared" si="15"/>
        <v>单套建筑面积</v>
      </c>
      <c r="AA40" s="1809">
        <f t="shared" si="3"/>
        <v>1</v>
      </c>
      <c r="AB40" s="1809">
        <f t="shared" si="4"/>
        <v>1</v>
      </c>
      <c r="AC40" s="1809">
        <f t="shared" si="5"/>
        <v>1</v>
      </c>
    </row>
    <row r="41" spans="1:29" s="470" customFormat="1" ht="15">
      <c r="A41" s="467"/>
      <c r="B41" s="1810" t="s">
        <v>2614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55"/>
      <c r="Q41" s="775" t="str">
        <f t="shared" si="11"/>
        <v>进深比</v>
      </c>
      <c r="R41" s="776" t="s">
        <v>17</v>
      </c>
      <c r="S41" s="777">
        <f t="shared" si="12"/>
        <v>100</v>
      </c>
      <c r="T41" s="776" t="s">
        <v>17</v>
      </c>
      <c r="U41" s="777">
        <f t="shared" si="13"/>
        <v>100</v>
      </c>
      <c r="V41" s="776" t="s">
        <v>17</v>
      </c>
      <c r="W41" s="777">
        <f t="shared" si="14"/>
        <v>100</v>
      </c>
      <c r="X41" s="778"/>
      <c r="Y41" s="3239"/>
      <c r="Z41" s="779" t="str">
        <f t="shared" si="15"/>
        <v>进深比</v>
      </c>
      <c r="AA41" s="1809">
        <f t="shared" si="3"/>
        <v>1</v>
      </c>
      <c r="AB41" s="1809">
        <f t="shared" si="4"/>
        <v>1</v>
      </c>
      <c r="AC41" s="1809">
        <f t="shared" si="5"/>
        <v>1</v>
      </c>
    </row>
    <row r="42" spans="1:29" ht="15">
      <c r="A42" s="471"/>
      <c r="B42" s="421" t="s">
        <v>2615</v>
      </c>
      <c r="C42" s="2608"/>
      <c r="D42" s="434">
        <v>100</v>
      </c>
      <c r="E42" s="2608"/>
      <c r="F42" s="460">
        <f>SUMIF(122:122,E42,123:123)-SUMIF(122:122,C42,123:123)+100</f>
        <v>100</v>
      </c>
      <c r="G42" s="2608"/>
      <c r="H42" s="434">
        <f>SUMIF(122:122,G42,123:123)-SUMIF(122:122,C42,123:123)+100</f>
        <v>100</v>
      </c>
      <c r="I42" s="2608"/>
      <c r="J42" s="434">
        <f>SUMIF(122:122,I42,123:123)-SUMIF(122:122,C42,123:123)+100</f>
        <v>100</v>
      </c>
      <c r="K42" s="611"/>
      <c r="L42" s="1139"/>
      <c r="M42" s="1130"/>
      <c r="N42" s="1130"/>
      <c r="O42" s="1130"/>
      <c r="P42" s="3255"/>
      <c r="Q42" s="1808" t="str">
        <f t="shared" si="11"/>
        <v>内部装修</v>
      </c>
      <c r="R42" s="773" t="s">
        <v>17</v>
      </c>
      <c r="S42" s="774">
        <f t="shared" si="12"/>
        <v>100</v>
      </c>
      <c r="T42" s="773" t="s">
        <v>17</v>
      </c>
      <c r="U42" s="774">
        <f t="shared" si="13"/>
        <v>100</v>
      </c>
      <c r="V42" s="773" t="s">
        <v>17</v>
      </c>
      <c r="W42" s="774">
        <f t="shared" si="14"/>
        <v>100</v>
      </c>
      <c r="X42" s="1811"/>
      <c r="Y42" s="3239"/>
      <c r="Z42" s="1812" t="str">
        <f t="shared" si="15"/>
        <v>内部装修</v>
      </c>
      <c r="AA42" s="1809">
        <f t="shared" si="3"/>
        <v>1</v>
      </c>
      <c r="AB42" s="1809">
        <f t="shared" si="4"/>
        <v>1</v>
      </c>
      <c r="AC42" s="1809">
        <f t="shared" si="5"/>
        <v>1</v>
      </c>
    </row>
    <row r="43" spans="1:29" ht="15">
      <c r="A43" s="471"/>
      <c r="B43" s="421" t="s">
        <v>2524</v>
      </c>
      <c r="C43" s="2608"/>
      <c r="D43" s="434">
        <v>100</v>
      </c>
      <c r="E43" s="2608"/>
      <c r="F43" s="460">
        <f>SUMIF(124:124,E43,125:125)-SUMIF(124:124,C43,125:125)+100</f>
        <v>100</v>
      </c>
      <c r="G43" s="2608"/>
      <c r="H43" s="434">
        <f>SUMIF(124:124,G43,125:125)-SUMIF(124:124,C43,125:125)+100</f>
        <v>100</v>
      </c>
      <c r="I43" s="2608"/>
      <c r="J43" s="434">
        <f>SUMIF(124:124,I43,125:125)-SUMIF(124:124,C43,125:125)+100</f>
        <v>100</v>
      </c>
      <c r="K43" s="611"/>
      <c r="L43" s="1139"/>
      <c r="M43" s="1130"/>
      <c r="N43" s="1130"/>
      <c r="O43" s="1130"/>
      <c r="P43" s="3255"/>
      <c r="Q43" s="1808" t="str">
        <f t="shared" si="11"/>
        <v>内部装修维护情况</v>
      </c>
      <c r="R43" s="773" t="s">
        <v>17</v>
      </c>
      <c r="S43" s="774">
        <f t="shared" si="12"/>
        <v>100</v>
      </c>
      <c r="T43" s="773" t="s">
        <v>17</v>
      </c>
      <c r="U43" s="774">
        <f t="shared" si="13"/>
        <v>100</v>
      </c>
      <c r="V43" s="773" t="s">
        <v>17</v>
      </c>
      <c r="W43" s="774">
        <f t="shared" si="14"/>
        <v>100</v>
      </c>
      <c r="X43" s="1811"/>
      <c r="Y43" s="3239"/>
      <c r="Z43" s="1812" t="str">
        <f t="shared" si="15"/>
        <v>内部装修维护情况</v>
      </c>
      <c r="AA43" s="1809">
        <f t="shared" si="3"/>
        <v>1</v>
      </c>
      <c r="AB43" s="1809">
        <f t="shared" si="4"/>
        <v>1</v>
      </c>
      <c r="AC43" s="1809">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55"/>
      <c r="Q44" s="1793">
        <f t="shared" si="11"/>
        <v>111</v>
      </c>
      <c r="R44" s="769" t="s">
        <v>17</v>
      </c>
      <c r="S44" s="770">
        <f t="shared" si="12"/>
        <v>100</v>
      </c>
      <c r="T44" s="769" t="s">
        <v>17</v>
      </c>
      <c r="U44" s="770">
        <f t="shared" si="13"/>
        <v>100</v>
      </c>
      <c r="V44" s="769" t="s">
        <v>17</v>
      </c>
      <c r="W44" s="770">
        <f t="shared" si="14"/>
        <v>100</v>
      </c>
      <c r="X44" s="771"/>
      <c r="Y44" s="3239"/>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55"/>
      <c r="Q45" s="1808">
        <f t="shared" si="11"/>
        <v>111</v>
      </c>
      <c r="R45" s="773" t="s">
        <v>17</v>
      </c>
      <c r="S45" s="774">
        <f t="shared" si="12"/>
        <v>100</v>
      </c>
      <c r="T45" s="773" t="s">
        <v>17</v>
      </c>
      <c r="U45" s="774">
        <f t="shared" si="13"/>
        <v>100</v>
      </c>
      <c r="V45" s="773" t="s">
        <v>17</v>
      </c>
      <c r="W45" s="774">
        <f t="shared" si="14"/>
        <v>100</v>
      </c>
      <c r="X45" s="1811"/>
      <c r="Y45" s="3239"/>
      <c r="Z45" s="1812">
        <f t="shared" si="15"/>
        <v>111</v>
      </c>
      <c r="AA45" s="1809">
        <f t="shared" si="3"/>
        <v>1</v>
      </c>
      <c r="AB45" s="1809">
        <f t="shared" si="4"/>
        <v>1</v>
      </c>
      <c r="AC45" s="1809">
        <f t="shared" si="5"/>
        <v>1</v>
      </c>
    </row>
    <row r="46" spans="1:29" ht="15.75" thickBot="1">
      <c r="A46" s="477"/>
      <c r="B46" s="259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56"/>
      <c r="Q46" s="1808">
        <f t="shared" si="11"/>
        <v>111</v>
      </c>
      <c r="R46" s="773" t="s">
        <v>17</v>
      </c>
      <c r="S46" s="774">
        <f t="shared" si="12"/>
        <v>100</v>
      </c>
      <c r="T46" s="773" t="s">
        <v>17</v>
      </c>
      <c r="U46" s="774">
        <f t="shared" si="13"/>
        <v>100</v>
      </c>
      <c r="V46" s="773" t="s">
        <v>17</v>
      </c>
      <c r="W46" s="774">
        <f t="shared" si="14"/>
        <v>100</v>
      </c>
      <c r="X46" s="1811"/>
      <c r="Y46" s="3257"/>
      <c r="Z46" s="1812">
        <f t="shared" si="15"/>
        <v>111</v>
      </c>
      <c r="AA46" s="1809">
        <f t="shared" si="3"/>
        <v>1</v>
      </c>
      <c r="AB46" s="1809">
        <f t="shared" si="4"/>
        <v>1</v>
      </c>
      <c r="AC46" s="1809">
        <f t="shared" si="5"/>
        <v>1</v>
      </c>
    </row>
    <row r="47" spans="1:29" ht="15">
      <c r="A47" s="478" t="s">
        <v>2525</v>
      </c>
      <c r="B47" s="479"/>
      <c r="C47" s="1406" t="s">
        <v>1</v>
      </c>
      <c r="D47" s="1407"/>
      <c r="E47" s="1408"/>
      <c r="F47" s="1409"/>
      <c r="G47" s="1410"/>
      <c r="H47" s="1411"/>
      <c r="I47" s="1408"/>
      <c r="J47" s="1411"/>
      <c r="K47" s="782"/>
      <c r="L47" s="1142"/>
      <c r="M47" s="1143"/>
      <c r="N47" s="1130"/>
      <c r="O47" s="1143"/>
      <c r="P47" s="3221" t="str">
        <f>A47</f>
        <v>成交单价（元/平方米）</v>
      </c>
      <c r="Q47" s="3221"/>
      <c r="R47" s="3234">
        <f>E47</f>
        <v>0</v>
      </c>
      <c r="S47" s="3234"/>
      <c r="T47" s="3234">
        <f>G47</f>
        <v>0</v>
      </c>
      <c r="U47" s="3234"/>
      <c r="V47" s="3234">
        <f>I47</f>
        <v>0</v>
      </c>
      <c r="W47" s="3234"/>
      <c r="X47" s="758"/>
      <c r="Y47" s="780"/>
      <c r="Z47" s="758"/>
      <c r="AA47" s="758"/>
      <c r="AB47" s="758"/>
      <c r="AC47" s="758"/>
    </row>
    <row r="48" spans="1:29" ht="15.75" thickBot="1">
      <c r="A48" s="485" t="s">
        <v>2616</v>
      </c>
      <c r="B48" s="486"/>
      <c r="C48" s="1412" t="e">
        <f>R49</f>
        <v>#DIV/0!</v>
      </c>
      <c r="D48" s="1413"/>
      <c r="E48" s="1414" t="e">
        <f>R48</f>
        <v>#DIV/0!</v>
      </c>
      <c r="F48" s="1414"/>
      <c r="G48" s="1412" t="e">
        <f>T48</f>
        <v>#DIV/0!</v>
      </c>
      <c r="H48" s="1413"/>
      <c r="I48" s="1414" t="e">
        <f>V48</f>
        <v>#DIV/0!</v>
      </c>
      <c r="J48" s="1413"/>
      <c r="K48" s="783"/>
      <c r="L48" s="1142"/>
      <c r="M48" s="1143"/>
      <c r="N48" s="1130"/>
      <c r="O48" s="1143"/>
      <c r="P48" s="3221" t="str">
        <f>A48</f>
        <v>比较价值（元/平方米）</v>
      </c>
      <c r="Q48" s="3221"/>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8"/>
      <c r="Y48" s="758"/>
      <c r="Z48" s="758"/>
      <c r="AA48" s="758"/>
      <c r="AB48" s="758"/>
      <c r="AC48" s="758"/>
    </row>
    <row r="49" spans="1:29" ht="15.75" thickBot="1">
      <c r="A49" s="491" t="s">
        <v>2617</v>
      </c>
      <c r="B49" s="492"/>
      <c r="C49" s="1416" t="e">
        <f>R49</f>
        <v>#DIV/0!</v>
      </c>
      <c r="D49" s="1416"/>
      <c r="E49" s="1416"/>
      <c r="F49" s="1416"/>
      <c r="G49" s="1416"/>
      <c r="H49" s="1416"/>
      <c r="I49" s="1416"/>
      <c r="J49" s="1416"/>
      <c r="K49" s="784"/>
      <c r="L49" s="1142"/>
      <c r="M49" s="1143"/>
      <c r="N49" s="1130"/>
      <c r="O49" s="1143"/>
      <c r="P49" s="3241" t="str">
        <f>A49</f>
        <v>估价对象XX用房的比较价值（楼面单价，元/平方米）</v>
      </c>
      <c r="Q49" s="3242"/>
      <c r="R49" s="3251" t="e">
        <f>IF(F1="售价",ROUND(AVERAGE(R48:V48),0),ROUND(AVERAGE(R48:V48),1))</f>
        <v>#DIV/0!</v>
      </c>
      <c r="S49" s="3251"/>
      <c r="T49" s="3251"/>
      <c r="U49" s="3251"/>
      <c r="V49" s="3251"/>
      <c r="W49" s="325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2618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2619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2620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0"/>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0"/>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2621</v>
      </c>
      <c r="B57" s="758"/>
      <c r="C57" s="763"/>
      <c r="D57" s="763"/>
      <c r="E57" s="763"/>
      <c r="F57" s="764"/>
      <c r="G57" s="764"/>
      <c r="H57" s="763"/>
      <c r="I57" s="763"/>
      <c r="J57" s="763"/>
      <c r="K57" s="765"/>
      <c r="L57" s="1160"/>
      <c r="M57" s="1158"/>
      <c r="N57" s="1158"/>
      <c r="O57" s="1158"/>
      <c r="P57" s="2661"/>
      <c r="Q57" s="2662"/>
      <c r="R57" s="758"/>
      <c r="S57" s="758"/>
      <c r="T57" s="758"/>
      <c r="U57" s="758"/>
      <c r="V57" s="758"/>
      <c r="W57" s="758"/>
      <c r="X57" s="758"/>
      <c r="Y57" s="758"/>
      <c r="Z57" s="758"/>
      <c r="AA57" s="758"/>
      <c r="AB57" s="758"/>
      <c r="AC57" s="758"/>
    </row>
    <row r="58" spans="1:29" s="507" customFormat="1" ht="15">
      <c r="A58" s="504" t="s">
        <v>2496</v>
      </c>
      <c r="B58" s="505"/>
      <c r="C58" s="1572" t="str">
        <f>YEAR(C7)&amp;"-"&amp;MONTH(C7)</f>
        <v>2018-12</v>
      </c>
      <c r="D58" s="1573">
        <f>EDATE(C58,-1)</f>
        <v>43405</v>
      </c>
      <c r="E58" s="1573">
        <f t="shared" ref="E58:N58" si="16">EDATE(D58,-1)</f>
        <v>43374</v>
      </c>
      <c r="F58" s="1573">
        <f t="shared" si="16"/>
        <v>43344</v>
      </c>
      <c r="G58" s="1573">
        <f t="shared" si="16"/>
        <v>43313</v>
      </c>
      <c r="H58" s="1573">
        <f t="shared" si="16"/>
        <v>43282</v>
      </c>
      <c r="I58" s="1573">
        <f t="shared" si="16"/>
        <v>43252</v>
      </c>
      <c r="J58" s="1573">
        <f t="shared" si="16"/>
        <v>43221</v>
      </c>
      <c r="K58" s="1573">
        <f t="shared" si="16"/>
        <v>43191</v>
      </c>
      <c r="L58" s="1573">
        <f t="shared" si="16"/>
        <v>43160</v>
      </c>
      <c r="M58" s="1573">
        <f t="shared" si="16"/>
        <v>43132</v>
      </c>
      <c r="N58" s="1573">
        <f t="shared" si="16"/>
        <v>43101</v>
      </c>
      <c r="O58" s="1573">
        <f>EDATE(N58,-1)</f>
        <v>43070</v>
      </c>
      <c r="P58" s="1568"/>
    </row>
    <row r="59" spans="1:29" s="117" customFormat="1" ht="15">
      <c r="A59" s="508"/>
      <c r="B59" s="509"/>
      <c r="C59" s="1571">
        <v>100</v>
      </c>
      <c r="D59" s="511"/>
      <c r="E59" s="511"/>
      <c r="F59" s="511"/>
      <c r="G59" s="511"/>
      <c r="H59" s="511"/>
      <c r="I59" s="511"/>
      <c r="J59" s="511"/>
      <c r="K59" s="511"/>
      <c r="L59" s="511"/>
      <c r="M59" s="512"/>
      <c r="N59" s="511"/>
      <c r="O59" s="512"/>
      <c r="P59" s="2622"/>
    </row>
    <row r="60" spans="1:29" s="117" customFormat="1" ht="15.75" thickBot="1">
      <c r="A60" s="514" t="s">
        <v>2532</v>
      </c>
      <c r="B60" s="515"/>
      <c r="C60" s="516"/>
      <c r="D60" s="517"/>
      <c r="E60" s="517"/>
      <c r="F60" s="517"/>
      <c r="G60" s="517"/>
      <c r="H60" s="517"/>
      <c r="I60" s="517"/>
      <c r="J60" s="517"/>
      <c r="K60" s="517"/>
      <c r="L60" s="517"/>
      <c r="M60" s="518"/>
      <c r="N60" s="517"/>
      <c r="O60" s="518"/>
      <c r="P60" s="2622"/>
      <c r="Q60" s="503"/>
    </row>
    <row r="61" spans="1:29" s="117" customFormat="1" ht="15">
      <c r="A61" s="520" t="s">
        <v>2498</v>
      </c>
      <c r="B61" s="509"/>
      <c r="C61" s="521" t="s">
        <v>2599</v>
      </c>
      <c r="D61" s="522"/>
      <c r="E61" s="522"/>
      <c r="F61" s="522"/>
      <c r="G61" s="522"/>
      <c r="H61" s="522"/>
      <c r="I61" s="522"/>
      <c r="J61" s="522"/>
      <c r="K61" s="522"/>
      <c r="L61" s="523"/>
      <c r="M61" s="524"/>
      <c r="N61" s="1150"/>
      <c r="O61" s="1150"/>
      <c r="P61" s="2623"/>
      <c r="Q61" s="503"/>
    </row>
    <row r="62" spans="1:29" s="117" customFormat="1" ht="15.75" thickBot="1">
      <c r="A62" s="520"/>
      <c r="B62" s="509"/>
      <c r="C62" s="510">
        <v>100</v>
      </c>
      <c r="D62" s="511"/>
      <c r="E62" s="511"/>
      <c r="F62" s="511"/>
      <c r="G62" s="511"/>
      <c r="H62" s="511"/>
      <c r="I62" s="511"/>
      <c r="J62" s="511"/>
      <c r="K62" s="511"/>
      <c r="L62" s="511"/>
      <c r="M62" s="513"/>
      <c r="N62" s="1150"/>
      <c r="O62" s="1150"/>
      <c r="P62" s="2622"/>
      <c r="Q62" s="503"/>
    </row>
    <row r="63" spans="1:29">
      <c r="A63" s="526" t="s">
        <v>2535</v>
      </c>
      <c r="B63" s="527" t="s">
        <v>2502</v>
      </c>
      <c r="C63" s="528">
        <f>C9</f>
        <v>0</v>
      </c>
      <c r="D63" s="529"/>
      <c r="E63" s="529"/>
      <c r="F63" s="529"/>
      <c r="G63" s="529"/>
      <c r="H63" s="529"/>
      <c r="I63" s="529"/>
      <c r="J63" s="529"/>
      <c r="K63" s="530"/>
      <c r="L63" s="531"/>
      <c r="M63" s="532"/>
      <c r="N63" s="1151"/>
      <c r="O63" s="1151"/>
      <c r="P63" s="2624"/>
      <c r="Q63" s="503"/>
    </row>
    <row r="64" spans="1:29" ht="15.75" thickBot="1">
      <c r="A64" s="533"/>
      <c r="B64" s="534"/>
      <c r="C64" s="535">
        <v>100</v>
      </c>
      <c r="D64" s="535"/>
      <c r="E64" s="535"/>
      <c r="F64" s="535"/>
      <c r="G64" s="535"/>
      <c r="H64" s="535"/>
      <c r="I64" s="535"/>
      <c r="J64" s="535"/>
      <c r="K64" s="535"/>
      <c r="L64" s="535"/>
      <c r="M64" s="536"/>
      <c r="N64" s="1152"/>
      <c r="O64" s="1152"/>
      <c r="P64" s="2624"/>
      <c r="Q64" s="503"/>
    </row>
    <row r="65" spans="1:17" ht="27.75" thickTop="1">
      <c r="A65" s="533"/>
      <c r="B65" s="537" t="s">
        <v>2505</v>
      </c>
      <c r="C65" s="538" t="s">
        <v>2536</v>
      </c>
      <c r="D65" s="538" t="s">
        <v>2537</v>
      </c>
      <c r="E65" s="538" t="s">
        <v>2538</v>
      </c>
      <c r="F65" s="538" t="s">
        <v>2539</v>
      </c>
      <c r="G65" s="538" t="s">
        <v>2540</v>
      </c>
      <c r="H65" s="538" t="s">
        <v>2541</v>
      </c>
      <c r="I65" s="538" t="s">
        <v>2542</v>
      </c>
      <c r="J65" s="538"/>
      <c r="K65" s="539"/>
      <c r="L65" s="540"/>
      <c r="M65" s="541"/>
      <c r="N65" s="1151"/>
      <c r="O65" s="1151"/>
      <c r="P65" s="262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4"/>
      <c r="Q66" s="503"/>
    </row>
    <row r="67" spans="1:17" ht="15.75" thickTop="1">
      <c r="A67" s="533"/>
      <c r="B67" s="545" t="s">
        <v>2506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4"/>
      <c r="Q67" s="503"/>
    </row>
    <row r="68" spans="1:17" ht="15">
      <c r="A68" s="533"/>
      <c r="B68" s="547"/>
      <c r="C68" s="548"/>
      <c r="D68" s="548"/>
      <c r="E68" s="548"/>
      <c r="F68" s="548"/>
      <c r="G68" s="548"/>
      <c r="H68" s="548"/>
      <c r="I68" s="548"/>
      <c r="J68" s="548"/>
      <c r="K68" s="549"/>
      <c r="L68" s="550"/>
      <c r="M68" s="551"/>
      <c r="N68" s="1151"/>
      <c r="O68" s="1151"/>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4"/>
      <c r="Q69" s="503"/>
    </row>
    <row r="70" spans="1:17" s="470" customFormat="1" ht="15.75" thickTop="1">
      <c r="A70" s="552"/>
      <c r="B70" s="537">
        <f>B12</f>
        <v>111</v>
      </c>
      <c r="C70" s="553"/>
      <c r="D70" s="553"/>
      <c r="E70" s="553"/>
      <c r="F70" s="553"/>
      <c r="G70" s="553"/>
      <c r="H70" s="554"/>
      <c r="I70" s="554"/>
      <c r="J70" s="554"/>
      <c r="K70" s="554"/>
      <c r="L70" s="555"/>
      <c r="M70" s="556"/>
      <c r="N70" s="1153"/>
      <c r="O70" s="1153"/>
      <c r="P70" s="2625"/>
      <c r="Q70" s="558"/>
    </row>
    <row r="71" spans="1:17" s="470" customFormat="1" ht="15.75" thickBot="1">
      <c r="A71" s="552"/>
      <c r="B71" s="542"/>
      <c r="C71" s="559"/>
      <c r="D71" s="535"/>
      <c r="E71" s="535"/>
      <c r="F71" s="535"/>
      <c r="G71" s="535"/>
      <c r="H71" s="535"/>
      <c r="I71" s="535"/>
      <c r="J71" s="535"/>
      <c r="K71" s="535"/>
      <c r="L71" s="535"/>
      <c r="M71" s="536"/>
      <c r="N71" s="1152"/>
      <c r="O71" s="1152"/>
      <c r="P71" s="2625"/>
      <c r="Q71" s="558"/>
    </row>
    <row r="72" spans="1:17" s="470" customFormat="1" ht="15.75" thickTop="1">
      <c r="A72" s="552"/>
      <c r="B72" s="537">
        <f>B13</f>
        <v>111</v>
      </c>
      <c r="C72" s="553"/>
      <c r="D72" s="553"/>
      <c r="E72" s="553"/>
      <c r="F72" s="553"/>
      <c r="G72" s="553"/>
      <c r="H72" s="554"/>
      <c r="I72" s="554"/>
      <c r="J72" s="554"/>
      <c r="K72" s="554"/>
      <c r="L72" s="555"/>
      <c r="M72" s="556"/>
      <c r="N72" s="1153"/>
      <c r="O72" s="1153"/>
      <c r="P72" s="2626"/>
      <c r="Q72" s="560"/>
    </row>
    <row r="73" spans="1:17" s="470" customFormat="1" ht="15.75" thickBot="1">
      <c r="A73" s="552"/>
      <c r="B73" s="542"/>
      <c r="C73" s="559"/>
      <c r="D73" s="535"/>
      <c r="E73" s="535"/>
      <c r="F73" s="535"/>
      <c r="G73" s="559"/>
      <c r="H73" s="561"/>
      <c r="I73" s="561"/>
      <c r="J73" s="561"/>
      <c r="K73" s="561"/>
      <c r="L73" s="561"/>
      <c r="M73" s="562"/>
      <c r="N73" s="1153"/>
      <c r="O73" s="1153"/>
      <c r="P73" s="2625"/>
      <c r="Q73" s="558"/>
    </row>
    <row r="74" spans="1:17" s="470" customFormat="1" ht="15.75" thickTop="1">
      <c r="A74" s="552"/>
      <c r="B74" s="545">
        <f>B14</f>
        <v>111</v>
      </c>
      <c r="C74" s="553"/>
      <c r="D74" s="553"/>
      <c r="E74" s="553"/>
      <c r="F74" s="553"/>
      <c r="G74" s="522"/>
      <c r="H74" s="563"/>
      <c r="I74" s="563"/>
      <c r="J74" s="563"/>
      <c r="K74" s="563"/>
      <c r="L74" s="564"/>
      <c r="M74" s="565"/>
      <c r="N74" s="1153"/>
      <c r="O74" s="1153"/>
      <c r="P74" s="2627"/>
      <c r="Q74" s="558"/>
    </row>
    <row r="75" spans="1:17" s="470" customFormat="1" ht="15.75" thickBot="1">
      <c r="A75" s="567"/>
      <c r="B75" s="568"/>
      <c r="C75" s="569"/>
      <c r="D75" s="569"/>
      <c r="E75" s="569"/>
      <c r="F75" s="569"/>
      <c r="G75" s="569"/>
      <c r="H75" s="570"/>
      <c r="I75" s="570"/>
      <c r="J75" s="570"/>
      <c r="K75" s="570"/>
      <c r="L75" s="570"/>
      <c r="M75" s="571"/>
      <c r="N75" s="1153"/>
      <c r="O75" s="1153"/>
      <c r="P75" s="2625"/>
      <c r="Q75" s="558"/>
    </row>
    <row r="76" spans="1:17">
      <c r="A76" s="526" t="s">
        <v>2507</v>
      </c>
      <c r="B76" s="527" t="s">
        <v>2543</v>
      </c>
      <c r="C76" s="572" t="s">
        <v>2544</v>
      </c>
      <c r="D76" s="572" t="s">
        <v>2545</v>
      </c>
      <c r="E76" s="572" t="s">
        <v>2546</v>
      </c>
      <c r="F76" s="572" t="s">
        <v>2547</v>
      </c>
      <c r="G76" s="572" t="s">
        <v>2548</v>
      </c>
      <c r="H76" s="528"/>
      <c r="I76" s="528"/>
      <c r="J76" s="528"/>
      <c r="K76" s="573"/>
      <c r="L76" s="574"/>
      <c r="M76" s="575"/>
      <c r="N76" s="1151"/>
      <c r="O76" s="1151"/>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4"/>
      <c r="Q77" s="503"/>
    </row>
    <row r="78" spans="1:17" ht="15.75" thickTop="1">
      <c r="A78" s="533"/>
      <c r="B78" s="537" t="s">
        <v>2549</v>
      </c>
      <c r="C78" s="577" t="s">
        <v>2544</v>
      </c>
      <c r="D78" s="577" t="s">
        <v>2545</v>
      </c>
      <c r="E78" s="577" t="s">
        <v>2546</v>
      </c>
      <c r="F78" s="577" t="s">
        <v>2547</v>
      </c>
      <c r="G78" s="577" t="s">
        <v>2548</v>
      </c>
      <c r="H78" s="538"/>
      <c r="I78" s="538"/>
      <c r="J78" s="538"/>
      <c r="K78" s="539"/>
      <c r="L78" s="540"/>
      <c r="M78" s="541"/>
      <c r="N78" s="1151"/>
      <c r="O78" s="1151"/>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4"/>
      <c r="Q79" s="503"/>
    </row>
    <row r="80" spans="1:17" ht="15.75" thickTop="1">
      <c r="A80" s="533"/>
      <c r="B80" s="537" t="s">
        <v>2550</v>
      </c>
      <c r="C80" s="577" t="s">
        <v>2544</v>
      </c>
      <c r="D80" s="577" t="s">
        <v>2545</v>
      </c>
      <c r="E80" s="577" t="s">
        <v>2546</v>
      </c>
      <c r="F80" s="577" t="s">
        <v>2547</v>
      </c>
      <c r="G80" s="577" t="s">
        <v>2548</v>
      </c>
      <c r="H80" s="538"/>
      <c r="I80" s="538"/>
      <c r="J80" s="538"/>
      <c r="K80" s="539"/>
      <c r="L80" s="540"/>
      <c r="M80" s="541"/>
      <c r="N80" s="1151"/>
      <c r="O80" s="1151"/>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4"/>
      <c r="Q81" s="503"/>
    </row>
    <row r="82" spans="1:17" ht="15.75" thickTop="1">
      <c r="A82" s="533"/>
      <c r="B82" s="545" t="s">
        <v>2602</v>
      </c>
      <c r="C82" s="659" t="s">
        <v>2622</v>
      </c>
      <c r="D82" s="659" t="s">
        <v>2623</v>
      </c>
      <c r="E82" s="659" t="s">
        <v>2624</v>
      </c>
      <c r="F82" s="659" t="s">
        <v>2625</v>
      </c>
      <c r="G82" s="659" t="s">
        <v>2626</v>
      </c>
      <c r="H82" s="538"/>
      <c r="I82" s="538"/>
      <c r="J82" s="538"/>
      <c r="K82" s="538"/>
      <c r="L82" s="538"/>
      <c r="M82" s="1381"/>
      <c r="N82" s="1152"/>
      <c r="O82" s="1152"/>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4"/>
      <c r="Q83" s="503"/>
    </row>
    <row r="84" spans="1:17" ht="15.75" thickTop="1">
      <c r="A84" s="533"/>
      <c r="B84" s="537" t="s">
        <v>2556</v>
      </c>
      <c r="C84" s="577" t="s">
        <v>2544</v>
      </c>
      <c r="D84" s="577" t="s">
        <v>2545</v>
      </c>
      <c r="E84" s="577" t="s">
        <v>2546</v>
      </c>
      <c r="F84" s="577" t="s">
        <v>2547</v>
      </c>
      <c r="G84" s="577" t="s">
        <v>2548</v>
      </c>
      <c r="H84" s="538"/>
      <c r="I84" s="538"/>
      <c r="J84" s="538"/>
      <c r="K84" s="539"/>
      <c r="L84" s="540"/>
      <c r="M84" s="541"/>
      <c r="N84" s="1151"/>
      <c r="O84" s="1151"/>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4"/>
      <c r="Q85" s="503"/>
    </row>
    <row r="86" spans="1:17" s="117" customFormat="1" ht="15.75" thickTop="1">
      <c r="A86" s="578"/>
      <c r="B86" s="537" t="s">
        <v>2627</v>
      </c>
      <c r="C86" s="553"/>
      <c r="D86" s="553"/>
      <c r="E86" s="553"/>
      <c r="F86" s="553"/>
      <c r="G86" s="553"/>
      <c r="H86" s="553"/>
      <c r="I86" s="553"/>
      <c r="J86" s="553"/>
      <c r="K86" s="553"/>
      <c r="L86" s="579"/>
      <c r="M86" s="580"/>
      <c r="N86" s="1150"/>
      <c r="O86" s="1150"/>
      <c r="P86" s="2624"/>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4"/>
      <c r="Q87" s="503"/>
    </row>
    <row r="88" spans="1:17" s="117" customFormat="1" ht="15.75" thickTop="1">
      <c r="A88" s="578"/>
      <c r="B88" s="537" t="str">
        <f>B26</f>
        <v>平面位置/可视性</v>
      </c>
      <c r="C88" s="553"/>
      <c r="D88" s="553"/>
      <c r="E88" s="553"/>
      <c r="F88" s="2629"/>
      <c r="G88" s="553"/>
      <c r="H88" s="553"/>
      <c r="I88" s="553"/>
      <c r="J88" s="553"/>
      <c r="K88" s="553"/>
      <c r="L88" s="553"/>
      <c r="M88" s="580"/>
      <c r="N88" s="1150"/>
      <c r="O88" s="1150"/>
      <c r="P88" s="2624"/>
      <c r="Q88" s="503"/>
    </row>
    <row r="89" spans="1:17" s="117" customFormat="1" ht="15.75" thickBot="1">
      <c r="A89" s="578"/>
      <c r="B89" s="542"/>
      <c r="C89" s="559"/>
      <c r="D89" s="535"/>
      <c r="E89" s="535"/>
      <c r="F89" s="535"/>
      <c r="G89" s="535"/>
      <c r="H89" s="535"/>
      <c r="I89" s="535"/>
      <c r="J89" s="535"/>
      <c r="K89" s="535"/>
      <c r="L89" s="535"/>
      <c r="M89" s="535"/>
      <c r="N89" s="1152"/>
      <c r="O89" s="1152"/>
      <c r="P89" s="2624"/>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5"/>
      <c r="Q91" s="558"/>
    </row>
    <row r="92" spans="1:17" ht="15.75" thickTop="1">
      <c r="A92" s="533"/>
      <c r="B92" s="537" t="str">
        <f>B28</f>
        <v>楼层</v>
      </c>
      <c r="C92" s="553"/>
      <c r="D92" s="553"/>
      <c r="E92" s="553"/>
      <c r="F92" s="553"/>
      <c r="G92" s="553"/>
      <c r="H92" s="553"/>
      <c r="I92" s="553"/>
      <c r="J92" s="553"/>
      <c r="K92" s="553"/>
      <c r="L92" s="579"/>
      <c r="M92" s="580"/>
      <c r="N92" s="1151"/>
      <c r="O92" s="1151"/>
      <c r="P92" s="2624"/>
      <c r="Q92" s="503"/>
    </row>
    <row r="93" spans="1:17" ht="15.75" thickBot="1">
      <c r="A93" s="533"/>
      <c r="B93" s="542"/>
      <c r="C93" s="535"/>
      <c r="D93" s="535"/>
      <c r="E93" s="535"/>
      <c r="F93" s="535"/>
      <c r="G93" s="535"/>
      <c r="H93" s="535"/>
      <c r="I93" s="535"/>
      <c r="J93" s="535"/>
      <c r="K93" s="535"/>
      <c r="L93" s="535"/>
      <c r="M93" s="536"/>
      <c r="N93" s="1152"/>
      <c r="O93" s="1152"/>
      <c r="P93" s="2624"/>
      <c r="Q93" s="503"/>
    </row>
    <row r="94" spans="1:17" ht="15.75" thickTop="1">
      <c r="A94" s="533"/>
      <c r="B94" s="537">
        <f>B29</f>
        <v>111</v>
      </c>
      <c r="C94" s="553"/>
      <c r="D94" s="553"/>
      <c r="E94" s="553"/>
      <c r="F94" s="553"/>
      <c r="G94" s="582"/>
      <c r="H94" s="582"/>
      <c r="I94" s="582"/>
      <c r="J94" s="582"/>
      <c r="K94" s="583"/>
      <c r="L94" s="584"/>
      <c r="M94" s="585"/>
      <c r="N94" s="1151"/>
      <c r="O94" s="1151"/>
      <c r="P94" s="2624"/>
      <c r="Q94" s="503"/>
    </row>
    <row r="95" spans="1:17" ht="15.75" thickBot="1">
      <c r="A95" s="533"/>
      <c r="B95" s="542"/>
      <c r="C95" s="559"/>
      <c r="D95" s="535"/>
      <c r="E95" s="535"/>
      <c r="F95" s="535"/>
      <c r="G95" s="535"/>
      <c r="H95" s="535"/>
      <c r="I95" s="535"/>
      <c r="J95" s="535"/>
      <c r="K95" s="535"/>
      <c r="L95" s="535"/>
      <c r="M95" s="536"/>
      <c r="N95" s="1152"/>
      <c r="O95" s="1152"/>
      <c r="P95" s="2624"/>
      <c r="Q95" s="503"/>
    </row>
    <row r="96" spans="1:17" ht="15.75" thickTop="1">
      <c r="A96" s="533"/>
      <c r="B96" s="537">
        <f>B30</f>
        <v>111</v>
      </c>
      <c r="C96" s="553"/>
      <c r="D96" s="553"/>
      <c r="E96" s="553"/>
      <c r="F96" s="553"/>
      <c r="G96" s="582"/>
      <c r="H96" s="582"/>
      <c r="I96" s="582"/>
      <c r="J96" s="582"/>
      <c r="K96" s="583"/>
      <c r="L96" s="584"/>
      <c r="M96" s="585"/>
      <c r="N96" s="1151"/>
      <c r="O96" s="1151"/>
      <c r="P96" s="2624"/>
      <c r="Q96" s="503"/>
    </row>
    <row r="97" spans="1:17" ht="15.75" thickBot="1">
      <c r="A97" s="533"/>
      <c r="B97" s="542"/>
      <c r="C97" s="559"/>
      <c r="D97" s="535"/>
      <c r="E97" s="535"/>
      <c r="F97" s="535"/>
      <c r="G97" s="535"/>
      <c r="H97" s="535"/>
      <c r="I97" s="535"/>
      <c r="J97" s="535"/>
      <c r="K97" s="535"/>
      <c r="L97" s="535"/>
      <c r="M97" s="536"/>
      <c r="N97" s="1152"/>
      <c r="O97" s="1152"/>
      <c r="P97" s="2624"/>
      <c r="Q97" s="503"/>
    </row>
    <row r="98" spans="1:17" ht="15.75" thickTop="1">
      <c r="A98" s="533"/>
      <c r="B98" s="545">
        <f>B31</f>
        <v>111</v>
      </c>
      <c r="C98" s="553"/>
      <c r="D98" s="553"/>
      <c r="E98" s="553"/>
      <c r="F98" s="553"/>
      <c r="G98" s="586"/>
      <c r="H98" s="586"/>
      <c r="I98" s="586"/>
      <c r="J98" s="586"/>
      <c r="K98" s="587"/>
      <c r="L98" s="588"/>
      <c r="M98" s="589"/>
      <c r="N98" s="1151"/>
      <c r="O98" s="1151"/>
      <c r="P98" s="2624"/>
      <c r="Q98" s="503"/>
    </row>
    <row r="99" spans="1:17" ht="15.75" thickBot="1">
      <c r="A99" s="2630"/>
      <c r="B99" s="568"/>
      <c r="C99" s="569"/>
      <c r="D99" s="569"/>
      <c r="E99" s="569"/>
      <c r="F99" s="569"/>
      <c r="G99" s="590"/>
      <c r="H99" s="590"/>
      <c r="I99" s="590"/>
      <c r="J99" s="590"/>
      <c r="K99" s="590"/>
      <c r="L99" s="590"/>
      <c r="M99" s="591"/>
      <c r="N99" s="1152"/>
      <c r="O99" s="1152"/>
      <c r="P99" s="2624"/>
      <c r="Q99" s="503"/>
    </row>
    <row r="100" spans="1:17">
      <c r="A100" s="526" t="s">
        <v>2511</v>
      </c>
      <c r="B100" s="527" t="s">
        <v>2628</v>
      </c>
      <c r="C100" s="529"/>
      <c r="D100" s="529"/>
      <c r="E100" s="529"/>
      <c r="F100" s="529"/>
      <c r="G100" s="529"/>
      <c r="H100" s="529"/>
      <c r="I100" s="529"/>
      <c r="J100" s="529"/>
      <c r="K100" s="530"/>
      <c r="L100" s="531"/>
      <c r="M100" s="532"/>
      <c r="N100" s="1151"/>
      <c r="O100" s="1151"/>
      <c r="P100" s="262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4"/>
      <c r="Q101" s="503"/>
    </row>
    <row r="102" spans="1:17" ht="15.75" thickTop="1">
      <c r="A102" s="533"/>
      <c r="B102" s="537" t="s">
        <v>2560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4"/>
      <c r="Q102" s="503"/>
    </row>
    <row r="103" spans="1:17" s="470" customFormat="1">
      <c r="A103" s="592"/>
      <c r="B103" s="593"/>
      <c r="C103" s="594"/>
      <c r="D103" s="594"/>
      <c r="E103" s="594"/>
      <c r="F103" s="594"/>
      <c r="G103" s="594"/>
      <c r="H103" s="594"/>
      <c r="I103" s="594"/>
      <c r="J103" s="595"/>
      <c r="K103" s="595"/>
      <c r="L103" s="596"/>
      <c r="M103" s="597"/>
      <c r="N103" s="1153"/>
      <c r="O103" s="1153"/>
      <c r="P103" s="2625"/>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5"/>
      <c r="Q104" s="558"/>
    </row>
    <row r="105" spans="1:17" ht="15" thickTop="1">
      <c r="A105" s="598"/>
      <c r="B105" s="537" t="s">
        <v>2561</v>
      </c>
      <c r="C105" s="553"/>
      <c r="D105" s="553"/>
      <c r="E105" s="582"/>
      <c r="F105" s="582"/>
      <c r="G105" s="582"/>
      <c r="H105" s="582"/>
      <c r="I105" s="582"/>
      <c r="J105" s="582"/>
      <c r="K105" s="583"/>
      <c r="L105" s="584"/>
      <c r="M105" s="585"/>
      <c r="N105" s="1151"/>
      <c r="O105" s="1151"/>
      <c r="P105" s="262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4"/>
      <c r="Q106" s="503"/>
    </row>
    <row r="107" spans="1:17" ht="15" thickTop="1">
      <c r="A107" s="598"/>
      <c r="B107" s="537" t="s">
        <v>2563</v>
      </c>
      <c r="C107" s="553"/>
      <c r="D107" s="553"/>
      <c r="E107" s="553"/>
      <c r="F107" s="582"/>
      <c r="G107" s="582"/>
      <c r="H107" s="582"/>
      <c r="I107" s="582"/>
      <c r="J107" s="582"/>
      <c r="K107" s="583"/>
      <c r="L107" s="584"/>
      <c r="M107" s="585"/>
      <c r="N107" s="1151"/>
      <c r="O107" s="1151"/>
      <c r="P107" s="262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4"/>
      <c r="Q108" s="503"/>
    </row>
    <row r="109" spans="1:17" ht="15" thickTop="1">
      <c r="A109" s="598"/>
      <c r="B109" s="537" t="s">
        <v>1953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4"/>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4"/>
      <c r="Q111" s="503"/>
    </row>
    <row r="112" spans="1:17" s="470" customFormat="1" ht="15" thickTop="1">
      <c r="A112" s="592"/>
      <c r="B112" s="537" t="s">
        <v>2565</v>
      </c>
      <c r="C112" s="553"/>
      <c r="D112" s="553"/>
      <c r="E112" s="553"/>
      <c r="F112" s="553"/>
      <c r="G112" s="553"/>
      <c r="H112" s="582"/>
      <c r="I112" s="582"/>
      <c r="J112" s="582"/>
      <c r="K112" s="583"/>
      <c r="L112" s="584"/>
      <c r="M112" s="585"/>
      <c r="N112" s="1153"/>
      <c r="O112" s="1153"/>
      <c r="P112" s="262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5"/>
      <c r="Q113" s="558"/>
    </row>
    <row r="114" spans="1:17" ht="15" thickTop="1">
      <c r="A114" s="598"/>
      <c r="B114" s="537" t="s">
        <v>2629</v>
      </c>
      <c r="C114" s="553"/>
      <c r="D114" s="553"/>
      <c r="E114" s="582"/>
      <c r="F114" s="582"/>
      <c r="G114" s="582"/>
      <c r="H114" s="582"/>
      <c r="I114" s="582"/>
      <c r="J114" s="582"/>
      <c r="K114" s="583"/>
      <c r="L114" s="584"/>
      <c r="M114" s="585"/>
      <c r="N114" s="1151"/>
      <c r="O114" s="1151"/>
      <c r="P114" s="262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4"/>
      <c r="Q115" s="503"/>
    </row>
    <row r="116" spans="1:17" ht="15" thickTop="1">
      <c r="A116" s="598"/>
      <c r="B116" s="537" t="s">
        <v>2630</v>
      </c>
      <c r="C116" s="553"/>
      <c r="D116" s="553"/>
      <c r="E116" s="553"/>
      <c r="F116" s="553"/>
      <c r="G116" s="553"/>
      <c r="H116" s="582"/>
      <c r="I116" s="582"/>
      <c r="J116" s="582"/>
      <c r="K116" s="583"/>
      <c r="L116" s="584"/>
      <c r="M116" s="585"/>
      <c r="N116" s="1151"/>
      <c r="O116" s="1151"/>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4"/>
      <c r="Q117" s="503"/>
    </row>
    <row r="118" spans="1:17" ht="15" thickTop="1">
      <c r="A118" s="598"/>
      <c r="B118" s="537" t="s">
        <v>2631</v>
      </c>
      <c r="C118" s="626"/>
      <c r="D118" s="626"/>
      <c r="E118" s="626"/>
      <c r="F118" s="626"/>
      <c r="G118" s="626"/>
      <c r="H118" s="554"/>
      <c r="I118" s="554"/>
      <c r="J118" s="554"/>
      <c r="K118" s="554"/>
      <c r="L118" s="555"/>
      <c r="M118" s="556"/>
      <c r="N118" s="1151"/>
      <c r="O118" s="1151"/>
      <c r="P118" s="2624"/>
      <c r="Q118" s="503"/>
    </row>
    <row r="119" spans="1:17" ht="15.75" thickBot="1">
      <c r="A119" s="533"/>
      <c r="B119" s="542"/>
      <c r="C119" s="559"/>
      <c r="D119" s="535"/>
      <c r="E119" s="535"/>
      <c r="F119" s="535"/>
      <c r="G119" s="535"/>
      <c r="H119" s="535"/>
      <c r="I119" s="535"/>
      <c r="J119" s="535"/>
      <c r="K119" s="535"/>
      <c r="L119" s="535"/>
      <c r="M119" s="536"/>
      <c r="N119" s="1152"/>
      <c r="O119" s="1152"/>
      <c r="P119" s="2624"/>
      <c r="Q119" s="503"/>
    </row>
    <row r="120" spans="1:17" s="470" customFormat="1" ht="15" thickTop="1">
      <c r="A120" s="592"/>
      <c r="B120" s="537" t="s">
        <v>2632</v>
      </c>
      <c r="C120" s="582"/>
      <c r="D120" s="582"/>
      <c r="E120" s="582"/>
      <c r="F120" s="582"/>
      <c r="G120" s="554"/>
      <c r="H120" s="554"/>
      <c r="I120" s="554"/>
      <c r="J120" s="554"/>
      <c r="K120" s="554"/>
      <c r="L120" s="555"/>
      <c r="M120" s="556"/>
      <c r="N120" s="1153"/>
      <c r="O120" s="1153"/>
      <c r="P120" s="262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5"/>
      <c r="Q121" s="558"/>
    </row>
    <row r="122" spans="1:17" ht="15" thickTop="1">
      <c r="A122" s="598"/>
      <c r="B122" s="537" t="s">
        <v>2567</v>
      </c>
      <c r="C122" s="553"/>
      <c r="D122" s="553"/>
      <c r="E122" s="553"/>
      <c r="F122" s="582"/>
      <c r="G122" s="582"/>
      <c r="H122" s="582"/>
      <c r="I122" s="582"/>
      <c r="J122" s="582"/>
      <c r="K122" s="583"/>
      <c r="L122" s="584"/>
      <c r="M122" s="585"/>
      <c r="N122" s="1151"/>
      <c r="O122" s="1151"/>
      <c r="P122" s="262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4"/>
      <c r="Q123" s="503"/>
    </row>
    <row r="124" spans="1:17" ht="15" thickTop="1">
      <c r="A124" s="598"/>
      <c r="B124" s="537" t="s">
        <v>2568</v>
      </c>
      <c r="C124" s="577" t="s">
        <v>2544</v>
      </c>
      <c r="D124" s="577" t="s">
        <v>2545</v>
      </c>
      <c r="E124" s="577" t="s">
        <v>2546</v>
      </c>
      <c r="F124" s="577" t="s">
        <v>2547</v>
      </c>
      <c r="G124" s="577" t="s">
        <v>2548</v>
      </c>
      <c r="H124" s="538"/>
      <c r="I124" s="538"/>
      <c r="J124" s="538"/>
      <c r="K124" s="539"/>
      <c r="L124" s="540"/>
      <c r="M124" s="541"/>
      <c r="N124" s="1151"/>
      <c r="O124" s="1151"/>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4"/>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5"/>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5"/>
      <c r="Q127" s="558"/>
    </row>
    <row r="128" spans="1:17" ht="15" thickTop="1">
      <c r="A128" s="598"/>
      <c r="B128" s="537">
        <f>B45</f>
        <v>111</v>
      </c>
      <c r="C128" s="553"/>
      <c r="D128" s="553"/>
      <c r="E128" s="553"/>
      <c r="F128" s="553"/>
      <c r="G128" s="582"/>
      <c r="H128" s="582"/>
      <c r="I128" s="582"/>
      <c r="J128" s="582"/>
      <c r="K128" s="583"/>
      <c r="L128" s="584"/>
      <c r="M128" s="585"/>
      <c r="N128" s="1151"/>
      <c r="O128" s="1151"/>
      <c r="P128" s="2624"/>
      <c r="Q128" s="503"/>
    </row>
    <row r="129" spans="1:17" ht="15.75" thickBot="1">
      <c r="A129" s="533"/>
      <c r="B129" s="542"/>
      <c r="C129" s="559"/>
      <c r="D129" s="535"/>
      <c r="E129" s="535"/>
      <c r="F129" s="535"/>
      <c r="G129" s="535"/>
      <c r="H129" s="535"/>
      <c r="I129" s="535"/>
      <c r="J129" s="535"/>
      <c r="K129" s="535"/>
      <c r="L129" s="535"/>
      <c r="M129" s="536"/>
      <c r="N129" s="1152"/>
      <c r="O129" s="1152"/>
      <c r="P129" s="2624"/>
      <c r="Q129" s="503"/>
    </row>
    <row r="130" spans="1:17" ht="15" thickTop="1">
      <c r="A130" s="598"/>
      <c r="B130" s="545">
        <f>B46</f>
        <v>111</v>
      </c>
      <c r="C130" s="553"/>
      <c r="D130" s="553"/>
      <c r="E130" s="553"/>
      <c r="F130" s="553"/>
      <c r="G130" s="586"/>
      <c r="H130" s="586"/>
      <c r="I130" s="586"/>
      <c r="J130" s="586"/>
      <c r="K130" s="522"/>
      <c r="L130" s="523"/>
      <c r="M130" s="589"/>
      <c r="N130" s="1151"/>
      <c r="O130" s="1151"/>
      <c r="P130" s="2624"/>
      <c r="Q130" s="503"/>
    </row>
    <row r="131" spans="1:17" ht="15.75" thickBot="1">
      <c r="A131" s="2630"/>
      <c r="B131" s="568"/>
      <c r="C131" s="569"/>
      <c r="D131" s="569"/>
      <c r="E131" s="569"/>
      <c r="F131" s="569"/>
      <c r="G131" s="590"/>
      <c r="H131" s="590"/>
      <c r="I131" s="590"/>
      <c r="J131" s="590"/>
      <c r="K131" s="590"/>
      <c r="L131" s="590"/>
      <c r="M131" s="591"/>
      <c r="N131" s="1152"/>
      <c r="O131" s="1152"/>
      <c r="P131" s="262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723" priority="17" stopIfTrue="1" operator="containsText" text="超过">
      <formula>NOT(ISERROR(SEARCH("超过",F52)))</formula>
    </cfRule>
  </conditionalFormatting>
  <conditionalFormatting sqref="H54">
    <cfRule type="containsText" dxfId="722" priority="15" stopIfTrue="1" operator="containsText" text="超过">
      <formula>NOT(ISERROR(SEARCH("超过",H54)))</formula>
    </cfRule>
  </conditionalFormatting>
  <conditionalFormatting sqref="F54">
    <cfRule type="containsText" dxfId="721" priority="14" stopIfTrue="1" operator="containsText" text="超过">
      <formula>NOT(ISERROR(SEARCH("超过",F54)))</formula>
    </cfRule>
  </conditionalFormatting>
  <conditionalFormatting sqref="F53 H53">
    <cfRule type="containsText" dxfId="720" priority="13" stopIfTrue="1" operator="containsText" text="超过">
      <formula>NOT(ISERROR(SEARCH("超过",F53)))</formula>
    </cfRule>
  </conditionalFormatting>
  <conditionalFormatting sqref="E52">
    <cfRule type="expression" dxfId="719" priority="12" stopIfTrue="1">
      <formula>$F$52="超过30%"</formula>
    </cfRule>
  </conditionalFormatting>
  <conditionalFormatting sqref="E53">
    <cfRule type="expression" dxfId="718" priority="11" stopIfTrue="1">
      <formula>$F$53="超过20%"</formula>
    </cfRule>
  </conditionalFormatting>
  <conditionalFormatting sqref="E54">
    <cfRule type="expression" dxfId="717" priority="10" stopIfTrue="1">
      <formula>$F$54="超过30%"</formula>
    </cfRule>
  </conditionalFormatting>
  <conditionalFormatting sqref="G54">
    <cfRule type="expression" dxfId="716" priority="9" stopIfTrue="1">
      <formula>$H$54="超过30%"</formula>
    </cfRule>
  </conditionalFormatting>
  <conditionalFormatting sqref="G52">
    <cfRule type="expression" dxfId="715" priority="8" stopIfTrue="1">
      <formula>$H$52="超过30%"</formula>
    </cfRule>
  </conditionalFormatting>
  <conditionalFormatting sqref="G53">
    <cfRule type="expression" dxfId="714" priority="7" stopIfTrue="1">
      <formula>$H$53="超过20%"</formula>
    </cfRule>
  </conditionalFormatting>
  <conditionalFormatting sqref="J52">
    <cfRule type="containsText" dxfId="713" priority="6" stopIfTrue="1" operator="containsText" text="超过">
      <formula>NOT(ISERROR(SEARCH("超过",J52)))</formula>
    </cfRule>
  </conditionalFormatting>
  <conditionalFormatting sqref="J54">
    <cfRule type="containsText" dxfId="712" priority="5" stopIfTrue="1" operator="containsText" text="超过">
      <formula>NOT(ISERROR(SEARCH("超过",J54)))</formula>
    </cfRule>
  </conditionalFormatting>
  <conditionalFormatting sqref="J53">
    <cfRule type="containsText" dxfId="711" priority="4" stopIfTrue="1" operator="containsText" text="超过">
      <formula>NOT(ISERROR(SEARCH("超过",J53)))</formula>
    </cfRule>
  </conditionalFormatting>
  <conditionalFormatting sqref="I52">
    <cfRule type="expression" dxfId="710" priority="3" stopIfTrue="1">
      <formula>$J$52="超过30%"</formula>
    </cfRule>
  </conditionalFormatting>
  <conditionalFormatting sqref="I53">
    <cfRule type="expression" dxfId="709" priority="2" stopIfTrue="1">
      <formula>$J$53="超过20%"</formula>
    </cfRule>
  </conditionalFormatting>
  <conditionalFormatting sqref="I54">
    <cfRule type="expression" dxfId="7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2476</v>
      </c>
      <c r="B1" s="2663" t="s">
        <v>2633</v>
      </c>
      <c r="C1" s="1618" t="s">
        <v>2478</v>
      </c>
      <c r="D1" s="1619"/>
      <c r="E1" s="1628"/>
      <c r="F1" s="2579"/>
      <c r="G1" s="1629" t="s">
        <v>2590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2278</v>
      </c>
      <c r="B2" s="1417" t="e">
        <f ca="1">IF(C2="——",ROUND(C50*D3/10000,0),ROUND(C50*D3/10000,0)-D2)</f>
        <v>#DIV/0!</v>
      </c>
      <c r="C2" s="2581"/>
      <c r="D2" s="1364" t="e">
        <f ca="1">SUMIF(INDIRECT("'"&amp;F2&amp;"'"&amp;"!A:A"),"承租人权益价值",INDIRECT("'"&amp;F2&amp;"'"&amp;"!c:c"))</f>
        <v>#REF!</v>
      </c>
      <c r="E2" s="2582" t="s">
        <v>2279</v>
      </c>
      <c r="F2" s="2583"/>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2280</v>
      </c>
      <c r="B3" s="608" t="e">
        <f ca="1">IF(C2="——",C50,ROUND(B2*10000/D3,0))</f>
        <v>#DIV/0!</v>
      </c>
      <c r="C3" s="399" t="s">
        <v>2591</v>
      </c>
      <c r="D3" s="398">
        <f>IF(D1="",'数据-汇总表'!E3,SUMIF('数据-汇总表'!$C19:$C33,D1,'数据-汇总表'!$E19:$E33))</f>
        <v>167325.31000000003</v>
      </c>
      <c r="E3" s="2657"/>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2592</v>
      </c>
      <c r="B4" s="401"/>
      <c r="C4" s="3222" t="s">
        <v>2593</v>
      </c>
      <c r="D4" s="3223"/>
      <c r="E4" s="3224" t="s">
        <v>2594</v>
      </c>
      <c r="F4" s="3225"/>
      <c r="G4" s="3222" t="s">
        <v>2595</v>
      </c>
      <c r="H4" s="3223"/>
      <c r="I4" s="3222" t="s">
        <v>2596</v>
      </c>
      <c r="J4" s="3223"/>
      <c r="K4" s="609" t="s">
        <v>2597</v>
      </c>
      <c r="L4" s="1129"/>
      <c r="M4" s="1130"/>
      <c r="N4" s="1130"/>
      <c r="O4" s="1130"/>
      <c r="P4" s="3292" t="s">
        <v>2598</v>
      </c>
      <c r="Q4" s="3293"/>
      <c r="R4" s="3287" t="s">
        <v>2594</v>
      </c>
      <c r="S4" s="3288"/>
      <c r="T4" s="3287" t="s">
        <v>2595</v>
      </c>
      <c r="U4" s="3288"/>
      <c r="V4" s="3296" t="s">
        <v>2596</v>
      </c>
      <c r="W4" s="3296"/>
      <c r="X4" s="2664"/>
      <c r="Y4" s="3287" t="s">
        <v>2598</v>
      </c>
      <c r="Z4" s="3288"/>
      <c r="AA4" s="3286" t="s">
        <v>2594</v>
      </c>
      <c r="AB4" s="3286" t="s">
        <v>2595</v>
      </c>
      <c r="AC4" s="3289" t="s">
        <v>2596</v>
      </c>
    </row>
    <row r="5" spans="1:29" ht="15">
      <c r="A5" s="403"/>
      <c r="B5" s="404"/>
      <c r="C5" s="3218" t="s">
        <v>2490</v>
      </c>
      <c r="D5" s="3215"/>
      <c r="E5" s="3212" t="s">
        <v>2491</v>
      </c>
      <c r="F5" s="3213"/>
      <c r="G5" s="3218" t="s">
        <v>2492</v>
      </c>
      <c r="H5" s="3215"/>
      <c r="I5" s="3218" t="s">
        <v>2493</v>
      </c>
      <c r="J5" s="3215"/>
      <c r="K5" s="609"/>
      <c r="L5" s="1129"/>
      <c r="M5" s="1130"/>
      <c r="N5" s="1130"/>
      <c r="O5" s="1130"/>
      <c r="P5" s="3294"/>
      <c r="Q5" s="3229"/>
      <c r="R5" s="3210"/>
      <c r="S5" s="3211"/>
      <c r="T5" s="3210"/>
      <c r="U5" s="3211"/>
      <c r="V5" s="3234"/>
      <c r="W5" s="3234"/>
      <c r="X5" s="1811"/>
      <c r="Y5" s="3210"/>
      <c r="Z5" s="3211"/>
      <c r="AA5" s="3204"/>
      <c r="AB5" s="3204"/>
      <c r="AC5" s="3290"/>
    </row>
    <row r="6" spans="1:29" ht="15.75" thickBot="1">
      <c r="A6" s="405"/>
      <c r="B6" s="406"/>
      <c r="C6" s="3216" t="s">
        <v>2494</v>
      </c>
      <c r="D6" s="3217"/>
      <c r="E6" s="3219" t="s">
        <v>2494</v>
      </c>
      <c r="F6" s="3220"/>
      <c r="G6" s="3216" t="s">
        <v>2494</v>
      </c>
      <c r="H6" s="3217"/>
      <c r="I6" s="3216" t="s">
        <v>2494</v>
      </c>
      <c r="J6" s="3217"/>
      <c r="K6" s="609" t="s">
        <v>2495</v>
      </c>
      <c r="L6" s="1129"/>
      <c r="M6" s="1130"/>
      <c r="N6" s="1130"/>
      <c r="O6" s="1130"/>
      <c r="P6" s="3295"/>
      <c r="Q6" s="3231"/>
      <c r="R6" s="3210"/>
      <c r="S6" s="3211"/>
      <c r="T6" s="3232"/>
      <c r="U6" s="3233"/>
      <c r="V6" s="3234"/>
      <c r="W6" s="3234"/>
      <c r="X6" s="1811"/>
      <c r="Y6" s="3232"/>
      <c r="Z6" s="3233"/>
      <c r="AA6" s="3205"/>
      <c r="AB6" s="3205"/>
      <c r="AC6" s="3291"/>
    </row>
    <row r="7" spans="1:29" s="117" customFormat="1" ht="15.75" thickBot="1">
      <c r="A7" s="407" t="s">
        <v>2496</v>
      </c>
      <c r="B7" s="408"/>
      <c r="C7" s="409">
        <f>'数据-取费表'!B2</f>
        <v>43452</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97" t="s">
        <v>2497</v>
      </c>
      <c r="Q7" s="3235"/>
      <c r="R7" s="769" t="s">
        <v>17</v>
      </c>
      <c r="S7" s="770">
        <f t="shared" ref="S7:S15" si="0">F7</f>
        <v>0</v>
      </c>
      <c r="T7" s="769" t="s">
        <v>17</v>
      </c>
      <c r="U7" s="770">
        <f t="shared" ref="U7:U15" si="1">H7</f>
        <v>0</v>
      </c>
      <c r="V7" s="769" t="s">
        <v>17</v>
      </c>
      <c r="W7" s="770">
        <f t="shared" ref="W7:W15" si="2">J7</f>
        <v>0</v>
      </c>
      <c r="X7" s="771"/>
      <c r="Y7" s="3206" t="s">
        <v>2497</v>
      </c>
      <c r="Z7" s="3207"/>
      <c r="AA7" s="772" t="e">
        <f>D7/F7</f>
        <v>#DIV/0!</v>
      </c>
      <c r="AB7" s="772" t="e">
        <f>D7/H7</f>
        <v>#DIV/0!</v>
      </c>
      <c r="AC7" s="2665" t="e">
        <f>D7/J7</f>
        <v>#DIV/0!</v>
      </c>
    </row>
    <row r="8" spans="1:29" s="117" customFormat="1" ht="15.75" thickBot="1">
      <c r="A8" s="407" t="s">
        <v>2498</v>
      </c>
      <c r="B8" s="408"/>
      <c r="C8" s="413" t="s">
        <v>2599</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97" t="s">
        <v>2500</v>
      </c>
      <c r="Q8" s="3207"/>
      <c r="R8" s="769" t="s">
        <v>17</v>
      </c>
      <c r="S8" s="770">
        <f t="shared" si="0"/>
        <v>0</v>
      </c>
      <c r="T8" s="769" t="s">
        <v>17</v>
      </c>
      <c r="U8" s="770">
        <f t="shared" si="1"/>
        <v>0</v>
      </c>
      <c r="V8" s="769" t="s">
        <v>17</v>
      </c>
      <c r="W8" s="770">
        <f t="shared" si="2"/>
        <v>0</v>
      </c>
      <c r="X8" s="771"/>
      <c r="Y8" s="3206" t="s">
        <v>2500</v>
      </c>
      <c r="Z8" s="3207"/>
      <c r="AA8" s="772" t="e">
        <f t="shared" ref="AA8:AA47" si="3">D8/F8</f>
        <v>#DIV/0!</v>
      </c>
      <c r="AB8" s="772" t="e">
        <f t="shared" ref="AB8:AB47" si="4">D8/H8</f>
        <v>#DIV/0!</v>
      </c>
      <c r="AC8" s="2665" t="e">
        <f t="shared" ref="AC8:AC47" si="5">D8/J8</f>
        <v>#DIV/0!</v>
      </c>
    </row>
    <row r="9" spans="1:29" s="117" customFormat="1">
      <c r="A9" s="414" t="s">
        <v>2501</v>
      </c>
      <c r="B9" s="71" t="s">
        <v>2502</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45" t="s">
        <v>2503</v>
      </c>
      <c r="Q9" s="1793" t="str">
        <f t="shared" ref="Q9:Q15" si="6">B9</f>
        <v>用途</v>
      </c>
      <c r="R9" s="769" t="s">
        <v>17</v>
      </c>
      <c r="S9" s="770">
        <f t="shared" si="0"/>
        <v>100</v>
      </c>
      <c r="T9" s="769" t="s">
        <v>17</v>
      </c>
      <c r="U9" s="770">
        <f t="shared" si="1"/>
        <v>100</v>
      </c>
      <c r="V9" s="769" t="s">
        <v>17</v>
      </c>
      <c r="W9" s="770">
        <f t="shared" si="2"/>
        <v>100</v>
      </c>
      <c r="X9" s="771"/>
      <c r="Y9" s="3083" t="s">
        <v>2504</v>
      </c>
      <c r="Z9" s="55" t="str">
        <f t="shared" ref="Z9:Z15" si="7">Q9</f>
        <v>用途</v>
      </c>
      <c r="AA9" s="772">
        <f t="shared" si="3"/>
        <v>1</v>
      </c>
      <c r="AB9" s="772">
        <f t="shared" si="4"/>
        <v>1</v>
      </c>
      <c r="AC9" s="2665">
        <f t="shared" si="5"/>
        <v>1</v>
      </c>
    </row>
    <row r="10" spans="1:29" s="426" customFormat="1" ht="27">
      <c r="A10" s="420"/>
      <c r="B10" s="421" t="s">
        <v>2505</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45"/>
      <c r="Q10" s="1793" t="str">
        <f t="shared" si="6"/>
        <v>土地使用年限（年）</v>
      </c>
      <c r="R10" s="769" t="s">
        <v>17</v>
      </c>
      <c r="S10" s="770">
        <f t="shared" si="0"/>
        <v>100</v>
      </c>
      <c r="T10" s="769" t="s">
        <v>17</v>
      </c>
      <c r="U10" s="770">
        <f t="shared" si="1"/>
        <v>100</v>
      </c>
      <c r="V10" s="769" t="s">
        <v>17</v>
      </c>
      <c r="W10" s="770">
        <f t="shared" si="2"/>
        <v>100</v>
      </c>
      <c r="X10" s="771"/>
      <c r="Y10" s="3083"/>
      <c r="Z10" s="55" t="str">
        <f t="shared" si="7"/>
        <v>土地使用年限（年）</v>
      </c>
      <c r="AA10" s="772">
        <f t="shared" si="3"/>
        <v>1</v>
      </c>
      <c r="AB10" s="772">
        <f t="shared" si="4"/>
        <v>1</v>
      </c>
      <c r="AC10" s="2665">
        <f t="shared" si="5"/>
        <v>1</v>
      </c>
    </row>
    <row r="11" spans="1:29" ht="15">
      <c r="A11" s="427"/>
      <c r="B11" s="421" t="s">
        <v>2506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45"/>
      <c r="Q11" s="1793" t="str">
        <f t="shared" si="6"/>
        <v>容积率</v>
      </c>
      <c r="R11" s="769" t="s">
        <v>17</v>
      </c>
      <c r="S11" s="770" t="e">
        <f t="shared" si="0"/>
        <v>#N/A</v>
      </c>
      <c r="T11" s="769" t="s">
        <v>17</v>
      </c>
      <c r="U11" s="770" t="e">
        <f t="shared" si="1"/>
        <v>#N/A</v>
      </c>
      <c r="V11" s="769" t="s">
        <v>17</v>
      </c>
      <c r="W11" s="770" t="e">
        <f t="shared" si="2"/>
        <v>#N/A</v>
      </c>
      <c r="X11" s="771"/>
      <c r="Y11" s="3083"/>
      <c r="Z11" s="55" t="str">
        <f t="shared" si="7"/>
        <v>容积率</v>
      </c>
      <c r="AA11" s="772" t="e">
        <f t="shared" si="3"/>
        <v>#N/A</v>
      </c>
      <c r="AB11" s="772" t="e">
        <f t="shared" si="4"/>
        <v>#N/A</v>
      </c>
      <c r="AC11" s="2665" t="e">
        <f t="shared" si="5"/>
        <v>#N/A</v>
      </c>
    </row>
    <row r="12" spans="1:29" s="117" customFormat="1" ht="15">
      <c r="A12" s="430"/>
      <c r="B12" s="2595">
        <v>111</v>
      </c>
      <c r="C12" s="431"/>
      <c r="D12" s="432">
        <v>100</v>
      </c>
      <c r="E12" s="431"/>
      <c r="F12" s="135">
        <f>SUMIF(71:71,E12,72:72)-SUMIF(71:71,C12,72:72)+100</f>
        <v>100</v>
      </c>
      <c r="G12" s="2666"/>
      <c r="H12" s="135">
        <f>SUMIF(71:71,G12,72:72)-SUMIF(71:71,C12,72:72)+100</f>
        <v>100</v>
      </c>
      <c r="I12" s="431"/>
      <c r="J12" s="135">
        <f>SUMIF(71:71,I12,72:72)-SUMIF(71:71,C12,72:72)+100</f>
        <v>100</v>
      </c>
      <c r="K12" s="612"/>
      <c r="L12" s="1131"/>
      <c r="M12" s="1132"/>
      <c r="N12" s="1132"/>
      <c r="O12" s="1132"/>
      <c r="P12" s="3245"/>
      <c r="Q12" s="1793">
        <f t="shared" si="6"/>
        <v>111</v>
      </c>
      <c r="R12" s="769" t="s">
        <v>17</v>
      </c>
      <c r="S12" s="770">
        <f t="shared" si="0"/>
        <v>100</v>
      </c>
      <c r="T12" s="769" t="s">
        <v>17</v>
      </c>
      <c r="U12" s="770">
        <f t="shared" si="1"/>
        <v>100</v>
      </c>
      <c r="V12" s="769" t="s">
        <v>17</v>
      </c>
      <c r="W12" s="770">
        <f t="shared" si="2"/>
        <v>100</v>
      </c>
      <c r="X12" s="771"/>
      <c r="Y12" s="3083"/>
      <c r="Z12" s="55">
        <f t="shared" si="7"/>
        <v>111</v>
      </c>
      <c r="AA12" s="772">
        <f>D12/F12</f>
        <v>1</v>
      </c>
      <c r="AB12" s="772">
        <f>D12/H12</f>
        <v>1</v>
      </c>
      <c r="AC12" s="2665">
        <f>D12/J12</f>
        <v>1</v>
      </c>
    </row>
    <row r="13" spans="1:29" ht="15">
      <c r="A13" s="427"/>
      <c r="B13" s="2595">
        <v>111</v>
      </c>
      <c r="C13" s="433"/>
      <c r="D13" s="434">
        <v>100</v>
      </c>
      <c r="E13" s="431"/>
      <c r="F13" s="135">
        <f>SUMIF(73:73,E13,74:74)-SUMIF(73:73,C13,74:74)+100</f>
        <v>100</v>
      </c>
      <c r="G13" s="2666"/>
      <c r="H13" s="434">
        <f>SUMIF(73:73,G13,74:74)-SUMIF(73:73,C13,74:74)+100</f>
        <v>100</v>
      </c>
      <c r="I13" s="431"/>
      <c r="J13" s="434">
        <f>SUMIF(73:73,I13,74:74)-SUMIF(73:73,C13,74:74)+100</f>
        <v>100</v>
      </c>
      <c r="K13" s="612"/>
      <c r="L13" s="1139"/>
      <c r="M13" s="1130"/>
      <c r="N13" s="1130"/>
      <c r="O13" s="1130"/>
      <c r="P13" s="3245"/>
      <c r="Q13" s="1793">
        <f t="shared" si="6"/>
        <v>111</v>
      </c>
      <c r="R13" s="769" t="s">
        <v>17</v>
      </c>
      <c r="S13" s="770">
        <f t="shared" si="0"/>
        <v>100</v>
      </c>
      <c r="T13" s="769" t="s">
        <v>17</v>
      </c>
      <c r="U13" s="770">
        <f t="shared" si="1"/>
        <v>100</v>
      </c>
      <c r="V13" s="769" t="s">
        <v>17</v>
      </c>
      <c r="W13" s="770">
        <f t="shared" si="2"/>
        <v>100</v>
      </c>
      <c r="X13" s="771"/>
      <c r="Y13" s="3083"/>
      <c r="Z13" s="55">
        <f t="shared" si="7"/>
        <v>111</v>
      </c>
      <c r="AA13" s="772">
        <f t="shared" si="3"/>
        <v>1</v>
      </c>
      <c r="AB13" s="772">
        <f t="shared" si="4"/>
        <v>1</v>
      </c>
      <c r="AC13" s="2665">
        <f t="shared" si="5"/>
        <v>1</v>
      </c>
    </row>
    <row r="14" spans="1:29" ht="15.75" thickBot="1">
      <c r="A14" s="435"/>
      <c r="B14" s="2597">
        <v>111</v>
      </c>
      <c r="C14" s="436"/>
      <c r="D14" s="437">
        <v>100</v>
      </c>
      <c r="E14" s="627"/>
      <c r="F14" s="437">
        <f>SUMIF(75:75,E14,76:76)-SUMIF(75:75,C14,76:76)+100</f>
        <v>100</v>
      </c>
      <c r="G14" s="2666"/>
      <c r="H14" s="437">
        <f>SUMIF(75:75,G14,76:76)-SUMIF(75:75,C14,76:76)+100</f>
        <v>100</v>
      </c>
      <c r="I14" s="431"/>
      <c r="J14" s="437">
        <f>SUMIF(75:75,I14,76:76)-SUMIF(75:75,C14,76:76)+100</f>
        <v>100</v>
      </c>
      <c r="K14" s="612"/>
      <c r="L14" s="1139"/>
      <c r="M14" s="1130"/>
      <c r="N14" s="1130"/>
      <c r="O14" s="1130"/>
      <c r="P14" s="3245"/>
      <c r="Q14" s="1793">
        <f t="shared" si="6"/>
        <v>111</v>
      </c>
      <c r="R14" s="769" t="s">
        <v>17</v>
      </c>
      <c r="S14" s="770">
        <f t="shared" si="0"/>
        <v>100</v>
      </c>
      <c r="T14" s="769" t="s">
        <v>17</v>
      </c>
      <c r="U14" s="770">
        <f t="shared" si="1"/>
        <v>100</v>
      </c>
      <c r="V14" s="769" t="s">
        <v>17</v>
      </c>
      <c r="W14" s="770">
        <f t="shared" si="2"/>
        <v>100</v>
      </c>
      <c r="X14" s="771"/>
      <c r="Y14" s="3083"/>
      <c r="Z14" s="55">
        <f t="shared" si="7"/>
        <v>111</v>
      </c>
      <c r="AA14" s="772">
        <f t="shared" si="3"/>
        <v>1</v>
      </c>
      <c r="AB14" s="772">
        <f t="shared" si="4"/>
        <v>1</v>
      </c>
      <c r="AC14" s="2665">
        <f t="shared" si="5"/>
        <v>1</v>
      </c>
    </row>
    <row r="15" spans="1:29" ht="15">
      <c r="A15" s="439" t="s">
        <v>2507</v>
      </c>
      <c r="B15" s="628" t="s">
        <v>2634</v>
      </c>
      <c r="C15" s="2667" t="str">
        <f>估价对象房地状况!C5</f>
        <v>——</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52" t="s">
        <v>2508</v>
      </c>
      <c r="Q15" s="1808" t="str">
        <f t="shared" si="6"/>
        <v>办公集聚程度</v>
      </c>
      <c r="R15" s="773" t="s">
        <v>17</v>
      </c>
      <c r="S15" s="774">
        <f t="shared" si="0"/>
        <v>100</v>
      </c>
      <c r="T15" s="773" t="s">
        <v>17</v>
      </c>
      <c r="U15" s="774">
        <f t="shared" si="1"/>
        <v>100</v>
      </c>
      <c r="V15" s="773" t="s">
        <v>17</v>
      </c>
      <c r="W15" s="774">
        <f t="shared" si="2"/>
        <v>100</v>
      </c>
      <c r="X15" s="1811"/>
      <c r="Y15" s="3236" t="s">
        <v>2508</v>
      </c>
      <c r="Z15" s="1812" t="str">
        <f t="shared" si="7"/>
        <v>办公集聚程度</v>
      </c>
      <c r="AA15" s="1809">
        <f t="shared" si="3"/>
        <v>1</v>
      </c>
      <c r="AB15" s="1809">
        <f t="shared" si="4"/>
        <v>1</v>
      </c>
      <c r="AC15" s="2668">
        <f t="shared" si="5"/>
        <v>1</v>
      </c>
    </row>
    <row r="16" spans="1:29" ht="15">
      <c r="A16" s="427"/>
      <c r="B16" s="629"/>
      <c r="C16" s="2606"/>
      <c r="D16" s="447"/>
      <c r="E16" s="446"/>
      <c r="F16" s="447"/>
      <c r="G16" s="2606"/>
      <c r="H16" s="449"/>
      <c r="I16" s="446"/>
      <c r="J16" s="447"/>
      <c r="K16" s="614"/>
      <c r="L16" s="1139"/>
      <c r="M16" s="1130"/>
      <c r="N16" s="1130"/>
      <c r="O16" s="1130"/>
      <c r="P16" s="3253"/>
      <c r="Q16" s="1808"/>
      <c r="R16" s="773"/>
      <c r="S16" s="774"/>
      <c r="T16" s="773"/>
      <c r="U16" s="774"/>
      <c r="V16" s="773"/>
      <c r="W16" s="774"/>
      <c r="X16" s="1811"/>
      <c r="Y16" s="3237"/>
      <c r="Z16" s="1812"/>
      <c r="AA16" s="1809">
        <v>1</v>
      </c>
      <c r="AB16" s="1809">
        <v>1</v>
      </c>
      <c r="AC16" s="2668">
        <v>1</v>
      </c>
    </row>
    <row r="17" spans="1:29" ht="114">
      <c r="A17" s="427"/>
      <c r="B17" s="630" t="s">
        <v>2049</v>
      </c>
      <c r="C17" s="2669" t="str">
        <f>估价对象房地状况!C6</f>
        <v>估价对象周边道路状况一般、公共交通通达情况一般、停车便捷程度较好，周边有143、300路等公交线路，综合评价交通便捷度一般</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53"/>
      <c r="Q17" s="1808" t="str">
        <f>B17</f>
        <v>交通便捷度</v>
      </c>
      <c r="R17" s="773" t="s">
        <v>17</v>
      </c>
      <c r="S17" s="774">
        <f>F17</f>
        <v>100</v>
      </c>
      <c r="T17" s="773" t="s">
        <v>17</v>
      </c>
      <c r="U17" s="774">
        <f>H17</f>
        <v>100</v>
      </c>
      <c r="V17" s="773" t="s">
        <v>17</v>
      </c>
      <c r="W17" s="774">
        <f>J17</f>
        <v>100</v>
      </c>
      <c r="X17" s="1811"/>
      <c r="Y17" s="3237"/>
      <c r="Z17" s="1812" t="str">
        <f>Q17</f>
        <v>交通便捷度</v>
      </c>
      <c r="AA17" s="1809">
        <f t="shared" si="3"/>
        <v>1</v>
      </c>
      <c r="AB17" s="1809">
        <f t="shared" si="4"/>
        <v>1</v>
      </c>
      <c r="AC17" s="2668">
        <f t="shared" si="5"/>
        <v>1</v>
      </c>
    </row>
    <row r="18" spans="1:29" ht="15">
      <c r="A18" s="427"/>
      <c r="B18" s="631"/>
      <c r="C18" s="2670"/>
      <c r="D18" s="449"/>
      <c r="E18" s="2604"/>
      <c r="F18" s="449"/>
      <c r="G18" s="2605"/>
      <c r="H18" s="447"/>
      <c r="I18" s="2605"/>
      <c r="J18" s="447"/>
      <c r="K18" s="614"/>
      <c r="L18" s="1139"/>
      <c r="M18" s="1130"/>
      <c r="N18" s="1130"/>
      <c r="O18" s="1130"/>
      <c r="P18" s="3253"/>
      <c r="Q18" s="1808"/>
      <c r="R18" s="773"/>
      <c r="S18" s="774"/>
      <c r="T18" s="773"/>
      <c r="U18" s="774"/>
      <c r="V18" s="773"/>
      <c r="W18" s="774"/>
      <c r="X18" s="1811"/>
      <c r="Y18" s="3237"/>
      <c r="Z18" s="1812"/>
      <c r="AA18" s="1809">
        <v>1</v>
      </c>
      <c r="AB18" s="1809">
        <v>1</v>
      </c>
      <c r="AC18" s="2668">
        <v>1</v>
      </c>
    </row>
    <row r="19" spans="1:29" ht="42.75">
      <c r="A19" s="427"/>
      <c r="B19" s="630" t="s">
        <v>2635</v>
      </c>
      <c r="C19" s="2669" t="str">
        <f>估价对象房地状况!C7</f>
        <v>估价对象所在区域公共配套设施齐备情况一般</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53"/>
      <c r="Q19" s="1808" t="str">
        <f>B19</f>
        <v>公共配套设施</v>
      </c>
      <c r="R19" s="773" t="s">
        <v>17</v>
      </c>
      <c r="S19" s="774">
        <f>F19</f>
        <v>100</v>
      </c>
      <c r="T19" s="773" t="s">
        <v>17</v>
      </c>
      <c r="U19" s="774">
        <f>H19</f>
        <v>100</v>
      </c>
      <c r="V19" s="773" t="s">
        <v>17</v>
      </c>
      <c r="W19" s="774">
        <f>J19</f>
        <v>100</v>
      </c>
      <c r="X19" s="1811"/>
      <c r="Y19" s="3237"/>
      <c r="Z19" s="1812" t="str">
        <f>Q19</f>
        <v>公共配套设施</v>
      </c>
      <c r="AA19" s="1809">
        <f t="shared" si="3"/>
        <v>1</v>
      </c>
      <c r="AB19" s="1809">
        <f t="shared" si="4"/>
        <v>1</v>
      </c>
      <c r="AC19" s="2668">
        <f t="shared" si="5"/>
        <v>1</v>
      </c>
    </row>
    <row r="20" spans="1:29" ht="15">
      <c r="A20" s="427"/>
      <c r="B20" s="631"/>
      <c r="C20" s="2606"/>
      <c r="D20" s="447"/>
      <c r="E20" s="2599"/>
      <c r="F20" s="447"/>
      <c r="G20" s="2600"/>
      <c r="H20" s="447"/>
      <c r="I20" s="2600"/>
      <c r="J20" s="447"/>
      <c r="K20" s="614"/>
      <c r="L20" s="1139"/>
      <c r="M20" s="1130"/>
      <c r="N20" s="1130"/>
      <c r="O20" s="1130"/>
      <c r="P20" s="3253"/>
      <c r="Q20" s="1808"/>
      <c r="R20" s="773"/>
      <c r="S20" s="774"/>
      <c r="T20" s="773"/>
      <c r="U20" s="774"/>
      <c r="V20" s="773"/>
      <c r="W20" s="774"/>
      <c r="X20" s="1811"/>
      <c r="Y20" s="3237"/>
      <c r="Z20" s="1812"/>
      <c r="AA20" s="1809">
        <v>1</v>
      </c>
      <c r="AB20" s="1809">
        <v>1</v>
      </c>
      <c r="AC20" s="2668">
        <v>1</v>
      </c>
    </row>
    <row r="21" spans="1:29" ht="28.5">
      <c r="A21" s="427"/>
      <c r="B21" s="632" t="s">
        <v>2636</v>
      </c>
      <c r="C21" s="2669" t="str">
        <f>估价对象房地状况!C8</f>
        <v>估价对象所在区域基础设施水平较好</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53"/>
      <c r="Q21" s="1808" t="str">
        <f>B21</f>
        <v>基础设施水平</v>
      </c>
      <c r="R21" s="773" t="s">
        <v>17</v>
      </c>
      <c r="S21" s="774">
        <f>F21</f>
        <v>100</v>
      </c>
      <c r="T21" s="773" t="s">
        <v>17</v>
      </c>
      <c r="U21" s="774">
        <f>H21</f>
        <v>100</v>
      </c>
      <c r="V21" s="773" t="s">
        <v>17</v>
      </c>
      <c r="W21" s="774">
        <f>J21</f>
        <v>100</v>
      </c>
      <c r="X21" s="1811"/>
      <c r="Y21" s="3237"/>
      <c r="Z21" s="1812" t="str">
        <f>Q21</f>
        <v>基础设施水平</v>
      </c>
      <c r="AA21" s="1809">
        <f t="shared" ref="AA21" si="8">D21/F21</f>
        <v>1</v>
      </c>
      <c r="AB21" s="1809">
        <f t="shared" ref="AB21" si="9">D21/H21</f>
        <v>1</v>
      </c>
      <c r="AC21" s="2668">
        <f t="shared" ref="AC21" si="10">D21/J21</f>
        <v>1</v>
      </c>
    </row>
    <row r="22" spans="1:29" ht="15">
      <c r="A22" s="427"/>
      <c r="B22" s="632"/>
      <c r="C22" s="2670"/>
      <c r="D22" s="447"/>
      <c r="E22" s="446"/>
      <c r="F22" s="447"/>
      <c r="G22" s="2606"/>
      <c r="H22" s="447"/>
      <c r="I22" s="2606"/>
      <c r="J22" s="447"/>
      <c r="K22" s="1382"/>
      <c r="L22" s="1139"/>
      <c r="M22" s="1130"/>
      <c r="N22" s="1130"/>
      <c r="O22" s="1130"/>
      <c r="P22" s="3253"/>
      <c r="Q22" s="1808"/>
      <c r="R22" s="773"/>
      <c r="S22" s="774"/>
      <c r="T22" s="773"/>
      <c r="U22" s="774"/>
      <c r="V22" s="773"/>
      <c r="W22" s="774"/>
      <c r="X22" s="1811"/>
      <c r="Y22" s="3237"/>
      <c r="Z22" s="1812"/>
      <c r="AA22" s="1809">
        <v>1</v>
      </c>
      <c r="AB22" s="1809">
        <v>1</v>
      </c>
      <c r="AC22" s="2668">
        <v>1</v>
      </c>
    </row>
    <row r="23" spans="1:29" ht="99.75">
      <c r="A23" s="427"/>
      <c r="B23" s="630" t="s">
        <v>2637</v>
      </c>
      <c r="C23" s="2669" t="str">
        <f>估价对象房地状况!C9</f>
        <v>区域自然环境及人文环境好；周边有合肥半岛花博园、大房郢水库、合肥经济技术职业学院等，综合评价环境状况好</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53"/>
      <c r="Q23" s="1808" t="str">
        <f>B23</f>
        <v>环境质量</v>
      </c>
      <c r="R23" s="773" t="s">
        <v>17</v>
      </c>
      <c r="S23" s="774">
        <f>F23</f>
        <v>100</v>
      </c>
      <c r="T23" s="773" t="s">
        <v>17</v>
      </c>
      <c r="U23" s="774">
        <f>H23</f>
        <v>100</v>
      </c>
      <c r="V23" s="773" t="s">
        <v>17</v>
      </c>
      <c r="W23" s="774">
        <f>J23</f>
        <v>100</v>
      </c>
      <c r="X23" s="1811"/>
      <c r="Y23" s="3237"/>
      <c r="Z23" s="1812" t="str">
        <f>Q23</f>
        <v>环境质量</v>
      </c>
      <c r="AA23" s="1809">
        <f t="shared" si="3"/>
        <v>1</v>
      </c>
      <c r="AB23" s="1809">
        <f t="shared" si="4"/>
        <v>1</v>
      </c>
      <c r="AC23" s="2668">
        <f t="shared" si="5"/>
        <v>1</v>
      </c>
    </row>
    <row r="24" spans="1:29" ht="15">
      <c r="A24" s="427"/>
      <c r="B24" s="632"/>
      <c r="C24" s="2606"/>
      <c r="D24" s="447"/>
      <c r="E24" s="2599"/>
      <c r="F24" s="447"/>
      <c r="G24" s="2600"/>
      <c r="H24" s="447"/>
      <c r="I24" s="2600"/>
      <c r="J24" s="447"/>
      <c r="K24" s="614"/>
      <c r="L24" s="1139"/>
      <c r="M24" s="1130"/>
      <c r="N24" s="1130"/>
      <c r="O24" s="1130"/>
      <c r="P24" s="3253"/>
      <c r="Q24" s="1808"/>
      <c r="R24" s="773"/>
      <c r="S24" s="774"/>
      <c r="T24" s="773"/>
      <c r="U24" s="774"/>
      <c r="V24" s="773"/>
      <c r="W24" s="774"/>
      <c r="X24" s="1811"/>
      <c r="Y24" s="3237"/>
      <c r="Z24" s="1812"/>
      <c r="AA24" s="1809">
        <v>1</v>
      </c>
      <c r="AB24" s="1809">
        <v>1</v>
      </c>
      <c r="AC24" s="2668">
        <v>1</v>
      </c>
    </row>
    <row r="25" spans="1:29" ht="27">
      <c r="A25" s="403"/>
      <c r="B25" s="630" t="s">
        <v>2638</v>
      </c>
      <c r="C25" s="2610"/>
      <c r="D25" s="434">
        <v>100</v>
      </c>
      <c r="E25" s="433"/>
      <c r="F25" s="434">
        <f>SUMIF(87:87,E26,88:88)-SUMIF(87:87,C26,88:88)+100</f>
        <v>100</v>
      </c>
      <c r="G25" s="2610"/>
      <c r="H25" s="434">
        <f>SUMIF(87:87,G26,88:88)-SUMIF(87:87,C26,88:88)+100</f>
        <v>100</v>
      </c>
      <c r="I25" s="433"/>
      <c r="J25" s="434">
        <f>SUMIF(87:87,I26,88:88)-SUMIF(87:87,C26,88:88)+100</f>
        <v>100</v>
      </c>
      <c r="K25" s="613"/>
      <c r="L25" s="1139"/>
      <c r="M25" s="1130"/>
      <c r="N25" s="1130"/>
      <c r="O25" s="1130"/>
      <c r="P25" s="3253"/>
      <c r="Q25" s="1808" t="str">
        <f>B25</f>
        <v>毗邻道路的类型与等级</v>
      </c>
      <c r="R25" s="773" t="s">
        <v>17</v>
      </c>
      <c r="S25" s="774">
        <f>F25</f>
        <v>100</v>
      </c>
      <c r="T25" s="773" t="s">
        <v>17</v>
      </c>
      <c r="U25" s="774">
        <f>H25</f>
        <v>100</v>
      </c>
      <c r="V25" s="773" t="s">
        <v>17</v>
      </c>
      <c r="W25" s="774">
        <f>J25</f>
        <v>100</v>
      </c>
      <c r="X25" s="1811"/>
      <c r="Y25" s="3237"/>
      <c r="Z25" s="1812" t="str">
        <f>Q25</f>
        <v>毗邻道路的类型与等级</v>
      </c>
      <c r="AA25" s="1809">
        <f t="shared" si="3"/>
        <v>1</v>
      </c>
      <c r="AB25" s="1809">
        <f t="shared" si="4"/>
        <v>1</v>
      </c>
      <c r="AC25" s="2668">
        <f t="shared" si="5"/>
        <v>1</v>
      </c>
    </row>
    <row r="26" spans="1:29" ht="15">
      <c r="A26" s="403"/>
      <c r="B26" s="631"/>
      <c r="C26" s="633"/>
      <c r="D26" s="434"/>
      <c r="E26" s="615"/>
      <c r="F26" s="434"/>
      <c r="G26" s="633"/>
      <c r="H26" s="434"/>
      <c r="I26" s="615"/>
      <c r="J26" s="434"/>
      <c r="K26" s="614"/>
      <c r="L26" s="1139"/>
      <c r="M26" s="1130"/>
      <c r="N26" s="1130"/>
      <c r="O26" s="1130"/>
      <c r="P26" s="3253"/>
      <c r="Q26" s="1808"/>
      <c r="R26" s="773"/>
      <c r="S26" s="774"/>
      <c r="T26" s="773"/>
      <c r="U26" s="774"/>
      <c r="V26" s="773"/>
      <c r="W26" s="774"/>
      <c r="X26" s="1811"/>
      <c r="Y26" s="3237"/>
      <c r="Z26" s="1812"/>
      <c r="AA26" s="1809">
        <v>1</v>
      </c>
      <c r="AB26" s="1809">
        <v>1</v>
      </c>
      <c r="AC26" s="2668">
        <v>1</v>
      </c>
    </row>
    <row r="27" spans="1:29" ht="15">
      <c r="A27" s="427"/>
      <c r="B27" s="631" t="s">
        <v>2606</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53"/>
      <c r="Q27" s="1808" t="str">
        <f t="shared" ref="Q27:Q47" si="11">B27</f>
        <v>楼层</v>
      </c>
      <c r="R27" s="773" t="s">
        <v>17</v>
      </c>
      <c r="S27" s="774">
        <f>F27</f>
        <v>100</v>
      </c>
      <c r="T27" s="773" t="s">
        <v>17</v>
      </c>
      <c r="U27" s="774">
        <f>H27</f>
        <v>100</v>
      </c>
      <c r="V27" s="773" t="s">
        <v>17</v>
      </c>
      <c r="W27" s="774">
        <f>J27</f>
        <v>100</v>
      </c>
      <c r="X27" s="1811"/>
      <c r="Y27" s="3237"/>
      <c r="Z27" s="1812" t="str">
        <f>Q27</f>
        <v>楼层</v>
      </c>
      <c r="AA27" s="1809">
        <f t="shared" si="3"/>
        <v>1</v>
      </c>
      <c r="AB27" s="1809">
        <f t="shared" si="4"/>
        <v>1</v>
      </c>
      <c r="AC27" s="2668">
        <f t="shared" si="5"/>
        <v>1</v>
      </c>
    </row>
    <row r="28" spans="1:29" s="117" customFormat="1" ht="15">
      <c r="A28" s="430"/>
      <c r="B28" s="630" t="s">
        <v>2639</v>
      </c>
      <c r="C28" s="2671"/>
      <c r="D28" s="461">
        <v>100</v>
      </c>
      <c r="E28" s="2659"/>
      <c r="F28" s="461">
        <f>SUMIF(91:91,E28,92:92)-SUMIF(91:91,C28,92:92)+100</f>
        <v>100</v>
      </c>
      <c r="G28" s="2671"/>
      <c r="H28" s="461">
        <f>SUMIF(91:91,G28,92:92)-SUMIF(91:91,C28,92:92)+100</f>
        <v>100</v>
      </c>
      <c r="I28" s="2659"/>
      <c r="J28" s="461">
        <f>SUMIF(91:91,I28,92:92)-SUMIF(91:91,C28,92:92)+100</f>
        <v>100</v>
      </c>
      <c r="K28" s="611"/>
      <c r="L28" s="1131"/>
      <c r="M28" s="1132"/>
      <c r="N28" s="1132"/>
      <c r="O28" s="1132"/>
      <c r="P28" s="3253"/>
      <c r="Q28" s="1793" t="str">
        <f t="shared" si="11"/>
        <v>朝向</v>
      </c>
      <c r="R28" s="769" t="s">
        <v>17</v>
      </c>
      <c r="S28" s="770">
        <f>F28</f>
        <v>100</v>
      </c>
      <c r="T28" s="769" t="s">
        <v>17</v>
      </c>
      <c r="U28" s="770">
        <f>H28</f>
        <v>100</v>
      </c>
      <c r="V28" s="769" t="s">
        <v>17</v>
      </c>
      <c r="W28" s="770">
        <f>J28</f>
        <v>100</v>
      </c>
      <c r="X28" s="771"/>
      <c r="Y28" s="3237"/>
      <c r="Z28" s="55" t="str">
        <f>Q28</f>
        <v>朝向</v>
      </c>
      <c r="AA28" s="1809">
        <f>D28/F28</f>
        <v>1</v>
      </c>
      <c r="AB28" s="1809">
        <f>D28/H28</f>
        <v>1</v>
      </c>
      <c r="AC28" s="2668">
        <f>D28/J28</f>
        <v>1</v>
      </c>
    </row>
    <row r="29" spans="1:29" ht="15">
      <c r="A29" s="427"/>
      <c r="B29" s="2672">
        <v>111</v>
      </c>
      <c r="C29" s="2610"/>
      <c r="D29" s="434">
        <v>100</v>
      </c>
      <c r="E29" s="431"/>
      <c r="F29" s="434">
        <f>SUMIF(93:93,E29,94:94)-SUMIF(93:93,C29,94:94)+100</f>
        <v>100</v>
      </c>
      <c r="G29" s="2666"/>
      <c r="H29" s="434">
        <f>SUMIF(93:93,G29,94:94)-SUMIF(93:93,C29,94:94)+100</f>
        <v>100</v>
      </c>
      <c r="I29" s="431"/>
      <c r="J29" s="434">
        <f>SUMIF(93:93,I29,94:94)-SUMIF(93:93,C29,94:94)+100</f>
        <v>100</v>
      </c>
      <c r="K29" s="612"/>
      <c r="L29" s="1139"/>
      <c r="M29" s="1130"/>
      <c r="N29" s="1130"/>
      <c r="O29" s="1130"/>
      <c r="P29" s="3253"/>
      <c r="Q29" s="1808">
        <f t="shared" si="11"/>
        <v>111</v>
      </c>
      <c r="R29" s="773" t="s">
        <v>17</v>
      </c>
      <c r="S29" s="774">
        <f t="shared" ref="S29:S47" si="12">F29</f>
        <v>100</v>
      </c>
      <c r="T29" s="773" t="s">
        <v>17</v>
      </c>
      <c r="U29" s="774">
        <f t="shared" ref="U29:U47" si="13">H29</f>
        <v>100</v>
      </c>
      <c r="V29" s="773" t="s">
        <v>17</v>
      </c>
      <c r="W29" s="774">
        <f t="shared" ref="W29:W47" si="14">J29</f>
        <v>100</v>
      </c>
      <c r="X29" s="1811"/>
      <c r="Y29" s="3237"/>
      <c r="Z29" s="1812">
        <f t="shared" ref="Z29:Z47" si="15">Q29</f>
        <v>111</v>
      </c>
      <c r="AA29" s="1809">
        <f t="shared" si="3"/>
        <v>1</v>
      </c>
      <c r="AB29" s="1809">
        <f t="shared" si="4"/>
        <v>1</v>
      </c>
      <c r="AC29" s="2668">
        <f t="shared" si="5"/>
        <v>1</v>
      </c>
    </row>
    <row r="30" spans="1:29" ht="15">
      <c r="A30" s="427"/>
      <c r="B30" s="2672">
        <v>111</v>
      </c>
      <c r="C30" s="2610"/>
      <c r="D30" s="434">
        <v>100</v>
      </c>
      <c r="E30" s="431"/>
      <c r="F30" s="434">
        <f>SUMIF(95:95,E30,96:96)-SUMIF(95:95,C30,96:96)+100</f>
        <v>100</v>
      </c>
      <c r="G30" s="2666"/>
      <c r="H30" s="434">
        <f>SUMIF(95:95,G30,96:96)-SUMIF(95:95,C30,96:96)+100</f>
        <v>100</v>
      </c>
      <c r="I30" s="431"/>
      <c r="J30" s="434">
        <f>SUMIF(95:95,I30,96:96)-SUMIF(95:95,C30,96:96)+100</f>
        <v>100</v>
      </c>
      <c r="K30" s="612"/>
      <c r="L30" s="1139"/>
      <c r="M30" s="1130"/>
      <c r="N30" s="1130"/>
      <c r="O30" s="1130"/>
      <c r="P30" s="3253"/>
      <c r="Q30" s="1808">
        <f t="shared" si="11"/>
        <v>111</v>
      </c>
      <c r="R30" s="773" t="s">
        <v>17</v>
      </c>
      <c r="S30" s="774">
        <f t="shared" si="12"/>
        <v>100</v>
      </c>
      <c r="T30" s="773" t="s">
        <v>17</v>
      </c>
      <c r="U30" s="774">
        <f t="shared" si="13"/>
        <v>100</v>
      </c>
      <c r="V30" s="773" t="s">
        <v>17</v>
      </c>
      <c r="W30" s="774">
        <f t="shared" si="14"/>
        <v>100</v>
      </c>
      <c r="X30" s="1811"/>
      <c r="Y30" s="3237"/>
      <c r="Z30" s="1812">
        <f t="shared" si="15"/>
        <v>111</v>
      </c>
      <c r="AA30" s="1809">
        <f t="shared" si="3"/>
        <v>1</v>
      </c>
      <c r="AB30" s="1809">
        <f t="shared" si="4"/>
        <v>1</v>
      </c>
      <c r="AC30" s="2668">
        <f t="shared" si="5"/>
        <v>1</v>
      </c>
    </row>
    <row r="31" spans="1:29" ht="15">
      <c r="A31" s="427"/>
      <c r="B31" s="2672">
        <v>111</v>
      </c>
      <c r="C31" s="2610"/>
      <c r="D31" s="434">
        <v>100</v>
      </c>
      <c r="E31" s="431"/>
      <c r="F31" s="434">
        <f>SUMIF(97:97,E31,98:98)-SUMIF(97:97,C31,98:98)+100</f>
        <v>100</v>
      </c>
      <c r="G31" s="2666"/>
      <c r="H31" s="434">
        <f>SUMIF(97:97,G31,98:98)-SUMIF(97:97,C31,98:98)+100</f>
        <v>100</v>
      </c>
      <c r="I31" s="431"/>
      <c r="J31" s="434">
        <f>SUMIF(97:97,I31,98:98)-SUMIF(97:97,C31,98:98)+100</f>
        <v>100</v>
      </c>
      <c r="K31" s="612"/>
      <c r="L31" s="1139"/>
      <c r="M31" s="1130"/>
      <c r="N31" s="1130"/>
      <c r="O31" s="1130"/>
      <c r="P31" s="3253"/>
      <c r="Q31" s="1808">
        <f t="shared" si="11"/>
        <v>111</v>
      </c>
      <c r="R31" s="773" t="s">
        <v>17</v>
      </c>
      <c r="S31" s="774">
        <f t="shared" si="12"/>
        <v>100</v>
      </c>
      <c r="T31" s="773" t="s">
        <v>17</v>
      </c>
      <c r="U31" s="774">
        <f t="shared" si="13"/>
        <v>100</v>
      </c>
      <c r="V31" s="773" t="s">
        <v>17</v>
      </c>
      <c r="W31" s="774">
        <f t="shared" si="14"/>
        <v>100</v>
      </c>
      <c r="X31" s="1811"/>
      <c r="Y31" s="3237"/>
      <c r="Z31" s="1812">
        <f t="shared" si="15"/>
        <v>111</v>
      </c>
      <c r="AA31" s="1809">
        <f t="shared" si="3"/>
        <v>1</v>
      </c>
      <c r="AB31" s="1809">
        <f t="shared" si="4"/>
        <v>1</v>
      </c>
      <c r="AC31" s="2668">
        <f t="shared" si="5"/>
        <v>1</v>
      </c>
    </row>
    <row r="32" spans="1:29" ht="15.75" thickBot="1">
      <c r="A32" s="435"/>
      <c r="B32" s="634">
        <v>111</v>
      </c>
      <c r="C32" s="2611"/>
      <c r="D32" s="437">
        <v>100</v>
      </c>
      <c r="E32" s="627"/>
      <c r="F32" s="437">
        <f>SUMIF(99:99,E32,100:100)-SUMIF(99:99,C32,100:100)+100</f>
        <v>100</v>
      </c>
      <c r="G32" s="2666"/>
      <c r="H32" s="437">
        <f>SUMIF(99:99,G32,100:100)-SUMIF(99:99,C32,100:100)+100</f>
        <v>100</v>
      </c>
      <c r="I32" s="431"/>
      <c r="J32" s="437">
        <f>SUMIF(99:99,I32,100:100)-SUMIF(99:99,C32,100:100)+100</f>
        <v>100</v>
      </c>
      <c r="K32" s="612"/>
      <c r="L32" s="1139"/>
      <c r="M32" s="1130"/>
      <c r="N32" s="1130"/>
      <c r="O32" s="1130"/>
      <c r="P32" s="3253"/>
      <c r="Q32" s="1808">
        <f t="shared" si="11"/>
        <v>111</v>
      </c>
      <c r="R32" s="773" t="s">
        <v>17</v>
      </c>
      <c r="S32" s="774">
        <f t="shared" si="12"/>
        <v>100</v>
      </c>
      <c r="T32" s="773" t="s">
        <v>17</v>
      </c>
      <c r="U32" s="774">
        <f t="shared" si="13"/>
        <v>100</v>
      </c>
      <c r="V32" s="773" t="s">
        <v>17</v>
      </c>
      <c r="W32" s="774">
        <f t="shared" si="14"/>
        <v>100</v>
      </c>
      <c r="X32" s="1811"/>
      <c r="Y32" s="3237"/>
      <c r="Z32" s="1812">
        <f t="shared" si="15"/>
        <v>111</v>
      </c>
      <c r="AA32" s="1809">
        <f t="shared" si="3"/>
        <v>1</v>
      </c>
      <c r="AB32" s="1809">
        <f t="shared" si="4"/>
        <v>1</v>
      </c>
      <c r="AC32" s="2668">
        <f t="shared" si="5"/>
        <v>1</v>
      </c>
    </row>
    <row r="33" spans="1:29" ht="15">
      <c r="A33" s="439" t="s">
        <v>2511</v>
      </c>
      <c r="B33" s="71" t="s">
        <v>2640</v>
      </c>
      <c r="C33" s="2673"/>
      <c r="D33" s="466">
        <v>100</v>
      </c>
      <c r="E33" s="2673"/>
      <c r="F33" s="460">
        <f>SUMIF(101:101,E33,102:102)-SUMIF(101:101,C33,102:102)+100</f>
        <v>100</v>
      </c>
      <c r="G33" s="2673"/>
      <c r="H33" s="434">
        <f>SUMIF(101:101,G33,102:102)-SUMIF(101:101,C33,102:102)+100</f>
        <v>100</v>
      </c>
      <c r="I33" s="2673"/>
      <c r="J33" s="466">
        <f>SUMIF(101:101,I33,102:102)-SUMIF(101:101,C33,102:102)+100</f>
        <v>100</v>
      </c>
      <c r="K33" s="611"/>
      <c r="L33" s="1139"/>
      <c r="M33" s="1130"/>
      <c r="N33" s="1130"/>
      <c r="O33" s="1130"/>
      <c r="P33" s="3254" t="s">
        <v>2513</v>
      </c>
      <c r="Q33" s="1808" t="str">
        <f t="shared" si="11"/>
        <v>建筑类型</v>
      </c>
      <c r="R33" s="773" t="s">
        <v>17</v>
      </c>
      <c r="S33" s="774">
        <f t="shared" si="12"/>
        <v>100</v>
      </c>
      <c r="T33" s="773" t="s">
        <v>17</v>
      </c>
      <c r="U33" s="774">
        <f t="shared" si="13"/>
        <v>100</v>
      </c>
      <c r="V33" s="773" t="s">
        <v>17</v>
      </c>
      <c r="W33" s="774">
        <f t="shared" si="14"/>
        <v>100</v>
      </c>
      <c r="X33" s="1811"/>
      <c r="Y33" s="3239" t="s">
        <v>2513</v>
      </c>
      <c r="Z33" s="1812" t="str">
        <f t="shared" si="15"/>
        <v>建筑类型</v>
      </c>
      <c r="AA33" s="1809">
        <f t="shared" si="3"/>
        <v>1</v>
      </c>
      <c r="AB33" s="1809">
        <f t="shared" si="4"/>
        <v>1</v>
      </c>
      <c r="AC33" s="2668">
        <f t="shared" si="5"/>
        <v>1</v>
      </c>
    </row>
    <row r="34" spans="1:29" s="470" customFormat="1" ht="15">
      <c r="A34" s="467"/>
      <c r="B34" s="421" t="s">
        <v>2514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55"/>
      <c r="Q34" s="775" t="str">
        <f t="shared" si="11"/>
        <v>项目建筑规模</v>
      </c>
      <c r="R34" s="776" t="s">
        <v>17</v>
      </c>
      <c r="S34" s="777" t="e">
        <f t="shared" si="12"/>
        <v>#N/A</v>
      </c>
      <c r="T34" s="776" t="s">
        <v>17</v>
      </c>
      <c r="U34" s="777" t="e">
        <f t="shared" si="13"/>
        <v>#N/A</v>
      </c>
      <c r="V34" s="776" t="s">
        <v>17</v>
      </c>
      <c r="W34" s="777" t="e">
        <f t="shared" si="14"/>
        <v>#N/A</v>
      </c>
      <c r="X34" s="778"/>
      <c r="Y34" s="3239"/>
      <c r="Z34" s="779" t="str">
        <f t="shared" si="15"/>
        <v>项目建筑规模</v>
      </c>
      <c r="AA34" s="1809" t="e">
        <f t="shared" si="3"/>
        <v>#N/A</v>
      </c>
      <c r="AB34" s="1809" t="e">
        <f t="shared" si="4"/>
        <v>#N/A</v>
      </c>
      <c r="AC34" s="2668" t="e">
        <f t="shared" si="5"/>
        <v>#N/A</v>
      </c>
    </row>
    <row r="35" spans="1:29" ht="15">
      <c r="A35" s="471"/>
      <c r="B35" s="421" t="s">
        <v>2515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55"/>
      <c r="Q35" s="1808" t="str">
        <f t="shared" si="11"/>
        <v>建筑结构</v>
      </c>
      <c r="R35" s="773" t="s">
        <v>17</v>
      </c>
      <c r="S35" s="774">
        <f t="shared" si="12"/>
        <v>100</v>
      </c>
      <c r="T35" s="773" t="s">
        <v>17</v>
      </c>
      <c r="U35" s="774">
        <f t="shared" si="13"/>
        <v>100</v>
      </c>
      <c r="V35" s="773" t="s">
        <v>17</v>
      </c>
      <c r="W35" s="774">
        <f t="shared" si="14"/>
        <v>100</v>
      </c>
      <c r="X35" s="1811"/>
      <c r="Y35" s="3239"/>
      <c r="Z35" s="1812" t="str">
        <f t="shared" si="15"/>
        <v>建筑结构</v>
      </c>
      <c r="AA35" s="1809">
        <f t="shared" si="3"/>
        <v>1</v>
      </c>
      <c r="AB35" s="1809">
        <f t="shared" si="4"/>
        <v>1</v>
      </c>
      <c r="AC35" s="2668">
        <f t="shared" si="5"/>
        <v>1</v>
      </c>
    </row>
    <row r="36" spans="1:29" ht="15">
      <c r="A36" s="471"/>
      <c r="B36" s="421" t="s">
        <v>2608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55"/>
      <c r="Q36" s="1808" t="str">
        <f t="shared" si="11"/>
        <v>公共部分装修</v>
      </c>
      <c r="R36" s="773" t="s">
        <v>17</v>
      </c>
      <c r="S36" s="774">
        <f t="shared" si="12"/>
        <v>100</v>
      </c>
      <c r="T36" s="773" t="s">
        <v>17</v>
      </c>
      <c r="U36" s="774">
        <f t="shared" si="13"/>
        <v>100</v>
      </c>
      <c r="V36" s="773" t="s">
        <v>17</v>
      </c>
      <c r="W36" s="774">
        <f t="shared" si="14"/>
        <v>100</v>
      </c>
      <c r="X36" s="1811"/>
      <c r="Y36" s="3239"/>
      <c r="Z36" s="1812" t="str">
        <f t="shared" si="15"/>
        <v>公共部分装修</v>
      </c>
      <c r="AA36" s="1809">
        <f t="shared" si="3"/>
        <v>1</v>
      </c>
      <c r="AB36" s="1809">
        <f t="shared" si="4"/>
        <v>1</v>
      </c>
      <c r="AC36" s="2668">
        <f t="shared" si="5"/>
        <v>1</v>
      </c>
    </row>
    <row r="37" spans="1:29" ht="15">
      <c r="A37" s="471"/>
      <c r="B37" s="421" t="s">
        <v>2609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55"/>
      <c r="Q37" s="1808" t="str">
        <f t="shared" si="11"/>
        <v>成新度</v>
      </c>
      <c r="R37" s="773" t="s">
        <v>17</v>
      </c>
      <c r="S37" s="774" t="e">
        <f t="shared" si="12"/>
        <v>#N/A</v>
      </c>
      <c r="T37" s="773" t="s">
        <v>17</v>
      </c>
      <c r="U37" s="774" t="e">
        <f t="shared" si="13"/>
        <v>#N/A</v>
      </c>
      <c r="V37" s="773" t="s">
        <v>17</v>
      </c>
      <c r="W37" s="774" t="e">
        <f t="shared" si="14"/>
        <v>#N/A</v>
      </c>
      <c r="X37" s="1811"/>
      <c r="Y37" s="3239"/>
      <c r="Z37" s="1812" t="str">
        <f t="shared" si="15"/>
        <v>成新度</v>
      </c>
      <c r="AA37" s="1809" t="e">
        <f t="shared" si="3"/>
        <v>#N/A</v>
      </c>
      <c r="AB37" s="1809" t="e">
        <f t="shared" si="4"/>
        <v>#N/A</v>
      </c>
      <c r="AC37" s="2668" t="e">
        <f t="shared" si="5"/>
        <v>#N/A</v>
      </c>
    </row>
    <row r="38" spans="1:29" s="117" customFormat="1" ht="15">
      <c r="A38" s="472"/>
      <c r="B38" s="421" t="s">
        <v>2641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55"/>
      <c r="Q38" s="1793" t="str">
        <f t="shared" si="11"/>
        <v>写字楼等级</v>
      </c>
      <c r="R38" s="769" t="s">
        <v>17</v>
      </c>
      <c r="S38" s="770">
        <f t="shared" si="12"/>
        <v>100</v>
      </c>
      <c r="T38" s="769" t="s">
        <v>17</v>
      </c>
      <c r="U38" s="770">
        <f t="shared" si="13"/>
        <v>100</v>
      </c>
      <c r="V38" s="769" t="s">
        <v>17</v>
      </c>
      <c r="W38" s="770">
        <f t="shared" si="14"/>
        <v>100</v>
      </c>
      <c r="X38" s="771"/>
      <c r="Y38" s="3239"/>
      <c r="Z38" s="55" t="str">
        <f t="shared" si="15"/>
        <v>写字楼等级</v>
      </c>
      <c r="AA38" s="772">
        <f t="shared" si="3"/>
        <v>1</v>
      </c>
      <c r="AB38" s="772">
        <f t="shared" si="4"/>
        <v>1</v>
      </c>
      <c r="AC38" s="2665">
        <f t="shared" si="5"/>
        <v>1</v>
      </c>
    </row>
    <row r="39" spans="1:29" ht="15">
      <c r="A39" s="471"/>
      <c r="B39" s="421" t="s">
        <v>2642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55" t="s">
        <v>2513</v>
      </c>
      <c r="Q39" s="1808" t="str">
        <f t="shared" si="11"/>
        <v>物业管理</v>
      </c>
      <c r="R39" s="773" t="s">
        <v>17</v>
      </c>
      <c r="S39" s="774">
        <f t="shared" si="12"/>
        <v>100</v>
      </c>
      <c r="T39" s="773" t="s">
        <v>17</v>
      </c>
      <c r="U39" s="774">
        <f t="shared" si="13"/>
        <v>100</v>
      </c>
      <c r="V39" s="773" t="s">
        <v>17</v>
      </c>
      <c r="W39" s="774">
        <f t="shared" si="14"/>
        <v>100</v>
      </c>
      <c r="X39" s="1811"/>
      <c r="Y39" s="3239" t="s">
        <v>2513</v>
      </c>
      <c r="Z39" s="1812" t="str">
        <f t="shared" si="15"/>
        <v>物业管理</v>
      </c>
      <c r="AA39" s="1809">
        <f t="shared" si="3"/>
        <v>1</v>
      </c>
      <c r="AB39" s="1809">
        <f t="shared" si="4"/>
        <v>1</v>
      </c>
      <c r="AC39" s="2668">
        <f t="shared" si="5"/>
        <v>1</v>
      </c>
    </row>
    <row r="40" spans="1:29" ht="15">
      <c r="A40" s="471"/>
      <c r="B40" s="421" t="s">
        <v>2610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55"/>
      <c r="Q40" s="1808" t="str">
        <f t="shared" si="11"/>
        <v>市政基础设施</v>
      </c>
      <c r="R40" s="773" t="s">
        <v>17</v>
      </c>
      <c r="S40" s="774">
        <f t="shared" si="12"/>
        <v>100</v>
      </c>
      <c r="T40" s="773" t="s">
        <v>17</v>
      </c>
      <c r="U40" s="774">
        <f t="shared" si="13"/>
        <v>100</v>
      </c>
      <c r="V40" s="773" t="s">
        <v>17</v>
      </c>
      <c r="W40" s="774">
        <f t="shared" si="14"/>
        <v>100</v>
      </c>
      <c r="X40" s="1811"/>
      <c r="Y40" s="3239"/>
      <c r="Z40" s="1812" t="str">
        <f t="shared" si="15"/>
        <v>市政基础设施</v>
      </c>
      <c r="AA40" s="1809">
        <f t="shared" si="3"/>
        <v>1</v>
      </c>
      <c r="AB40" s="1809">
        <f t="shared" si="4"/>
        <v>1</v>
      </c>
      <c r="AC40" s="2668">
        <f t="shared" si="5"/>
        <v>1</v>
      </c>
    </row>
    <row r="41" spans="1:29" ht="15">
      <c r="A41" s="471"/>
      <c r="B41" s="421" t="s">
        <v>2612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55"/>
      <c r="Q41" s="1808" t="str">
        <f t="shared" si="11"/>
        <v>层高</v>
      </c>
      <c r="R41" s="773" t="s">
        <v>17</v>
      </c>
      <c r="S41" s="774">
        <f t="shared" si="12"/>
        <v>100</v>
      </c>
      <c r="T41" s="773" t="s">
        <v>17</v>
      </c>
      <c r="U41" s="774">
        <f t="shared" si="13"/>
        <v>100</v>
      </c>
      <c r="V41" s="773" t="s">
        <v>17</v>
      </c>
      <c r="W41" s="774">
        <f t="shared" si="14"/>
        <v>100</v>
      </c>
      <c r="X41" s="1811"/>
      <c r="Y41" s="3239"/>
      <c r="Z41" s="1812" t="str">
        <f t="shared" si="15"/>
        <v>层高</v>
      </c>
      <c r="AA41" s="1809">
        <f t="shared" si="3"/>
        <v>1</v>
      </c>
      <c r="AB41" s="1809">
        <f t="shared" si="4"/>
        <v>1</v>
      </c>
      <c r="AC41" s="2668">
        <f t="shared" si="5"/>
        <v>1</v>
      </c>
    </row>
    <row r="42" spans="1:29" s="470" customFormat="1" ht="15">
      <c r="A42" s="467"/>
      <c r="B42" s="1810" t="s">
        <v>2643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55"/>
      <c r="Q42" s="775" t="str">
        <f t="shared" si="11"/>
        <v>单套建筑面积</v>
      </c>
      <c r="R42" s="776" t="s">
        <v>17</v>
      </c>
      <c r="S42" s="777">
        <f t="shared" si="12"/>
        <v>100</v>
      </c>
      <c r="T42" s="776" t="s">
        <v>17</v>
      </c>
      <c r="U42" s="777">
        <f t="shared" si="13"/>
        <v>100</v>
      </c>
      <c r="V42" s="776" t="s">
        <v>17</v>
      </c>
      <c r="W42" s="777">
        <f t="shared" si="14"/>
        <v>100</v>
      </c>
      <c r="X42" s="778"/>
      <c r="Y42" s="3239"/>
      <c r="Z42" s="779" t="str">
        <f t="shared" si="15"/>
        <v>单套建筑面积</v>
      </c>
      <c r="AA42" s="1809">
        <f t="shared" si="3"/>
        <v>1</v>
      </c>
      <c r="AB42" s="1809">
        <f t="shared" si="4"/>
        <v>1</v>
      </c>
      <c r="AC42" s="2668">
        <f t="shared" si="5"/>
        <v>1</v>
      </c>
    </row>
    <row r="43" spans="1:29" ht="15">
      <c r="A43" s="471"/>
      <c r="B43" s="421" t="s">
        <v>2615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55"/>
      <c r="Q43" s="1808" t="str">
        <f t="shared" si="11"/>
        <v>内部装修</v>
      </c>
      <c r="R43" s="773" t="s">
        <v>17</v>
      </c>
      <c r="S43" s="774">
        <f t="shared" si="12"/>
        <v>100</v>
      </c>
      <c r="T43" s="773" t="s">
        <v>17</v>
      </c>
      <c r="U43" s="774">
        <f t="shared" si="13"/>
        <v>100</v>
      </c>
      <c r="V43" s="773" t="s">
        <v>17</v>
      </c>
      <c r="W43" s="774">
        <f t="shared" si="14"/>
        <v>100</v>
      </c>
      <c r="X43" s="1811"/>
      <c r="Y43" s="3239"/>
      <c r="Z43" s="1812" t="str">
        <f t="shared" si="15"/>
        <v>内部装修</v>
      </c>
      <c r="AA43" s="1809">
        <f t="shared" si="3"/>
        <v>1</v>
      </c>
      <c r="AB43" s="1809">
        <f t="shared" si="4"/>
        <v>1</v>
      </c>
      <c r="AC43" s="2668">
        <f t="shared" si="5"/>
        <v>1</v>
      </c>
    </row>
    <row r="44" spans="1:29" ht="15">
      <c r="A44" s="471"/>
      <c r="B44" s="421" t="s">
        <v>2524</v>
      </c>
      <c r="C44" s="459"/>
      <c r="D44" s="434">
        <v>100</v>
      </c>
      <c r="E44" s="2608"/>
      <c r="F44" s="460">
        <f>SUMIF(125:125,E44,126:126)-SUMIF(125:125,C44,126:126)+100</f>
        <v>100</v>
      </c>
      <c r="G44" s="2608"/>
      <c r="H44" s="434">
        <f>SUMIF(125:125,G44,126:126)-SUMIF(125:125,C44,126:126)+100</f>
        <v>100</v>
      </c>
      <c r="I44" s="2608"/>
      <c r="J44" s="434">
        <f>SUMIF(125:125,I44,126:126)-SUMIF(125:125,C44,126:126)+100</f>
        <v>100</v>
      </c>
      <c r="K44" s="611"/>
      <c r="L44" s="1139"/>
      <c r="M44" s="1130"/>
      <c r="N44" s="1130"/>
      <c r="O44" s="1130"/>
      <c r="P44" s="3255"/>
      <c r="Q44" s="1808" t="str">
        <f t="shared" si="11"/>
        <v>内部装修维护情况</v>
      </c>
      <c r="R44" s="773" t="s">
        <v>17</v>
      </c>
      <c r="S44" s="774">
        <f t="shared" si="12"/>
        <v>100</v>
      </c>
      <c r="T44" s="773" t="s">
        <v>17</v>
      </c>
      <c r="U44" s="774">
        <f t="shared" si="13"/>
        <v>100</v>
      </c>
      <c r="V44" s="773" t="s">
        <v>17</v>
      </c>
      <c r="W44" s="774">
        <f t="shared" si="14"/>
        <v>100</v>
      </c>
      <c r="X44" s="1811"/>
      <c r="Y44" s="3239"/>
      <c r="Z44" s="1812" t="str">
        <f t="shared" si="15"/>
        <v>内部装修维护情况</v>
      </c>
      <c r="AA44" s="1809">
        <f t="shared" si="3"/>
        <v>1</v>
      </c>
      <c r="AB44" s="1809">
        <f t="shared" si="4"/>
        <v>1</v>
      </c>
      <c r="AC44" s="2668">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55"/>
      <c r="Q45" s="1793">
        <f t="shared" si="11"/>
        <v>111</v>
      </c>
      <c r="R45" s="769" t="s">
        <v>17</v>
      </c>
      <c r="S45" s="770">
        <f t="shared" si="12"/>
        <v>100</v>
      </c>
      <c r="T45" s="769" t="s">
        <v>17</v>
      </c>
      <c r="U45" s="770">
        <f t="shared" si="13"/>
        <v>100</v>
      </c>
      <c r="V45" s="769" t="s">
        <v>17</v>
      </c>
      <c r="W45" s="770">
        <f t="shared" si="14"/>
        <v>100</v>
      </c>
      <c r="X45" s="771"/>
      <c r="Y45" s="3239"/>
      <c r="Z45" s="55">
        <f t="shared" si="15"/>
        <v>111</v>
      </c>
      <c r="AA45" s="772">
        <f t="shared" si="3"/>
        <v>1</v>
      </c>
      <c r="AB45" s="772">
        <f t="shared" si="4"/>
        <v>1</v>
      </c>
      <c r="AC45" s="2665">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55"/>
      <c r="Q46" s="1808">
        <f t="shared" si="11"/>
        <v>111</v>
      </c>
      <c r="R46" s="773" t="s">
        <v>17</v>
      </c>
      <c r="S46" s="774">
        <f t="shared" si="12"/>
        <v>100</v>
      </c>
      <c r="T46" s="773" t="s">
        <v>17</v>
      </c>
      <c r="U46" s="774">
        <f t="shared" si="13"/>
        <v>100</v>
      </c>
      <c r="V46" s="773" t="s">
        <v>17</v>
      </c>
      <c r="W46" s="774">
        <f t="shared" si="14"/>
        <v>100</v>
      </c>
      <c r="X46" s="1811"/>
      <c r="Y46" s="3239"/>
      <c r="Z46" s="1812">
        <f t="shared" si="15"/>
        <v>111</v>
      </c>
      <c r="AA46" s="1809">
        <f t="shared" si="3"/>
        <v>1</v>
      </c>
      <c r="AB46" s="1809">
        <f t="shared" si="4"/>
        <v>1</v>
      </c>
      <c r="AC46" s="2668">
        <f t="shared" si="5"/>
        <v>1</v>
      </c>
    </row>
    <row r="47" spans="1:29" ht="15.75" thickBot="1">
      <c r="A47" s="477"/>
      <c r="B47" s="259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56"/>
      <c r="Q47" s="1808">
        <f t="shared" si="11"/>
        <v>111</v>
      </c>
      <c r="R47" s="773" t="s">
        <v>17</v>
      </c>
      <c r="S47" s="774">
        <f t="shared" si="12"/>
        <v>100</v>
      </c>
      <c r="T47" s="773" t="s">
        <v>17</v>
      </c>
      <c r="U47" s="774">
        <f t="shared" si="13"/>
        <v>100</v>
      </c>
      <c r="V47" s="773" t="s">
        <v>17</v>
      </c>
      <c r="W47" s="774">
        <f t="shared" si="14"/>
        <v>100</v>
      </c>
      <c r="X47" s="1811"/>
      <c r="Y47" s="3257"/>
      <c r="Z47" s="1812">
        <f t="shared" si="15"/>
        <v>111</v>
      </c>
      <c r="AA47" s="1809">
        <f t="shared" si="3"/>
        <v>1</v>
      </c>
      <c r="AB47" s="1809">
        <f t="shared" si="4"/>
        <v>1</v>
      </c>
      <c r="AC47" s="2668">
        <f t="shared" si="5"/>
        <v>1</v>
      </c>
    </row>
    <row r="48" spans="1:29" ht="15">
      <c r="A48" s="478" t="s">
        <v>2525</v>
      </c>
      <c r="B48" s="479"/>
      <c r="C48" s="1406" t="s">
        <v>1</v>
      </c>
      <c r="D48" s="1407"/>
      <c r="E48" s="1408"/>
      <c r="F48" s="1409"/>
      <c r="G48" s="1410"/>
      <c r="H48" s="1411"/>
      <c r="I48" s="1408"/>
      <c r="J48" s="484"/>
      <c r="K48" s="782"/>
      <c r="L48" s="1142"/>
      <c r="M48" s="1130"/>
      <c r="N48" s="1130"/>
      <c r="O48" s="1130"/>
      <c r="P48" s="3245" t="str">
        <f>A48</f>
        <v>成交单价（元/平方米）</v>
      </c>
      <c r="Q48" s="3221"/>
      <c r="R48" s="3250">
        <f>E48</f>
        <v>0</v>
      </c>
      <c r="S48" s="3250"/>
      <c r="T48" s="3250">
        <f>G48</f>
        <v>0</v>
      </c>
      <c r="U48" s="3250"/>
      <c r="V48" s="3250">
        <f>I48</f>
        <v>0</v>
      </c>
      <c r="W48" s="3250"/>
      <c r="X48" s="445"/>
      <c r="Y48" s="780"/>
      <c r="Z48" s="445"/>
      <c r="AA48" s="445"/>
      <c r="AB48" s="445"/>
      <c r="AC48" s="629"/>
    </row>
    <row r="49" spans="1:29" ht="15.75" thickBot="1">
      <c r="A49" s="485" t="s">
        <v>2616</v>
      </c>
      <c r="B49" s="486"/>
      <c r="C49" s="1412" t="e">
        <f>R50</f>
        <v>#DIV/0!</v>
      </c>
      <c r="D49" s="1413"/>
      <c r="E49" s="1414" t="e">
        <f>R49</f>
        <v>#DIV/0!</v>
      </c>
      <c r="F49" s="1414"/>
      <c r="G49" s="1412" t="e">
        <f>T49</f>
        <v>#DIV/0!</v>
      </c>
      <c r="H49" s="1413"/>
      <c r="I49" s="1414" t="e">
        <f>V49</f>
        <v>#DIV/0!</v>
      </c>
      <c r="J49" s="488"/>
      <c r="K49" s="783"/>
      <c r="L49" s="1142"/>
      <c r="M49" s="1130"/>
      <c r="N49" s="1130"/>
      <c r="O49" s="1130"/>
      <c r="P49" s="3245" t="str">
        <f>A49</f>
        <v>比较价值（元/平方米）</v>
      </c>
      <c r="Q49" s="3221"/>
      <c r="R49" s="3250" t="e">
        <f>IF(F1="售价",ROUND(PRODUCT(R48,AA7:AA47),0),ROUND(PRODUCT(R48,AA7:AA47),1))</f>
        <v>#DIV/0!</v>
      </c>
      <c r="S49" s="3250"/>
      <c r="T49" s="3250" t="e">
        <f>IF(F1="售价",ROUND(PRODUCT(T48,AB7:AB47),0),ROUND(PRODUCT(T48,AB7:AB47),1))</f>
        <v>#DIV/0!</v>
      </c>
      <c r="U49" s="3250"/>
      <c r="V49" s="3250" t="e">
        <f>IF(F1="售价",ROUND(PRODUCT(V48,AC7:AC47),0),ROUND(PRODUCT(V48,AC7:AC47),1))</f>
        <v>#DIV/0!</v>
      </c>
      <c r="W49" s="3250"/>
      <c r="X49" s="445"/>
      <c r="Y49" s="445"/>
      <c r="Z49" s="445"/>
      <c r="AA49" s="445"/>
      <c r="AB49" s="445"/>
      <c r="AC49" s="629"/>
    </row>
    <row r="50" spans="1:29" ht="15.75" thickBot="1">
      <c r="A50" s="491" t="s">
        <v>2617</v>
      </c>
      <c r="B50" s="492"/>
      <c r="C50" s="1416" t="e">
        <f>R50</f>
        <v>#DIV/0!</v>
      </c>
      <c r="D50" s="1416"/>
      <c r="E50" s="1416"/>
      <c r="F50" s="1416"/>
      <c r="G50" s="1416"/>
      <c r="H50" s="1416"/>
      <c r="I50" s="1416"/>
      <c r="J50" s="493"/>
      <c r="K50" s="784"/>
      <c r="L50" s="1142"/>
      <c r="M50" s="1130"/>
      <c r="N50" s="1130"/>
      <c r="O50" s="1130"/>
      <c r="P50" s="3298" t="str">
        <f>A50</f>
        <v>估价对象XX用房的比较价值（楼面单价，元/平方米）</v>
      </c>
      <c r="Q50" s="3299"/>
      <c r="R50" s="3300" t="e">
        <f>IF(F1="售价",ROUND(AVERAGE(R49:V49),0),ROUND(AVERAGE(R49:V49),1))</f>
        <v>#DIV/0!</v>
      </c>
      <c r="S50" s="3300"/>
      <c r="T50" s="3300"/>
      <c r="U50" s="3300"/>
      <c r="V50" s="3300"/>
      <c r="W50" s="3300"/>
      <c r="X50" s="2648"/>
      <c r="Y50" s="2648"/>
      <c r="Z50" s="2648"/>
      <c r="AA50" s="2648"/>
      <c r="AB50" s="2648"/>
      <c r="AC50" s="2649"/>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2618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2619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2620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4"/>
    </row>
    <row r="56" spans="1:29" s="501" customFormat="1">
      <c r="A56" s="1144"/>
      <c r="B56" s="1145"/>
      <c r="C56" s="1149"/>
      <c r="D56" s="1144"/>
      <c r="E56" s="1144"/>
      <c r="F56" s="1144"/>
      <c r="G56" s="1144"/>
      <c r="H56" s="1144"/>
      <c r="I56" s="1144"/>
      <c r="J56" s="1144"/>
      <c r="K56" s="1147"/>
      <c r="L56" s="1148"/>
      <c r="M56" s="1144"/>
      <c r="N56" s="1144"/>
      <c r="O56" s="1144"/>
      <c r="P56" s="2674"/>
    </row>
    <row r="57" spans="1:29">
      <c r="A57" s="1143"/>
      <c r="B57" s="1145"/>
      <c r="C57" s="1149"/>
      <c r="D57" s="1143"/>
      <c r="E57" s="1143"/>
      <c r="F57" s="1143"/>
      <c r="G57" s="1143"/>
      <c r="H57" s="1143"/>
      <c r="I57" s="1143"/>
      <c r="J57" s="1143"/>
      <c r="K57" s="1104"/>
      <c r="L57" s="1105"/>
      <c r="M57" s="1143"/>
      <c r="N57" s="1143"/>
      <c r="O57" s="1143"/>
    </row>
    <row r="58" spans="1:29" ht="21.75" thickBot="1">
      <c r="A58" s="762" t="s">
        <v>2621</v>
      </c>
      <c r="B58" s="758"/>
      <c r="C58" s="763"/>
      <c r="D58" s="763"/>
      <c r="E58" s="763"/>
      <c r="F58" s="764"/>
      <c r="G58" s="764"/>
      <c r="H58" s="763"/>
      <c r="I58" s="763"/>
      <c r="J58" s="763"/>
      <c r="K58" s="765"/>
      <c r="L58" s="1160"/>
      <c r="M58" s="1158"/>
      <c r="N58" s="1158"/>
      <c r="O58" s="1158"/>
      <c r="P58" s="2675"/>
      <c r="Q58" s="503"/>
    </row>
    <row r="59" spans="1:29" s="507" customFormat="1" ht="15">
      <c r="A59" s="504" t="s">
        <v>2496</v>
      </c>
      <c r="B59" s="505"/>
      <c r="C59" s="1572" t="str">
        <f>YEAR(C7)&amp;"-"&amp;MONTH(C7)</f>
        <v>2018-12</v>
      </c>
      <c r="D59" s="1573">
        <f>EDATE(C59,-1)</f>
        <v>43405</v>
      </c>
      <c r="E59" s="1573">
        <f>EDATE(D59,-1)</f>
        <v>43374</v>
      </c>
      <c r="F59" s="1573">
        <f t="shared" ref="F59:O59" si="16">EDATE(E59,-1)</f>
        <v>43344</v>
      </c>
      <c r="G59" s="1573">
        <f t="shared" si="16"/>
        <v>43313</v>
      </c>
      <c r="H59" s="1573">
        <f t="shared" si="16"/>
        <v>43282</v>
      </c>
      <c r="I59" s="1573">
        <f t="shared" si="16"/>
        <v>43252</v>
      </c>
      <c r="J59" s="1573">
        <f t="shared" si="16"/>
        <v>43221</v>
      </c>
      <c r="K59" s="1573">
        <f t="shared" si="16"/>
        <v>43191</v>
      </c>
      <c r="L59" s="1573">
        <f t="shared" si="16"/>
        <v>43160</v>
      </c>
      <c r="M59" s="1573">
        <f t="shared" si="16"/>
        <v>43132</v>
      </c>
      <c r="N59" s="1573">
        <f t="shared" si="16"/>
        <v>43101</v>
      </c>
      <c r="O59" s="1573">
        <f t="shared" si="16"/>
        <v>43070</v>
      </c>
      <c r="P59" s="1569"/>
    </row>
    <row r="60" spans="1:29" s="117" customFormat="1" ht="15">
      <c r="A60" s="508"/>
      <c r="B60" s="509"/>
      <c r="C60" s="1571">
        <v>100</v>
      </c>
      <c r="D60" s="511"/>
      <c r="E60" s="511"/>
      <c r="F60" s="511"/>
      <c r="G60" s="511"/>
      <c r="H60" s="511"/>
      <c r="I60" s="511"/>
      <c r="J60" s="511"/>
      <c r="K60" s="511"/>
      <c r="L60" s="511"/>
      <c r="M60" s="512"/>
      <c r="N60" s="511"/>
      <c r="O60" s="512"/>
      <c r="P60" s="2676"/>
    </row>
    <row r="61" spans="1:29" s="117" customFormat="1" ht="15.75" thickBot="1">
      <c r="A61" s="514" t="s">
        <v>2532</v>
      </c>
      <c r="B61" s="515"/>
      <c r="C61" s="516"/>
      <c r="D61" s="517"/>
      <c r="E61" s="517"/>
      <c r="F61" s="517"/>
      <c r="G61" s="517"/>
      <c r="H61" s="517"/>
      <c r="I61" s="517"/>
      <c r="J61" s="517"/>
      <c r="K61" s="517"/>
      <c r="L61" s="517"/>
      <c r="M61" s="518"/>
      <c r="N61" s="517"/>
      <c r="O61" s="518"/>
      <c r="P61" s="2676"/>
      <c r="Q61" s="503"/>
    </row>
    <row r="62" spans="1:29" s="117" customFormat="1" ht="15">
      <c r="A62" s="520" t="s">
        <v>2498</v>
      </c>
      <c r="B62" s="509"/>
      <c r="C62" s="521" t="s">
        <v>2599</v>
      </c>
      <c r="D62" s="522"/>
      <c r="E62" s="522"/>
      <c r="F62" s="522"/>
      <c r="G62" s="522"/>
      <c r="H62" s="522"/>
      <c r="I62" s="522"/>
      <c r="J62" s="522"/>
      <c r="K62" s="522"/>
      <c r="L62" s="523"/>
      <c r="M62" s="524"/>
      <c r="N62" s="1150"/>
      <c r="O62" s="1150"/>
      <c r="P62" s="2677"/>
      <c r="Q62" s="503"/>
    </row>
    <row r="63" spans="1:29" s="117" customFormat="1" ht="15.75" thickBot="1">
      <c r="A63" s="520"/>
      <c r="B63" s="509"/>
      <c r="C63" s="510">
        <v>100</v>
      </c>
      <c r="D63" s="511"/>
      <c r="E63" s="511"/>
      <c r="F63" s="511"/>
      <c r="G63" s="511"/>
      <c r="H63" s="511"/>
      <c r="I63" s="511"/>
      <c r="J63" s="511"/>
      <c r="K63" s="511"/>
      <c r="L63" s="511"/>
      <c r="M63" s="513"/>
      <c r="N63" s="1150"/>
      <c r="O63" s="1150"/>
      <c r="P63" s="2676"/>
      <c r="Q63" s="503"/>
    </row>
    <row r="64" spans="1:29">
      <c r="A64" s="526" t="s">
        <v>2535</v>
      </c>
      <c r="B64" s="527" t="s">
        <v>2502</v>
      </c>
      <c r="C64" s="528">
        <f>C9</f>
        <v>0</v>
      </c>
      <c r="D64" s="529"/>
      <c r="E64" s="529"/>
      <c r="F64" s="529"/>
      <c r="G64" s="529"/>
      <c r="H64" s="529"/>
      <c r="I64" s="529"/>
      <c r="J64" s="529"/>
      <c r="K64" s="530"/>
      <c r="L64" s="531"/>
      <c r="M64" s="532"/>
      <c r="N64" s="1151"/>
      <c r="O64" s="1151"/>
      <c r="P64" s="2678"/>
      <c r="Q64" s="503"/>
    </row>
    <row r="65" spans="1:17" ht="15.75" thickBot="1">
      <c r="A65" s="533"/>
      <c r="B65" s="534"/>
      <c r="C65" s="535">
        <v>100</v>
      </c>
      <c r="D65" s="535"/>
      <c r="E65" s="535"/>
      <c r="F65" s="535"/>
      <c r="G65" s="535"/>
      <c r="H65" s="535"/>
      <c r="I65" s="535"/>
      <c r="J65" s="535"/>
      <c r="K65" s="535"/>
      <c r="L65" s="535"/>
      <c r="M65" s="536"/>
      <c r="N65" s="1152"/>
      <c r="O65" s="1152"/>
      <c r="P65" s="2678"/>
      <c r="Q65" s="503"/>
    </row>
    <row r="66" spans="1:17" ht="27.75" thickTop="1">
      <c r="A66" s="533"/>
      <c r="B66" s="537" t="s">
        <v>2505</v>
      </c>
      <c r="C66" s="538" t="s">
        <v>2536</v>
      </c>
      <c r="D66" s="538" t="s">
        <v>2537</v>
      </c>
      <c r="E66" s="538" t="s">
        <v>2538</v>
      </c>
      <c r="F66" s="538" t="s">
        <v>2539</v>
      </c>
      <c r="G66" s="538" t="s">
        <v>2540</v>
      </c>
      <c r="H66" s="538" t="s">
        <v>2541</v>
      </c>
      <c r="I66" s="538" t="s">
        <v>2542</v>
      </c>
      <c r="J66" s="538"/>
      <c r="K66" s="539"/>
      <c r="L66" s="540"/>
      <c r="M66" s="541"/>
      <c r="N66" s="1151"/>
      <c r="O66" s="1151"/>
      <c r="P66" s="267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8"/>
      <c r="Q67" s="503"/>
    </row>
    <row r="68" spans="1:17" ht="15.75" thickTop="1">
      <c r="A68" s="533"/>
      <c r="B68" s="545" t="s">
        <v>2506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8"/>
      <c r="Q68" s="503"/>
    </row>
    <row r="69" spans="1:17" ht="15">
      <c r="A69" s="533"/>
      <c r="B69" s="547"/>
      <c r="C69" s="548"/>
      <c r="D69" s="548"/>
      <c r="E69" s="548"/>
      <c r="F69" s="548"/>
      <c r="G69" s="548"/>
      <c r="H69" s="548"/>
      <c r="I69" s="548"/>
      <c r="J69" s="548"/>
      <c r="K69" s="549"/>
      <c r="L69" s="550"/>
      <c r="M69" s="551"/>
      <c r="N69" s="1151"/>
      <c r="O69" s="1151"/>
      <c r="P69" s="267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8"/>
      <c r="Q70" s="503"/>
    </row>
    <row r="71" spans="1:17" s="470" customFormat="1" ht="15.75" thickTop="1">
      <c r="A71" s="552"/>
      <c r="B71" s="537">
        <f>B12</f>
        <v>111</v>
      </c>
      <c r="C71" s="553"/>
      <c r="D71" s="553"/>
      <c r="E71" s="553"/>
      <c r="F71" s="553"/>
      <c r="G71" s="553"/>
      <c r="H71" s="554"/>
      <c r="I71" s="554"/>
      <c r="J71" s="554"/>
      <c r="K71" s="554"/>
      <c r="L71" s="555"/>
      <c r="M71" s="556"/>
      <c r="N71" s="1153"/>
      <c r="O71" s="1153"/>
      <c r="P71" s="2679"/>
      <c r="Q71" s="558"/>
    </row>
    <row r="72" spans="1:17" s="470" customFormat="1" ht="15.75" thickBot="1">
      <c r="A72" s="552"/>
      <c r="B72" s="542"/>
      <c r="C72" s="559"/>
      <c r="D72" s="535"/>
      <c r="E72" s="535"/>
      <c r="F72" s="535"/>
      <c r="G72" s="535"/>
      <c r="H72" s="535"/>
      <c r="I72" s="535"/>
      <c r="J72" s="535"/>
      <c r="K72" s="535"/>
      <c r="L72" s="535"/>
      <c r="M72" s="536"/>
      <c r="N72" s="1152"/>
      <c r="O72" s="1152"/>
      <c r="P72" s="2679"/>
      <c r="Q72" s="558"/>
    </row>
    <row r="73" spans="1:17" s="470" customFormat="1" ht="15.75" thickTop="1">
      <c r="A73" s="552"/>
      <c r="B73" s="537">
        <f>B13</f>
        <v>111</v>
      </c>
      <c r="C73" s="553"/>
      <c r="D73" s="553"/>
      <c r="E73" s="553"/>
      <c r="F73" s="553"/>
      <c r="G73" s="553"/>
      <c r="H73" s="554"/>
      <c r="I73" s="554"/>
      <c r="J73" s="554"/>
      <c r="K73" s="554"/>
      <c r="L73" s="555"/>
      <c r="M73" s="556"/>
      <c r="N73" s="1153"/>
      <c r="O73" s="1153"/>
      <c r="P73" s="2680"/>
      <c r="Q73" s="560"/>
    </row>
    <row r="74" spans="1:17" s="470" customFormat="1" ht="15.75" thickBot="1">
      <c r="A74" s="552"/>
      <c r="B74" s="542"/>
      <c r="C74" s="559"/>
      <c r="D74" s="559"/>
      <c r="E74" s="559"/>
      <c r="F74" s="559"/>
      <c r="G74" s="559"/>
      <c r="H74" s="561"/>
      <c r="I74" s="561"/>
      <c r="J74" s="561"/>
      <c r="K74" s="561"/>
      <c r="L74" s="561"/>
      <c r="M74" s="562"/>
      <c r="N74" s="1153"/>
      <c r="O74" s="1153"/>
      <c r="P74" s="2679"/>
      <c r="Q74" s="558"/>
    </row>
    <row r="75" spans="1:17" s="470" customFormat="1" ht="15.75" thickTop="1">
      <c r="A75" s="552"/>
      <c r="B75" s="545">
        <f>B14</f>
        <v>111</v>
      </c>
      <c r="C75" s="522"/>
      <c r="D75" s="522"/>
      <c r="E75" s="522"/>
      <c r="F75" s="522"/>
      <c r="G75" s="522"/>
      <c r="H75" s="563"/>
      <c r="I75" s="563"/>
      <c r="J75" s="563"/>
      <c r="K75" s="563"/>
      <c r="L75" s="564"/>
      <c r="M75" s="565"/>
      <c r="N75" s="1153"/>
      <c r="O75" s="1153"/>
      <c r="P75" s="2681"/>
      <c r="Q75" s="558"/>
    </row>
    <row r="76" spans="1:17" s="470" customFormat="1" ht="15.75" thickBot="1">
      <c r="A76" s="567"/>
      <c r="B76" s="568"/>
      <c r="C76" s="569"/>
      <c r="D76" s="569"/>
      <c r="E76" s="569"/>
      <c r="F76" s="569"/>
      <c r="G76" s="569"/>
      <c r="H76" s="570"/>
      <c r="I76" s="570"/>
      <c r="J76" s="570"/>
      <c r="K76" s="570"/>
      <c r="L76" s="570"/>
      <c r="M76" s="571"/>
      <c r="N76" s="1153"/>
      <c r="O76" s="1153"/>
      <c r="P76" s="2679"/>
      <c r="Q76" s="558"/>
    </row>
    <row r="77" spans="1:17">
      <c r="A77" s="526" t="s">
        <v>2507</v>
      </c>
      <c r="B77" s="527" t="s">
        <v>2644</v>
      </c>
      <c r="C77" s="572" t="s">
        <v>2544</v>
      </c>
      <c r="D77" s="572" t="s">
        <v>2545</v>
      </c>
      <c r="E77" s="572" t="s">
        <v>2546</v>
      </c>
      <c r="F77" s="572" t="s">
        <v>2547</v>
      </c>
      <c r="G77" s="572" t="s">
        <v>2548</v>
      </c>
      <c r="H77" s="528"/>
      <c r="I77" s="528"/>
      <c r="J77" s="528"/>
      <c r="K77" s="573"/>
      <c r="L77" s="574"/>
      <c r="M77" s="575"/>
      <c r="N77" s="1151"/>
      <c r="O77" s="1151"/>
      <c r="P77" s="268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8"/>
      <c r="Q78" s="503"/>
    </row>
    <row r="79" spans="1:17" ht="15.75" thickTop="1">
      <c r="A79" s="533"/>
      <c r="B79" s="537" t="s">
        <v>2549</v>
      </c>
      <c r="C79" s="577" t="s">
        <v>2544</v>
      </c>
      <c r="D79" s="577" t="s">
        <v>2545</v>
      </c>
      <c r="E79" s="577" t="s">
        <v>2546</v>
      </c>
      <c r="F79" s="577" t="s">
        <v>2547</v>
      </c>
      <c r="G79" s="577" t="s">
        <v>2548</v>
      </c>
      <c r="H79" s="538"/>
      <c r="I79" s="538"/>
      <c r="J79" s="538"/>
      <c r="K79" s="539"/>
      <c r="L79" s="540"/>
      <c r="M79" s="541"/>
      <c r="N79" s="1151"/>
      <c r="O79" s="1151"/>
      <c r="P79" s="267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8"/>
      <c r="Q80" s="503"/>
    </row>
    <row r="81" spans="1:17" ht="15.75" thickTop="1">
      <c r="A81" s="533"/>
      <c r="B81" s="537" t="s">
        <v>2550</v>
      </c>
      <c r="C81" s="577" t="s">
        <v>2544</v>
      </c>
      <c r="D81" s="577" t="s">
        <v>2545</v>
      </c>
      <c r="E81" s="577" t="s">
        <v>2546</v>
      </c>
      <c r="F81" s="577" t="s">
        <v>2547</v>
      </c>
      <c r="G81" s="577" t="s">
        <v>2548</v>
      </c>
      <c r="H81" s="538"/>
      <c r="I81" s="538"/>
      <c r="J81" s="538"/>
      <c r="K81" s="539"/>
      <c r="L81" s="540"/>
      <c r="M81" s="541"/>
      <c r="N81" s="1151"/>
      <c r="O81" s="1151"/>
      <c r="P81" s="267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8"/>
      <c r="Q82" s="503"/>
    </row>
    <row r="83" spans="1:17" ht="15.75" thickTop="1">
      <c r="A83" s="533"/>
      <c r="B83" s="545" t="s">
        <v>2636</v>
      </c>
      <c r="C83" s="659" t="s">
        <v>2622</v>
      </c>
      <c r="D83" s="659" t="s">
        <v>2623</v>
      </c>
      <c r="E83" s="659" t="s">
        <v>2624</v>
      </c>
      <c r="F83" s="659" t="s">
        <v>2625</v>
      </c>
      <c r="G83" s="659" t="s">
        <v>2626</v>
      </c>
      <c r="H83" s="538"/>
      <c r="I83" s="538"/>
      <c r="J83" s="538"/>
      <c r="K83" s="538"/>
      <c r="L83" s="538"/>
      <c r="M83" s="1381"/>
      <c r="N83" s="1152"/>
      <c r="O83" s="1152"/>
      <c r="P83" s="267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8"/>
      <c r="Q84" s="503"/>
    </row>
    <row r="85" spans="1:17" ht="15.75" thickTop="1">
      <c r="A85" s="533"/>
      <c r="B85" s="537" t="s">
        <v>2645</v>
      </c>
      <c r="C85" s="577" t="s">
        <v>2544</v>
      </c>
      <c r="D85" s="577" t="s">
        <v>2545</v>
      </c>
      <c r="E85" s="577" t="s">
        <v>2546</v>
      </c>
      <c r="F85" s="577" t="s">
        <v>2547</v>
      </c>
      <c r="G85" s="577" t="s">
        <v>2548</v>
      </c>
      <c r="H85" s="538"/>
      <c r="I85" s="538"/>
      <c r="J85" s="538"/>
      <c r="K85" s="539"/>
      <c r="L85" s="540"/>
      <c r="M85" s="541"/>
      <c r="N85" s="1151"/>
      <c r="O85" s="1151"/>
      <c r="P85" s="267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8"/>
      <c r="Q86" s="503"/>
    </row>
    <row r="87" spans="1:17" s="117" customFormat="1" ht="27.75" thickTop="1">
      <c r="A87" s="578"/>
      <c r="B87" s="537" t="s">
        <v>2646</v>
      </c>
      <c r="C87" s="553"/>
      <c r="D87" s="553"/>
      <c r="E87" s="553"/>
      <c r="F87" s="553"/>
      <c r="G87" s="553"/>
      <c r="H87" s="553"/>
      <c r="I87" s="553"/>
      <c r="J87" s="553"/>
      <c r="K87" s="553"/>
      <c r="L87" s="579"/>
      <c r="M87" s="580"/>
      <c r="N87" s="1150"/>
      <c r="O87" s="1150"/>
      <c r="P87" s="2678"/>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8"/>
      <c r="Q88" s="503"/>
    </row>
    <row r="89" spans="1:17" s="117" customFormat="1" ht="15.75" thickTop="1">
      <c r="A89" s="578"/>
      <c r="B89" s="537" t="str">
        <f>B27</f>
        <v>楼层</v>
      </c>
      <c r="C89" s="553"/>
      <c r="D89" s="553"/>
      <c r="E89" s="553"/>
      <c r="F89" s="2629"/>
      <c r="G89" s="553"/>
      <c r="H89" s="553"/>
      <c r="I89" s="553"/>
      <c r="J89" s="553"/>
      <c r="K89" s="553"/>
      <c r="L89" s="553"/>
      <c r="M89" s="580"/>
      <c r="N89" s="1150"/>
      <c r="O89" s="1150"/>
      <c r="P89" s="2678"/>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8"/>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9"/>
      <c r="Q92" s="558"/>
    </row>
    <row r="93" spans="1:17" ht="15.75" thickTop="1">
      <c r="A93" s="533"/>
      <c r="B93" s="537">
        <f>B29</f>
        <v>111</v>
      </c>
      <c r="C93" s="553"/>
      <c r="D93" s="553"/>
      <c r="E93" s="553"/>
      <c r="F93" s="553"/>
      <c r="G93" s="553"/>
      <c r="H93" s="553"/>
      <c r="I93" s="553"/>
      <c r="J93" s="553"/>
      <c r="K93" s="553"/>
      <c r="L93" s="579"/>
      <c r="M93" s="580"/>
      <c r="N93" s="1151"/>
      <c r="O93" s="1151"/>
      <c r="P93" s="2678"/>
      <c r="Q93" s="503"/>
    </row>
    <row r="94" spans="1:17" ht="15.75" thickBot="1">
      <c r="A94" s="533"/>
      <c r="B94" s="542"/>
      <c r="C94" s="559"/>
      <c r="D94" s="535"/>
      <c r="E94" s="535"/>
      <c r="F94" s="535"/>
      <c r="G94" s="535"/>
      <c r="H94" s="535"/>
      <c r="I94" s="535"/>
      <c r="J94" s="535"/>
      <c r="K94" s="535"/>
      <c r="L94" s="535"/>
      <c r="M94" s="536"/>
      <c r="N94" s="1152"/>
      <c r="O94" s="1152"/>
      <c r="P94" s="2678"/>
      <c r="Q94" s="503"/>
    </row>
    <row r="95" spans="1:17" ht="15.75" thickTop="1">
      <c r="A95" s="533"/>
      <c r="B95" s="537">
        <f>B30</f>
        <v>111</v>
      </c>
      <c r="C95" s="553"/>
      <c r="D95" s="553"/>
      <c r="E95" s="553"/>
      <c r="F95" s="553"/>
      <c r="G95" s="582"/>
      <c r="H95" s="582"/>
      <c r="I95" s="582"/>
      <c r="J95" s="582"/>
      <c r="K95" s="583"/>
      <c r="L95" s="584"/>
      <c r="M95" s="585"/>
      <c r="N95" s="1151"/>
      <c r="O95" s="1151"/>
      <c r="P95" s="2678"/>
      <c r="Q95" s="503"/>
    </row>
    <row r="96" spans="1:17" ht="15.75" thickBot="1">
      <c r="A96" s="533"/>
      <c r="B96" s="542"/>
      <c r="C96" s="559"/>
      <c r="D96" s="559"/>
      <c r="E96" s="559"/>
      <c r="F96" s="559"/>
      <c r="G96" s="535"/>
      <c r="H96" s="535"/>
      <c r="I96" s="535"/>
      <c r="J96" s="535"/>
      <c r="K96" s="535"/>
      <c r="L96" s="535"/>
      <c r="M96" s="536"/>
      <c r="N96" s="1152"/>
      <c r="O96" s="1152"/>
      <c r="P96" s="2678"/>
      <c r="Q96" s="503"/>
    </row>
    <row r="97" spans="1:17" ht="15.75" thickTop="1">
      <c r="A97" s="533"/>
      <c r="B97" s="537">
        <f>B31</f>
        <v>111</v>
      </c>
      <c r="C97" s="553"/>
      <c r="D97" s="553"/>
      <c r="E97" s="553"/>
      <c r="F97" s="553"/>
      <c r="G97" s="582"/>
      <c r="H97" s="582"/>
      <c r="I97" s="582"/>
      <c r="J97" s="582"/>
      <c r="K97" s="583"/>
      <c r="L97" s="584"/>
      <c r="M97" s="585"/>
      <c r="N97" s="1151"/>
      <c r="O97" s="1151"/>
      <c r="P97" s="2678"/>
      <c r="Q97" s="503"/>
    </row>
    <row r="98" spans="1:17" ht="15.75" thickBot="1">
      <c r="A98" s="533"/>
      <c r="B98" s="542"/>
      <c r="C98" s="559"/>
      <c r="D98" s="535"/>
      <c r="E98" s="535"/>
      <c r="F98" s="535"/>
      <c r="G98" s="535"/>
      <c r="H98" s="535"/>
      <c r="I98" s="535"/>
      <c r="J98" s="535"/>
      <c r="K98" s="535"/>
      <c r="L98" s="535"/>
      <c r="M98" s="536"/>
      <c r="N98" s="1152"/>
      <c r="O98" s="1152"/>
      <c r="P98" s="2678"/>
      <c r="Q98" s="503"/>
    </row>
    <row r="99" spans="1:17" ht="15.75" thickTop="1">
      <c r="A99" s="533"/>
      <c r="B99" s="545">
        <f>B32</f>
        <v>111</v>
      </c>
      <c r="C99" s="522"/>
      <c r="D99" s="522"/>
      <c r="E99" s="522"/>
      <c r="F99" s="522"/>
      <c r="G99" s="586"/>
      <c r="H99" s="586"/>
      <c r="I99" s="586"/>
      <c r="J99" s="586"/>
      <c r="K99" s="587"/>
      <c r="L99" s="588"/>
      <c r="M99" s="589"/>
      <c r="N99" s="1151"/>
      <c r="O99" s="1151"/>
      <c r="P99" s="2678"/>
      <c r="Q99" s="503"/>
    </row>
    <row r="100" spans="1:17" ht="15.75" thickBot="1">
      <c r="A100" s="2630"/>
      <c r="B100" s="568"/>
      <c r="C100" s="569"/>
      <c r="D100" s="569"/>
      <c r="E100" s="569"/>
      <c r="F100" s="569"/>
      <c r="G100" s="590"/>
      <c r="H100" s="590"/>
      <c r="I100" s="590"/>
      <c r="J100" s="590"/>
      <c r="K100" s="590"/>
      <c r="L100" s="590"/>
      <c r="M100" s="591"/>
      <c r="N100" s="1152"/>
      <c r="O100" s="1152"/>
      <c r="P100" s="2678"/>
      <c r="Q100" s="503"/>
    </row>
    <row r="101" spans="1:17">
      <c r="A101" s="526" t="s">
        <v>2511</v>
      </c>
      <c r="B101" s="527" t="s">
        <v>2559</v>
      </c>
      <c r="C101" s="529"/>
      <c r="D101" s="529"/>
      <c r="E101" s="529"/>
      <c r="F101" s="529"/>
      <c r="G101" s="529"/>
      <c r="H101" s="529"/>
      <c r="I101" s="529"/>
      <c r="J101" s="529"/>
      <c r="K101" s="530"/>
      <c r="L101" s="531"/>
      <c r="M101" s="532"/>
      <c r="N101" s="1151"/>
      <c r="O101" s="1151"/>
      <c r="P101" s="267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8"/>
      <c r="Q102" s="503"/>
    </row>
    <row r="103" spans="1:17" ht="15.75" thickTop="1">
      <c r="A103" s="533"/>
      <c r="B103" s="537" t="s">
        <v>2560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8"/>
      <c r="Q103" s="503"/>
    </row>
    <row r="104" spans="1:17" s="470" customFormat="1">
      <c r="A104" s="592"/>
      <c r="B104" s="593"/>
      <c r="C104" s="594"/>
      <c r="D104" s="594"/>
      <c r="E104" s="594"/>
      <c r="F104" s="594"/>
      <c r="G104" s="594"/>
      <c r="H104" s="594"/>
      <c r="I104" s="594"/>
      <c r="J104" s="595"/>
      <c r="K104" s="595"/>
      <c r="L104" s="596"/>
      <c r="M104" s="597"/>
      <c r="N104" s="1153"/>
      <c r="O104" s="1153"/>
      <c r="P104" s="2679"/>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9"/>
      <c r="Q105" s="558"/>
    </row>
    <row r="106" spans="1:17" ht="15" thickTop="1">
      <c r="A106" s="598"/>
      <c r="B106" s="537" t="s">
        <v>2561</v>
      </c>
      <c r="C106" s="553"/>
      <c r="D106" s="553"/>
      <c r="E106" s="582"/>
      <c r="F106" s="582"/>
      <c r="G106" s="582"/>
      <c r="H106" s="582"/>
      <c r="I106" s="582"/>
      <c r="J106" s="582"/>
      <c r="K106" s="583"/>
      <c r="L106" s="584"/>
      <c r="M106" s="585"/>
      <c r="N106" s="1151"/>
      <c r="O106" s="1151"/>
      <c r="P106" s="267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8"/>
      <c r="Q107" s="503"/>
    </row>
    <row r="108" spans="1:17" ht="15" thickTop="1">
      <c r="A108" s="598"/>
      <c r="B108" s="537" t="s">
        <v>2563</v>
      </c>
      <c r="C108" s="553"/>
      <c r="D108" s="553"/>
      <c r="E108" s="553"/>
      <c r="F108" s="582"/>
      <c r="G108" s="582"/>
      <c r="H108" s="582"/>
      <c r="I108" s="582"/>
      <c r="J108" s="582"/>
      <c r="K108" s="583"/>
      <c r="L108" s="584"/>
      <c r="M108" s="585"/>
      <c r="N108" s="1151"/>
      <c r="O108" s="1151"/>
      <c r="P108" s="267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8"/>
      <c r="Q109" s="503"/>
    </row>
    <row r="110" spans="1:17" ht="15" thickTop="1">
      <c r="A110" s="598"/>
      <c r="B110" s="537" t="s">
        <v>1953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8"/>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8"/>
      <c r="Q112" s="503"/>
    </row>
    <row r="113" spans="1:17" s="470" customFormat="1" ht="15" thickTop="1">
      <c r="A113" s="592"/>
      <c r="B113" s="537" t="s">
        <v>2647</v>
      </c>
      <c r="C113" s="553"/>
      <c r="D113" s="553"/>
      <c r="E113" s="553"/>
      <c r="F113" s="553"/>
      <c r="G113" s="553"/>
      <c r="H113" s="582"/>
      <c r="I113" s="582"/>
      <c r="J113" s="582"/>
      <c r="K113" s="583"/>
      <c r="L113" s="584"/>
      <c r="M113" s="585"/>
      <c r="N113" s="1153"/>
      <c r="O113" s="1153"/>
      <c r="P113" s="267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9"/>
      <c r="Q114" s="558"/>
    </row>
    <row r="115" spans="1:17" ht="15" thickTop="1">
      <c r="A115" s="598"/>
      <c r="B115" s="537" t="s">
        <v>2564</v>
      </c>
      <c r="C115" s="553"/>
      <c r="D115" s="553"/>
      <c r="E115" s="582"/>
      <c r="F115" s="582"/>
      <c r="G115" s="582"/>
      <c r="H115" s="582"/>
      <c r="I115" s="582"/>
      <c r="J115" s="582"/>
      <c r="K115" s="583"/>
      <c r="L115" s="584"/>
      <c r="M115" s="585"/>
      <c r="N115" s="1151"/>
      <c r="O115" s="1151"/>
      <c r="P115" s="267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8"/>
      <c r="Q116" s="503"/>
    </row>
    <row r="117" spans="1:17" ht="15" thickTop="1">
      <c r="A117" s="598"/>
      <c r="B117" s="537" t="s">
        <v>2565</v>
      </c>
      <c r="C117" s="553"/>
      <c r="D117" s="553"/>
      <c r="E117" s="553"/>
      <c r="F117" s="553"/>
      <c r="G117" s="553"/>
      <c r="H117" s="582"/>
      <c r="I117" s="582"/>
      <c r="J117" s="582"/>
      <c r="K117" s="583"/>
      <c r="L117" s="584"/>
      <c r="M117" s="585"/>
      <c r="N117" s="1151"/>
      <c r="O117" s="1151"/>
      <c r="P117" s="267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8"/>
      <c r="Q118" s="503"/>
    </row>
    <row r="119" spans="1:17" ht="15" thickTop="1">
      <c r="A119" s="598"/>
      <c r="B119" s="635" t="s">
        <v>2648</v>
      </c>
      <c r="C119" s="582"/>
      <c r="D119" s="582"/>
      <c r="E119" s="582"/>
      <c r="F119" s="582"/>
      <c r="G119" s="582"/>
      <c r="H119" s="582"/>
      <c r="I119" s="582"/>
      <c r="J119" s="582"/>
      <c r="K119" s="582"/>
      <c r="L119" s="2683"/>
      <c r="M119" s="2684"/>
      <c r="N119" s="1152"/>
      <c r="O119" s="1152"/>
      <c r="P119" s="268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8"/>
      <c r="Q120" s="503"/>
    </row>
    <row r="121" spans="1:17" s="470" customFormat="1" ht="15" thickTop="1">
      <c r="A121" s="592"/>
      <c r="B121" s="537" t="s">
        <v>2631</v>
      </c>
      <c r="C121" s="553"/>
      <c r="D121" s="553"/>
      <c r="E121" s="553"/>
      <c r="F121" s="582"/>
      <c r="G121" s="554"/>
      <c r="H121" s="554"/>
      <c r="I121" s="554"/>
      <c r="J121" s="554"/>
      <c r="K121" s="554"/>
      <c r="L121" s="555"/>
      <c r="M121" s="556"/>
      <c r="N121" s="1153"/>
      <c r="O121" s="1153"/>
      <c r="P121" s="2679"/>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9"/>
      <c r="Q122" s="558"/>
    </row>
    <row r="123" spans="1:17" ht="15" thickTop="1">
      <c r="A123" s="598"/>
      <c r="B123" s="537" t="s">
        <v>2567</v>
      </c>
      <c r="C123" s="553"/>
      <c r="D123" s="553"/>
      <c r="E123" s="553"/>
      <c r="F123" s="582"/>
      <c r="G123" s="582"/>
      <c r="H123" s="582"/>
      <c r="I123" s="582"/>
      <c r="J123" s="582"/>
      <c r="K123" s="583"/>
      <c r="L123" s="584"/>
      <c r="M123" s="585"/>
      <c r="N123" s="1151"/>
      <c r="O123" s="1151"/>
      <c r="P123" s="267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8"/>
      <c r="Q124" s="503"/>
    </row>
    <row r="125" spans="1:17" ht="15" thickTop="1">
      <c r="A125" s="598"/>
      <c r="B125" s="537" t="s">
        <v>2568</v>
      </c>
      <c r="C125" s="577" t="s">
        <v>2544</v>
      </c>
      <c r="D125" s="577" t="s">
        <v>2545</v>
      </c>
      <c r="E125" s="577" t="s">
        <v>2546</v>
      </c>
      <c r="F125" s="577" t="s">
        <v>2547</v>
      </c>
      <c r="G125" s="577" t="s">
        <v>2548</v>
      </c>
      <c r="H125" s="538"/>
      <c r="I125" s="538"/>
      <c r="J125" s="538"/>
      <c r="K125" s="539"/>
      <c r="L125" s="540"/>
      <c r="M125" s="541"/>
      <c r="N125" s="1151"/>
      <c r="O125" s="1151"/>
      <c r="P125" s="267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8"/>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9"/>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9"/>
      <c r="Q128" s="558"/>
    </row>
    <row r="129" spans="1:17" ht="15" thickTop="1">
      <c r="A129" s="598"/>
      <c r="B129" s="537">
        <f>B46</f>
        <v>111</v>
      </c>
      <c r="C129" s="553"/>
      <c r="D129" s="553"/>
      <c r="E129" s="553"/>
      <c r="F129" s="553"/>
      <c r="G129" s="582"/>
      <c r="H129" s="582"/>
      <c r="I129" s="582"/>
      <c r="J129" s="582"/>
      <c r="K129" s="583"/>
      <c r="L129" s="584"/>
      <c r="M129" s="585"/>
      <c r="N129" s="1151"/>
      <c r="O129" s="1151"/>
      <c r="P129" s="2678"/>
      <c r="Q129" s="503"/>
    </row>
    <row r="130" spans="1:17" ht="15.75" thickBot="1">
      <c r="A130" s="533"/>
      <c r="B130" s="542"/>
      <c r="C130" s="559"/>
      <c r="D130" s="559"/>
      <c r="E130" s="559"/>
      <c r="F130" s="559"/>
      <c r="G130" s="535"/>
      <c r="H130" s="535"/>
      <c r="I130" s="535"/>
      <c r="J130" s="535"/>
      <c r="K130" s="535"/>
      <c r="L130" s="535"/>
      <c r="M130" s="536"/>
      <c r="N130" s="1152"/>
      <c r="O130" s="1152"/>
      <c r="P130" s="2678"/>
      <c r="Q130" s="503"/>
    </row>
    <row r="131" spans="1:17" ht="15" thickTop="1">
      <c r="A131" s="598"/>
      <c r="B131" s="545">
        <f>B47</f>
        <v>111</v>
      </c>
      <c r="C131" s="522"/>
      <c r="D131" s="522"/>
      <c r="E131" s="522"/>
      <c r="F131" s="522"/>
      <c r="G131" s="586"/>
      <c r="H131" s="586"/>
      <c r="I131" s="586"/>
      <c r="J131" s="586"/>
      <c r="K131" s="522"/>
      <c r="L131" s="523"/>
      <c r="M131" s="589"/>
      <c r="N131" s="1151"/>
      <c r="O131" s="1151"/>
      <c r="P131" s="2678"/>
      <c r="Q131" s="503"/>
    </row>
    <row r="132" spans="1:17" ht="15.75" thickBot="1">
      <c r="A132" s="2630"/>
      <c r="B132" s="568"/>
      <c r="C132" s="569"/>
      <c r="D132" s="569"/>
      <c r="E132" s="569"/>
      <c r="F132" s="569"/>
      <c r="G132" s="590"/>
      <c r="H132" s="590"/>
      <c r="I132" s="590"/>
      <c r="J132" s="590"/>
      <c r="K132" s="590"/>
      <c r="L132" s="590"/>
      <c r="M132" s="591"/>
      <c r="N132" s="1152"/>
      <c r="O132" s="1152"/>
      <c r="P132" s="267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07" priority="16" stopIfTrue="1" operator="containsText" text="超过">
      <formula>NOT(ISERROR(SEARCH("超过",F53)))</formula>
    </cfRule>
  </conditionalFormatting>
  <conditionalFormatting sqref="H55">
    <cfRule type="containsText" dxfId="706" priority="15" stopIfTrue="1" operator="containsText" text="超过">
      <formula>NOT(ISERROR(SEARCH("超过",H55)))</formula>
    </cfRule>
  </conditionalFormatting>
  <conditionalFormatting sqref="F55">
    <cfRule type="containsText" dxfId="705" priority="14" stopIfTrue="1" operator="containsText" text="超过">
      <formula>NOT(ISERROR(SEARCH("超过",F55)))</formula>
    </cfRule>
  </conditionalFormatting>
  <conditionalFormatting sqref="F54 H54">
    <cfRule type="containsText" dxfId="704" priority="13" stopIfTrue="1" operator="containsText" text="超过">
      <formula>NOT(ISERROR(SEARCH("超过",F54)))</formula>
    </cfRule>
  </conditionalFormatting>
  <conditionalFormatting sqref="E53">
    <cfRule type="expression" dxfId="703" priority="12" stopIfTrue="1">
      <formula>$F$53="超过30%"</formula>
    </cfRule>
  </conditionalFormatting>
  <conditionalFormatting sqref="E54">
    <cfRule type="expression" dxfId="702" priority="11" stopIfTrue="1">
      <formula>$F$54="超过20%"</formula>
    </cfRule>
  </conditionalFormatting>
  <conditionalFormatting sqref="E55">
    <cfRule type="expression" dxfId="701" priority="10" stopIfTrue="1">
      <formula>$F$55="超过30%"</formula>
    </cfRule>
  </conditionalFormatting>
  <conditionalFormatting sqref="G55">
    <cfRule type="expression" dxfId="700" priority="9" stopIfTrue="1">
      <formula>$H$55="超过30%"</formula>
    </cfRule>
  </conditionalFormatting>
  <conditionalFormatting sqref="G53">
    <cfRule type="expression" dxfId="699" priority="8" stopIfTrue="1">
      <formula>$H$53="超过30%"</formula>
    </cfRule>
  </conditionalFormatting>
  <conditionalFormatting sqref="G54">
    <cfRule type="expression" dxfId="698" priority="7" stopIfTrue="1">
      <formula>$H$54="超过20%"</formula>
    </cfRule>
  </conditionalFormatting>
  <conditionalFormatting sqref="J53">
    <cfRule type="containsText" dxfId="697" priority="6" stopIfTrue="1" operator="containsText" text="超过">
      <formula>NOT(ISERROR(SEARCH("超过",J53)))</formula>
    </cfRule>
  </conditionalFormatting>
  <conditionalFormatting sqref="J55">
    <cfRule type="containsText" dxfId="696" priority="5" stopIfTrue="1" operator="containsText" text="超过">
      <formula>NOT(ISERROR(SEARCH("超过",J55)))</formula>
    </cfRule>
  </conditionalFormatting>
  <conditionalFormatting sqref="J54">
    <cfRule type="containsText" dxfId="695" priority="4" stopIfTrue="1" operator="containsText" text="超过">
      <formula>NOT(ISERROR(SEARCH("超过",J54)))</formula>
    </cfRule>
  </conditionalFormatting>
  <conditionalFormatting sqref="I53">
    <cfRule type="expression" dxfId="694" priority="3" stopIfTrue="1">
      <formula>$J$53="超过30%"</formula>
    </cfRule>
  </conditionalFormatting>
  <conditionalFormatting sqref="I54">
    <cfRule type="expression" dxfId="693" priority="2" stopIfTrue="1">
      <formula>$J$53+$J$54="超过20%"</formula>
    </cfRule>
  </conditionalFormatting>
  <conditionalFormatting sqref="I55">
    <cfRule type="expression" dxfId="6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1603</v>
      </c>
    </row>
    <row r="2" spans="1:1">
      <c r="A2" s="1944"/>
    </row>
    <row r="3" spans="1:1" ht="18">
      <c r="A3" s="1945" t="str">
        <f>项目基本情况!B5&amp;"："</f>
        <v>：</v>
      </c>
    </row>
    <row r="4" spans="1:1" ht="36">
      <c r="A4" s="1946" t="str">
        <f>"受贵公司委托，我公司对"&amp;项目基本情况!S1&amp;"进行了预评估。"</f>
        <v>受贵公司委托，我公司对安徽省庐阳区合淮路以西、市十九中学以南出让国有建设用地使用权及在建建筑物房地产抵押价值进行了预评估。</v>
      </c>
    </row>
    <row r="5" spans="1:1" ht="18.75">
      <c r="A5" s="1947" t="s">
        <v>1604</v>
      </c>
    </row>
    <row r="6" spans="1:1" ht="18.75">
      <c r="A6" s="1948" t="s">
        <v>1605</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安徽省庐阳区合淮路以西、市十九中学以南出让国有建设用地使用权及在建建筑物房地产，为所有。根据《国有土地使用证》，估价对象（分摊）出让国有建设用地使用权面积为63529.08平方米，建筑面积为167325.31平方米。</v>
      </c>
    </row>
    <row r="8" spans="1:1" ht="57.75">
      <c r="A8" s="1949" t="s">
        <v>1606</v>
      </c>
    </row>
    <row r="9" spans="1:1" ht="18.75">
      <c r="A9" s="1948" t="s">
        <v>1607</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安徽省庐阳区合淮路以西、市十九中学以南出让国有建设用地使用权及在建建筑物房地产,为开发建设的居住项目，该项目尚在开发建设中。根据《国有土地使用证》，估价对象（分摊）出让国有建设用地使用权面积为63529.08平方米，规划建筑面积为167325.31平方米。</v>
      </c>
    </row>
    <row r="11" spans="1:1" ht="76.5">
      <c r="A11" s="1949" t="s">
        <v>1608</v>
      </c>
    </row>
    <row r="12" spans="1:1" ht="18.75">
      <c r="A12" s="1947" t="s">
        <v>1609</v>
      </c>
    </row>
    <row r="13" spans="1:1" ht="38.25" customHeight="1">
      <c r="A13" s="1950" t="str">
        <f>IF(项目基本情况!B8="抵押",IF(项目基本情况!B5=项目基本情况!B6,定义!C51,定义!B51),定义!D51)</f>
        <v>安徽省文一投资控股集团庐阳置业有限公司拟使用安徽省庐阳区合淮路以西、市十九中学以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1610</v>
      </c>
    </row>
    <row r="15" spans="1:1" ht="18">
      <c r="A15" s="1952" t="str">
        <f>TEXT(项目基本情况!D3,"yyyy年m月d日;;")&amp;IF(项目基本情况!D3=项目基本情况!B3,"（评估专业人员实地查勘之日）","")</f>
        <v>2018年12月18日（评估专业人员实地查勘之日）</v>
      </c>
    </row>
    <row r="16" spans="1:1" ht="18.75">
      <c r="A16" s="1951" t="s">
        <v>1611</v>
      </c>
    </row>
    <row r="17" spans="1:1" ht="75">
      <c r="A17" s="1946" t="s">
        <v>1612</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18日，估价对象规划用途为住宅，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1601</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1602</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2476</v>
      </c>
      <c r="B1" s="2663" t="s">
        <v>2649</v>
      </c>
      <c r="C1" s="1618" t="s">
        <v>2478</v>
      </c>
      <c r="D1" s="1619"/>
      <c r="E1" s="1628"/>
      <c r="F1" s="2579"/>
      <c r="G1" s="1629" t="s">
        <v>2590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2278</v>
      </c>
      <c r="B2" s="1417" t="e">
        <f ca="1">IF(C2="——",ROUND(C43*D3/10000,0),ROUND(C43*D3/10000,0)-D2)</f>
        <v>#DIV/0!</v>
      </c>
      <c r="C2" s="2581"/>
      <c r="D2" s="1123" t="e">
        <f ca="1">SUMIF(INDIRECT("'"&amp;F2&amp;"'"&amp;"!A:A"),"承租人权益价值",INDIRECT("'"&amp;F2&amp;"'"&amp;"!c:c"))</f>
        <v>#REF!</v>
      </c>
      <c r="E2" s="2582" t="s">
        <v>2279</v>
      </c>
      <c r="F2" s="2583"/>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2280</v>
      </c>
      <c r="B3" s="608" t="e">
        <f ca="1">IF(C2="——",C43,ROUND(B2*10000/D3,0))</f>
        <v>#DIV/0!</v>
      </c>
      <c r="C3" s="399" t="s">
        <v>2591</v>
      </c>
      <c r="D3" s="398">
        <f>IF(D1="",'数据-汇总表'!E3,SUMIF('数据-汇总表'!$C19:$C33,D1,'数据-汇总表'!$E19:$E33))</f>
        <v>167325.31000000003</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2592</v>
      </c>
      <c r="B4" s="401"/>
      <c r="C4" s="3222" t="s">
        <v>2593</v>
      </c>
      <c r="D4" s="3223"/>
      <c r="E4" s="3224" t="s">
        <v>2594</v>
      </c>
      <c r="F4" s="3225"/>
      <c r="G4" s="3222" t="s">
        <v>2595</v>
      </c>
      <c r="H4" s="3223"/>
      <c r="I4" s="3222" t="s">
        <v>2596</v>
      </c>
      <c r="J4" s="3223"/>
      <c r="K4" s="609" t="s">
        <v>2597</v>
      </c>
      <c r="L4" s="1129"/>
      <c r="M4" s="1130"/>
      <c r="N4" s="1130"/>
      <c r="O4" s="1130"/>
      <c r="P4" s="3226" t="s">
        <v>2598</v>
      </c>
      <c r="Q4" s="3227"/>
      <c r="R4" s="3208" t="s">
        <v>2594</v>
      </c>
      <c r="S4" s="3209"/>
      <c r="T4" s="3208" t="s">
        <v>2595</v>
      </c>
      <c r="U4" s="3209"/>
      <c r="V4" s="3234" t="s">
        <v>2596</v>
      </c>
      <c r="W4" s="3234"/>
      <c r="X4" s="1811"/>
      <c r="Y4" s="3208" t="s">
        <v>2598</v>
      </c>
      <c r="Z4" s="3209"/>
      <c r="AA4" s="3203" t="s">
        <v>2594</v>
      </c>
      <c r="AB4" s="3204" t="s">
        <v>2595</v>
      </c>
      <c r="AC4" s="3203" t="s">
        <v>2596</v>
      </c>
    </row>
    <row r="5" spans="1:29" ht="15">
      <c r="A5" s="403"/>
      <c r="B5" s="404"/>
      <c r="C5" s="3218" t="s">
        <v>2490</v>
      </c>
      <c r="D5" s="3215"/>
      <c r="E5" s="3212" t="s">
        <v>2491</v>
      </c>
      <c r="F5" s="3213"/>
      <c r="G5" s="3218" t="s">
        <v>2492</v>
      </c>
      <c r="H5" s="3215"/>
      <c r="I5" s="3218" t="s">
        <v>2493</v>
      </c>
      <c r="J5" s="3215"/>
      <c r="K5" s="609"/>
      <c r="L5" s="1129"/>
      <c r="M5" s="1130"/>
      <c r="N5" s="1130"/>
      <c r="O5" s="1130"/>
      <c r="P5" s="3228"/>
      <c r="Q5" s="3229"/>
      <c r="R5" s="3210"/>
      <c r="S5" s="3211"/>
      <c r="T5" s="3210"/>
      <c r="U5" s="3211"/>
      <c r="V5" s="3234"/>
      <c r="W5" s="3234"/>
      <c r="X5" s="1811"/>
      <c r="Y5" s="3210"/>
      <c r="Z5" s="3211"/>
      <c r="AA5" s="3204"/>
      <c r="AB5" s="3204"/>
      <c r="AC5" s="3204"/>
    </row>
    <row r="6" spans="1:29" ht="15.75" thickBot="1">
      <c r="A6" s="405"/>
      <c r="B6" s="406"/>
      <c r="C6" s="3216" t="s">
        <v>2494</v>
      </c>
      <c r="D6" s="3217"/>
      <c r="E6" s="3219" t="s">
        <v>2494</v>
      </c>
      <c r="F6" s="3220"/>
      <c r="G6" s="3216" t="s">
        <v>2494</v>
      </c>
      <c r="H6" s="3217"/>
      <c r="I6" s="3216" t="s">
        <v>2494</v>
      </c>
      <c r="J6" s="3217"/>
      <c r="K6" s="609" t="s">
        <v>2495</v>
      </c>
      <c r="L6" s="1129"/>
      <c r="M6" s="1130"/>
      <c r="N6" s="1130"/>
      <c r="O6" s="1130"/>
      <c r="P6" s="3230"/>
      <c r="Q6" s="3231"/>
      <c r="R6" s="3210"/>
      <c r="S6" s="3211"/>
      <c r="T6" s="3232"/>
      <c r="U6" s="3233"/>
      <c r="V6" s="3234"/>
      <c r="W6" s="3234"/>
      <c r="X6" s="1811"/>
      <c r="Y6" s="3232"/>
      <c r="Z6" s="3233"/>
      <c r="AA6" s="3205"/>
      <c r="AB6" s="3205"/>
      <c r="AC6" s="3205"/>
    </row>
    <row r="7" spans="1:29" s="117" customFormat="1" ht="15.75" thickBot="1">
      <c r="A7" s="407" t="s">
        <v>2496</v>
      </c>
      <c r="B7" s="408"/>
      <c r="C7" s="409">
        <f>'数据-取费表'!B2</f>
        <v>43452</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06" t="s">
        <v>2497</v>
      </c>
      <c r="Q7" s="3235"/>
      <c r="R7" s="769" t="s">
        <v>17</v>
      </c>
      <c r="S7" s="770">
        <f t="shared" ref="S7:S15" si="0">F7</f>
        <v>0</v>
      </c>
      <c r="T7" s="769" t="s">
        <v>17</v>
      </c>
      <c r="U7" s="770">
        <f t="shared" ref="U7:U15" si="1">H7</f>
        <v>0</v>
      </c>
      <c r="V7" s="769" t="s">
        <v>17</v>
      </c>
      <c r="W7" s="770">
        <f t="shared" ref="W7:W15" si="2">J7</f>
        <v>0</v>
      </c>
      <c r="X7" s="771"/>
      <c r="Y7" s="3206" t="s">
        <v>2497</v>
      </c>
      <c r="Z7" s="3207"/>
      <c r="AA7" s="772" t="e">
        <f>D7/F7</f>
        <v>#DIV/0!</v>
      </c>
      <c r="AB7" s="772" t="e">
        <f>D7/H7</f>
        <v>#DIV/0!</v>
      </c>
      <c r="AC7" s="772" t="e">
        <f>D7/J7</f>
        <v>#DIV/0!</v>
      </c>
    </row>
    <row r="8" spans="1:29" s="117" customFormat="1" ht="15.75" thickBot="1">
      <c r="A8" s="407" t="s">
        <v>2498</v>
      </c>
      <c r="B8" s="408"/>
      <c r="C8" s="413" t="s">
        <v>2499</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06" t="s">
        <v>2500</v>
      </c>
      <c r="Q8" s="3207"/>
      <c r="R8" s="769" t="s">
        <v>17</v>
      </c>
      <c r="S8" s="770">
        <f t="shared" si="0"/>
        <v>0</v>
      </c>
      <c r="T8" s="769" t="s">
        <v>17</v>
      </c>
      <c r="U8" s="770">
        <f t="shared" si="1"/>
        <v>0</v>
      </c>
      <c r="V8" s="769" t="s">
        <v>17</v>
      </c>
      <c r="W8" s="770">
        <f t="shared" si="2"/>
        <v>0</v>
      </c>
      <c r="X8" s="771"/>
      <c r="Y8" s="3206" t="s">
        <v>2500</v>
      </c>
      <c r="Z8" s="3207"/>
      <c r="AA8" s="772" t="e">
        <f t="shared" ref="AA8:AA40" si="3">D8/F8</f>
        <v>#DIV/0!</v>
      </c>
      <c r="AB8" s="772" t="e">
        <f t="shared" ref="AB8:AB40" si="4">D8/H8</f>
        <v>#DIV/0!</v>
      </c>
      <c r="AC8" s="772" t="e">
        <f t="shared" ref="AC8:AC40" si="5">D8/J8</f>
        <v>#DIV/0!</v>
      </c>
    </row>
    <row r="9" spans="1:29" s="117" customFormat="1">
      <c r="A9" s="414" t="s">
        <v>2501</v>
      </c>
      <c r="B9" s="71" t="s">
        <v>2502</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21" t="s">
        <v>2503</v>
      </c>
      <c r="Q9" s="1793" t="str">
        <f t="shared" ref="Q9:Q15" si="6">B9</f>
        <v>用途</v>
      </c>
      <c r="R9" s="769" t="s">
        <v>17</v>
      </c>
      <c r="S9" s="770">
        <f t="shared" si="0"/>
        <v>100</v>
      </c>
      <c r="T9" s="769" t="s">
        <v>17</v>
      </c>
      <c r="U9" s="770">
        <f t="shared" si="1"/>
        <v>100</v>
      </c>
      <c r="V9" s="769" t="s">
        <v>17</v>
      </c>
      <c r="W9" s="770">
        <f t="shared" si="2"/>
        <v>100</v>
      </c>
      <c r="X9" s="771"/>
      <c r="Y9" s="3083" t="s">
        <v>2504</v>
      </c>
      <c r="Z9" s="55" t="str">
        <f t="shared" ref="Z9:Z15" si="7">Q9</f>
        <v>用途</v>
      </c>
      <c r="AA9" s="772">
        <f t="shared" si="3"/>
        <v>1</v>
      </c>
      <c r="AB9" s="772">
        <f t="shared" si="4"/>
        <v>1</v>
      </c>
      <c r="AC9" s="772">
        <f t="shared" si="5"/>
        <v>1</v>
      </c>
    </row>
    <row r="10" spans="1:29" s="426" customFormat="1" ht="27">
      <c r="A10" s="420"/>
      <c r="B10" s="421" t="s">
        <v>2505</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21"/>
      <c r="Q10" s="1793" t="str">
        <f t="shared" si="6"/>
        <v>土地使用年限（年）</v>
      </c>
      <c r="R10" s="769" t="s">
        <v>17</v>
      </c>
      <c r="S10" s="770">
        <f t="shared" si="0"/>
        <v>100</v>
      </c>
      <c r="T10" s="769" t="s">
        <v>17</v>
      </c>
      <c r="U10" s="770">
        <f t="shared" si="1"/>
        <v>100</v>
      </c>
      <c r="V10" s="769" t="s">
        <v>17</v>
      </c>
      <c r="W10" s="770">
        <f t="shared" si="2"/>
        <v>100</v>
      </c>
      <c r="X10" s="771"/>
      <c r="Y10" s="3083"/>
      <c r="Z10" s="55" t="str">
        <f t="shared" si="7"/>
        <v>土地使用年限（年）</v>
      </c>
      <c r="AA10" s="772">
        <f t="shared" si="3"/>
        <v>1</v>
      </c>
      <c r="AB10" s="772">
        <f t="shared" si="4"/>
        <v>1</v>
      </c>
      <c r="AC10" s="772">
        <f t="shared" si="5"/>
        <v>1</v>
      </c>
    </row>
    <row r="11" spans="1:29" ht="15">
      <c r="A11" s="427"/>
      <c r="B11" s="421" t="s">
        <v>2506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21"/>
      <c r="Q11" s="1793" t="str">
        <f t="shared" si="6"/>
        <v>容积率</v>
      </c>
      <c r="R11" s="769" t="s">
        <v>17</v>
      </c>
      <c r="S11" s="770" t="e">
        <f t="shared" si="0"/>
        <v>#N/A</v>
      </c>
      <c r="T11" s="769" t="s">
        <v>17</v>
      </c>
      <c r="U11" s="770" t="e">
        <f t="shared" si="1"/>
        <v>#N/A</v>
      </c>
      <c r="V11" s="769" t="s">
        <v>17</v>
      </c>
      <c r="W11" s="770" t="e">
        <f t="shared" si="2"/>
        <v>#N/A</v>
      </c>
      <c r="X11" s="771"/>
      <c r="Y11" s="3083"/>
      <c r="Z11" s="55" t="str">
        <f t="shared" si="7"/>
        <v>容积率</v>
      </c>
      <c r="AA11" s="772" t="e">
        <f t="shared" si="3"/>
        <v>#N/A</v>
      </c>
      <c r="AB11" s="772" t="e">
        <f t="shared" si="4"/>
        <v>#N/A</v>
      </c>
      <c r="AC11" s="772" t="e">
        <f t="shared" si="5"/>
        <v>#N/A</v>
      </c>
    </row>
    <row r="12" spans="1:29" s="117" customFormat="1" ht="15">
      <c r="A12" s="430"/>
      <c r="B12" s="2595">
        <v>111</v>
      </c>
      <c r="C12" s="431"/>
      <c r="D12" s="432">
        <v>100</v>
      </c>
      <c r="E12" s="433"/>
      <c r="F12" s="135">
        <f>SUMIF(64:64,E12,65:65)-SUMIF(64:64,C12,65:65)+100</f>
        <v>100</v>
      </c>
      <c r="G12" s="2686"/>
      <c r="H12" s="135">
        <f>SUMIF(64:64,G12,65:65)-SUMIF(64:64,C12,65:65)+100</f>
        <v>100</v>
      </c>
      <c r="I12" s="468"/>
      <c r="J12" s="135">
        <f>SUMIF(64:64,I12,65:65)-SUMIF(64:64,C12,65:65)+100</f>
        <v>100</v>
      </c>
      <c r="K12" s="612"/>
      <c r="L12" s="1131"/>
      <c r="M12" s="1132"/>
      <c r="N12" s="1132"/>
      <c r="O12" s="1133"/>
      <c r="P12" s="3221"/>
      <c r="Q12" s="1793">
        <f t="shared" si="6"/>
        <v>111</v>
      </c>
      <c r="R12" s="769" t="s">
        <v>17</v>
      </c>
      <c r="S12" s="770">
        <f t="shared" si="0"/>
        <v>100</v>
      </c>
      <c r="T12" s="769" t="s">
        <v>17</v>
      </c>
      <c r="U12" s="770">
        <f t="shared" si="1"/>
        <v>100</v>
      </c>
      <c r="V12" s="769" t="s">
        <v>17</v>
      </c>
      <c r="W12" s="770">
        <f t="shared" si="2"/>
        <v>100</v>
      </c>
      <c r="X12" s="771"/>
      <c r="Y12" s="3083"/>
      <c r="Z12" s="55">
        <f t="shared" si="7"/>
        <v>111</v>
      </c>
      <c r="AA12" s="772">
        <f>D12/F12</f>
        <v>1</v>
      </c>
      <c r="AB12" s="772">
        <f>D12/H12</f>
        <v>1</v>
      </c>
      <c r="AC12" s="772">
        <f>D12/J12</f>
        <v>1</v>
      </c>
    </row>
    <row r="13" spans="1:29" ht="15">
      <c r="A13" s="427"/>
      <c r="B13" s="2595">
        <v>111</v>
      </c>
      <c r="C13" s="433"/>
      <c r="D13" s="434">
        <v>100</v>
      </c>
      <c r="E13" s="433"/>
      <c r="F13" s="135">
        <f>SUMIF(66:66,E13,67:67)-SUMIF(66:66,C13,67:67)+100</f>
        <v>100</v>
      </c>
      <c r="G13" s="2686"/>
      <c r="H13" s="434">
        <f>SUMIF(66:66,G13,67:67)-SUMIF(66:66,C13,67:67)+100</f>
        <v>100</v>
      </c>
      <c r="I13" s="468"/>
      <c r="J13" s="434">
        <f>SUMIF(66:66,I13,67:67)-SUMIF(66:66,C13,67:67)+100</f>
        <v>100</v>
      </c>
      <c r="K13" s="612"/>
      <c r="L13" s="1139"/>
      <c r="M13" s="1130"/>
      <c r="N13" s="1130"/>
      <c r="O13" s="1138"/>
      <c r="P13" s="3221"/>
      <c r="Q13" s="1793">
        <f t="shared" si="6"/>
        <v>111</v>
      </c>
      <c r="R13" s="769" t="s">
        <v>17</v>
      </c>
      <c r="S13" s="770">
        <f t="shared" si="0"/>
        <v>100</v>
      </c>
      <c r="T13" s="769" t="s">
        <v>17</v>
      </c>
      <c r="U13" s="770">
        <f t="shared" si="1"/>
        <v>100</v>
      </c>
      <c r="V13" s="769" t="s">
        <v>17</v>
      </c>
      <c r="W13" s="770">
        <f t="shared" si="2"/>
        <v>100</v>
      </c>
      <c r="X13" s="771"/>
      <c r="Y13" s="3083"/>
      <c r="Z13" s="55">
        <f t="shared" si="7"/>
        <v>111</v>
      </c>
      <c r="AA13" s="772">
        <f t="shared" si="3"/>
        <v>1</v>
      </c>
      <c r="AB13" s="772">
        <f t="shared" si="4"/>
        <v>1</v>
      </c>
      <c r="AC13" s="772">
        <f t="shared" si="5"/>
        <v>1</v>
      </c>
    </row>
    <row r="14" spans="1:29" ht="15.75" thickBot="1">
      <c r="A14" s="435"/>
      <c r="B14" s="2597">
        <v>111</v>
      </c>
      <c r="C14" s="436"/>
      <c r="D14" s="437">
        <v>100</v>
      </c>
      <c r="E14" s="436"/>
      <c r="F14" s="437">
        <f>SUMIF(68:68,E14,69:69)-SUMIF(68:68,C14,69:69)+100</f>
        <v>100</v>
      </c>
      <c r="G14" s="2686"/>
      <c r="H14" s="437">
        <f>SUMIF(68:68,G14,69:69)-SUMIF(68:68,C14,69:69)+100</f>
        <v>100</v>
      </c>
      <c r="I14" s="468"/>
      <c r="J14" s="437">
        <f>SUMIF(68:68,I14,69:69)-SUMIF(68:68,C14,69:69)+100</f>
        <v>100</v>
      </c>
      <c r="K14" s="612"/>
      <c r="L14" s="1139"/>
      <c r="M14" s="1130"/>
      <c r="N14" s="1130"/>
      <c r="O14" s="1138"/>
      <c r="P14" s="3221"/>
      <c r="Q14" s="1793">
        <f t="shared" si="6"/>
        <v>111</v>
      </c>
      <c r="R14" s="769" t="s">
        <v>17</v>
      </c>
      <c r="S14" s="770">
        <f t="shared" si="0"/>
        <v>100</v>
      </c>
      <c r="T14" s="769" t="s">
        <v>17</v>
      </c>
      <c r="U14" s="770">
        <f t="shared" si="1"/>
        <v>100</v>
      </c>
      <c r="V14" s="769" t="s">
        <v>17</v>
      </c>
      <c r="W14" s="770">
        <f t="shared" si="2"/>
        <v>100</v>
      </c>
      <c r="X14" s="771"/>
      <c r="Y14" s="3083"/>
      <c r="Z14" s="55">
        <f t="shared" si="7"/>
        <v>111</v>
      </c>
      <c r="AA14" s="772">
        <f t="shared" si="3"/>
        <v>1</v>
      </c>
      <c r="AB14" s="772">
        <f t="shared" si="4"/>
        <v>1</v>
      </c>
      <c r="AC14" s="772">
        <f t="shared" si="5"/>
        <v>1</v>
      </c>
    </row>
    <row r="15" spans="1:29" ht="15">
      <c r="A15" s="439" t="s">
        <v>2507</v>
      </c>
      <c r="B15" s="69" t="s">
        <v>2650</v>
      </c>
      <c r="C15" s="2687">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36" t="s">
        <v>2508</v>
      </c>
      <c r="Q15" s="1808" t="str">
        <f t="shared" si="6"/>
        <v>产业集聚程度</v>
      </c>
      <c r="R15" s="773" t="s">
        <v>17</v>
      </c>
      <c r="S15" s="774">
        <f t="shared" si="0"/>
        <v>100</v>
      </c>
      <c r="T15" s="773" t="s">
        <v>17</v>
      </c>
      <c r="U15" s="774">
        <f t="shared" si="1"/>
        <v>100</v>
      </c>
      <c r="V15" s="773" t="s">
        <v>17</v>
      </c>
      <c r="W15" s="774">
        <f t="shared" si="2"/>
        <v>100</v>
      </c>
      <c r="X15" s="1811"/>
      <c r="Y15" s="3236" t="s">
        <v>2508</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8"/>
      <c r="P16" s="3237"/>
      <c r="Q16" s="1808"/>
      <c r="R16" s="773"/>
      <c r="S16" s="774"/>
      <c r="T16" s="773"/>
      <c r="U16" s="774"/>
      <c r="V16" s="773"/>
      <c r="W16" s="774"/>
      <c r="X16" s="1811"/>
      <c r="Y16" s="3237"/>
      <c r="Z16" s="1812"/>
      <c r="AA16" s="1809">
        <v>1</v>
      </c>
      <c r="AB16" s="1809">
        <v>1</v>
      </c>
      <c r="AC16" s="1809">
        <v>1</v>
      </c>
    </row>
    <row r="17" spans="1:29" ht="15">
      <c r="A17" s="427"/>
      <c r="B17" s="450" t="s">
        <v>2049</v>
      </c>
      <c r="C17" s="2602">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37"/>
      <c r="Q17" s="1808" t="str">
        <f>B17</f>
        <v>交通便捷度</v>
      </c>
      <c r="R17" s="773" t="s">
        <v>17</v>
      </c>
      <c r="S17" s="774">
        <f>F17</f>
        <v>100</v>
      </c>
      <c r="T17" s="773" t="s">
        <v>17</v>
      </c>
      <c r="U17" s="774">
        <f>H17</f>
        <v>100</v>
      </c>
      <c r="V17" s="773" t="s">
        <v>17</v>
      </c>
      <c r="W17" s="774">
        <f>J17</f>
        <v>100</v>
      </c>
      <c r="X17" s="1811"/>
      <c r="Y17" s="3237"/>
      <c r="Z17" s="1812" t="str">
        <f>Q17</f>
        <v>交通便捷度</v>
      </c>
      <c r="AA17" s="1809">
        <f t="shared" si="3"/>
        <v>1</v>
      </c>
      <c r="AB17" s="1809">
        <f t="shared" si="4"/>
        <v>1</v>
      </c>
      <c r="AC17" s="1809">
        <f t="shared" si="5"/>
        <v>1</v>
      </c>
    </row>
    <row r="18" spans="1:29" ht="15">
      <c r="A18" s="427"/>
      <c r="B18" s="455"/>
      <c r="C18" s="2603"/>
      <c r="D18" s="449"/>
      <c r="E18" s="2605"/>
      <c r="F18" s="452"/>
      <c r="G18" s="2604"/>
      <c r="H18" s="447"/>
      <c r="I18" s="2605"/>
      <c r="J18" s="447"/>
      <c r="K18" s="614"/>
      <c r="L18" s="1139"/>
      <c r="M18" s="1130"/>
      <c r="N18" s="1130"/>
      <c r="O18" s="1138"/>
      <c r="P18" s="3237"/>
      <c r="Q18" s="1808"/>
      <c r="R18" s="773"/>
      <c r="S18" s="774"/>
      <c r="T18" s="773"/>
      <c r="U18" s="774"/>
      <c r="V18" s="773"/>
      <c r="W18" s="774"/>
      <c r="X18" s="1811"/>
      <c r="Y18" s="3237"/>
      <c r="Z18" s="1812"/>
      <c r="AA18" s="1809">
        <v>1</v>
      </c>
      <c r="AB18" s="1809">
        <v>1</v>
      </c>
      <c r="AC18" s="1809">
        <v>1</v>
      </c>
    </row>
    <row r="19" spans="1:29" ht="15">
      <c r="A19" s="427"/>
      <c r="B19" s="450" t="s">
        <v>2635</v>
      </c>
      <c r="C19" s="2602">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37"/>
      <c r="Q19" s="1808" t="str">
        <f>B19</f>
        <v>公共配套设施</v>
      </c>
      <c r="R19" s="773" t="s">
        <v>17</v>
      </c>
      <c r="S19" s="774">
        <f>F19</f>
        <v>100</v>
      </c>
      <c r="T19" s="773" t="s">
        <v>17</v>
      </c>
      <c r="U19" s="774">
        <f>H19</f>
        <v>100</v>
      </c>
      <c r="V19" s="773" t="s">
        <v>17</v>
      </c>
      <c r="W19" s="774">
        <f>J19</f>
        <v>100</v>
      </c>
      <c r="X19" s="1811"/>
      <c r="Y19" s="3237"/>
      <c r="Z19" s="1812" t="str">
        <f>Q19</f>
        <v>公共配套设施</v>
      </c>
      <c r="AA19" s="1809">
        <f t="shared" si="3"/>
        <v>1</v>
      </c>
      <c r="AB19" s="1809">
        <f t="shared" si="4"/>
        <v>1</v>
      </c>
      <c r="AC19" s="1809">
        <f t="shared" si="5"/>
        <v>1</v>
      </c>
    </row>
    <row r="20" spans="1:29" ht="15">
      <c r="A20" s="427"/>
      <c r="B20" s="455"/>
      <c r="C20" s="446"/>
      <c r="D20" s="447"/>
      <c r="E20" s="2600"/>
      <c r="F20" s="448"/>
      <c r="G20" s="2599"/>
      <c r="H20" s="447"/>
      <c r="I20" s="2600"/>
      <c r="J20" s="447"/>
      <c r="K20" s="614"/>
      <c r="L20" s="1139"/>
      <c r="M20" s="1130"/>
      <c r="N20" s="1130"/>
      <c r="O20" s="1138"/>
      <c r="P20" s="3237"/>
      <c r="Q20" s="1808"/>
      <c r="R20" s="773"/>
      <c r="S20" s="774"/>
      <c r="T20" s="773"/>
      <c r="U20" s="774"/>
      <c r="V20" s="773"/>
      <c r="W20" s="774"/>
      <c r="X20" s="1811"/>
      <c r="Y20" s="3237"/>
      <c r="Z20" s="1812"/>
      <c r="AA20" s="1809">
        <v>1</v>
      </c>
      <c r="AB20" s="1809">
        <v>1</v>
      </c>
      <c r="AC20" s="1809">
        <v>1</v>
      </c>
    </row>
    <row r="21" spans="1:29" ht="15">
      <c r="A21" s="427"/>
      <c r="B21" s="1383" t="s">
        <v>2636</v>
      </c>
      <c r="C21" s="2602">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37"/>
      <c r="Q21" s="1808" t="str">
        <f>B21</f>
        <v>基础设施水平</v>
      </c>
      <c r="R21" s="773" t="s">
        <v>17</v>
      </c>
      <c r="S21" s="774">
        <f>F21</f>
        <v>100</v>
      </c>
      <c r="T21" s="773" t="s">
        <v>17</v>
      </c>
      <c r="U21" s="774">
        <f>H21</f>
        <v>100</v>
      </c>
      <c r="V21" s="773" t="s">
        <v>17</v>
      </c>
      <c r="W21" s="774">
        <f>J21</f>
        <v>100</v>
      </c>
      <c r="X21" s="1811"/>
      <c r="Y21" s="3237"/>
      <c r="Z21" s="1812" t="str">
        <f>Q21</f>
        <v>基础设施水平</v>
      </c>
      <c r="AA21" s="1809">
        <f t="shared" ref="AA21" si="8">D21/F21</f>
        <v>1</v>
      </c>
      <c r="AB21" s="1809">
        <f t="shared" ref="AB21" si="9">D21/H21</f>
        <v>1</v>
      </c>
      <c r="AC21" s="1809">
        <f t="shared" ref="AC21" si="10">D21/J21</f>
        <v>1</v>
      </c>
    </row>
    <row r="22" spans="1:29" ht="15">
      <c r="A22" s="427"/>
      <c r="B22" s="1383"/>
      <c r="C22" s="2603"/>
      <c r="D22" s="447"/>
      <c r="E22" s="446"/>
      <c r="F22" s="448"/>
      <c r="G22" s="446"/>
      <c r="H22" s="447"/>
      <c r="I22" s="446"/>
      <c r="J22" s="447"/>
      <c r="K22" s="1382"/>
      <c r="L22" s="1139"/>
      <c r="M22" s="1130"/>
      <c r="N22" s="1130"/>
      <c r="O22" s="1138"/>
      <c r="P22" s="3237"/>
      <c r="Q22" s="1808"/>
      <c r="R22" s="773"/>
      <c r="S22" s="774"/>
      <c r="T22" s="773"/>
      <c r="U22" s="774"/>
      <c r="V22" s="773"/>
      <c r="W22" s="774"/>
      <c r="X22" s="1811"/>
      <c r="Y22" s="3237"/>
      <c r="Z22" s="1812"/>
      <c r="AA22" s="1809">
        <v>1</v>
      </c>
      <c r="AB22" s="1809">
        <v>1</v>
      </c>
      <c r="AC22" s="1809">
        <v>1</v>
      </c>
    </row>
    <row r="23" spans="1:29" ht="15">
      <c r="A23" s="427"/>
      <c r="B23" s="450" t="s">
        <v>2637</v>
      </c>
      <c r="C23" s="2602">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37"/>
      <c r="Q23" s="1808" t="str">
        <f>B23</f>
        <v>环境质量</v>
      </c>
      <c r="R23" s="773" t="s">
        <v>17</v>
      </c>
      <c r="S23" s="774">
        <f>F23</f>
        <v>100</v>
      </c>
      <c r="T23" s="773" t="s">
        <v>17</v>
      </c>
      <c r="U23" s="774">
        <f>H23</f>
        <v>100</v>
      </c>
      <c r="V23" s="773" t="s">
        <v>17</v>
      </c>
      <c r="W23" s="774">
        <f>J23</f>
        <v>100</v>
      </c>
      <c r="X23" s="1811"/>
      <c r="Y23" s="3237"/>
      <c r="Z23" s="1812" t="str">
        <f>Q23</f>
        <v>环境质量</v>
      </c>
      <c r="AA23" s="1809">
        <f t="shared" si="3"/>
        <v>1</v>
      </c>
      <c r="AB23" s="1809">
        <f t="shared" si="4"/>
        <v>1</v>
      </c>
      <c r="AC23" s="1809">
        <f t="shared" si="5"/>
        <v>1</v>
      </c>
    </row>
    <row r="24" spans="1:29" ht="15">
      <c r="A24" s="427"/>
      <c r="B24" s="1383"/>
      <c r="C24" s="446"/>
      <c r="D24" s="447"/>
      <c r="E24" s="2600"/>
      <c r="F24" s="448"/>
      <c r="G24" s="2599"/>
      <c r="H24" s="447"/>
      <c r="I24" s="2600"/>
      <c r="J24" s="447"/>
      <c r="K24" s="614"/>
      <c r="L24" s="1139"/>
      <c r="M24" s="1130"/>
      <c r="N24" s="1130"/>
      <c r="O24" s="1138"/>
      <c r="P24" s="3237"/>
      <c r="Q24" s="1808"/>
      <c r="R24" s="773"/>
      <c r="S24" s="774"/>
      <c r="T24" s="773"/>
      <c r="U24" s="774"/>
      <c r="V24" s="773"/>
      <c r="W24" s="774"/>
      <c r="X24" s="1811"/>
      <c r="Y24" s="3237"/>
      <c r="Z24" s="1812"/>
      <c r="AA24" s="1809">
        <v>1</v>
      </c>
      <c r="AB24" s="1809">
        <v>1</v>
      </c>
      <c r="AC24" s="1809">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37"/>
      <c r="Q25" s="1808">
        <f>B25</f>
        <v>111</v>
      </c>
      <c r="R25" s="773" t="s">
        <v>17</v>
      </c>
      <c r="S25" s="774">
        <f>F25</f>
        <v>100</v>
      </c>
      <c r="T25" s="773" t="s">
        <v>17</v>
      </c>
      <c r="U25" s="774">
        <f>H25</f>
        <v>100</v>
      </c>
      <c r="V25" s="773" t="s">
        <v>17</v>
      </c>
      <c r="W25" s="774">
        <f>J25</f>
        <v>100</v>
      </c>
      <c r="X25" s="1811"/>
      <c r="Y25" s="3237"/>
      <c r="Z25" s="1812">
        <f>Q25</f>
        <v>111</v>
      </c>
      <c r="AA25" s="1809">
        <f t="shared" si="3"/>
        <v>1</v>
      </c>
      <c r="AB25" s="1809">
        <f t="shared" si="4"/>
        <v>1</v>
      </c>
      <c r="AC25" s="1809">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37"/>
      <c r="Q26" s="1808">
        <f t="shared" ref="Q26:Q40" si="11">B26</f>
        <v>111</v>
      </c>
      <c r="R26" s="773" t="s">
        <v>17</v>
      </c>
      <c r="S26" s="774">
        <f>F26</f>
        <v>100</v>
      </c>
      <c r="T26" s="773" t="s">
        <v>17</v>
      </c>
      <c r="U26" s="774">
        <f>H26</f>
        <v>100</v>
      </c>
      <c r="V26" s="773" t="s">
        <v>17</v>
      </c>
      <c r="W26" s="774">
        <f>J26</f>
        <v>100</v>
      </c>
      <c r="X26" s="1811"/>
      <c r="Y26" s="3237"/>
      <c r="Z26" s="1812">
        <f>Q26</f>
        <v>111</v>
      </c>
      <c r="AA26" s="1809">
        <f t="shared" si="3"/>
        <v>1</v>
      </c>
      <c r="AB26" s="1809">
        <f t="shared" si="4"/>
        <v>1</v>
      </c>
      <c r="AC26" s="1809">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37"/>
      <c r="Q27" s="1793">
        <f t="shared" si="11"/>
        <v>111</v>
      </c>
      <c r="R27" s="769" t="s">
        <v>17</v>
      </c>
      <c r="S27" s="770">
        <f>F27</f>
        <v>100</v>
      </c>
      <c r="T27" s="769" t="s">
        <v>17</v>
      </c>
      <c r="U27" s="770">
        <f>H27</f>
        <v>100</v>
      </c>
      <c r="V27" s="769" t="s">
        <v>17</v>
      </c>
      <c r="W27" s="770">
        <f>J27</f>
        <v>100</v>
      </c>
      <c r="X27" s="771"/>
      <c r="Y27" s="3237"/>
      <c r="Z27" s="55">
        <f>Q27</f>
        <v>111</v>
      </c>
      <c r="AA27" s="1809">
        <f>D27/F27</f>
        <v>1</v>
      </c>
      <c r="AB27" s="1809">
        <f>D27/H27</f>
        <v>1</v>
      </c>
      <c r="AC27" s="1809">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37"/>
      <c r="Q28" s="1808">
        <f t="shared" si="11"/>
        <v>111</v>
      </c>
      <c r="R28" s="773" t="s">
        <v>17</v>
      </c>
      <c r="S28" s="774">
        <f t="shared" ref="S28:S40" si="12">F28</f>
        <v>100</v>
      </c>
      <c r="T28" s="773" t="s">
        <v>17</v>
      </c>
      <c r="U28" s="774">
        <f t="shared" ref="U28:U40" si="13">H28</f>
        <v>100</v>
      </c>
      <c r="V28" s="773" t="s">
        <v>17</v>
      </c>
      <c r="W28" s="774">
        <f t="shared" ref="W28:W40" si="14">J28</f>
        <v>100</v>
      </c>
      <c r="X28" s="1811"/>
      <c r="Y28" s="3237"/>
      <c r="Z28" s="1812">
        <f t="shared" ref="Z28:Z40" si="15">Q28</f>
        <v>111</v>
      </c>
      <c r="AA28" s="1809">
        <f t="shared" si="3"/>
        <v>1</v>
      </c>
      <c r="AB28" s="1809">
        <f t="shared" si="4"/>
        <v>1</v>
      </c>
      <c r="AC28" s="1809">
        <f t="shared" si="5"/>
        <v>1</v>
      </c>
    </row>
    <row r="29" spans="1:29" ht="15">
      <c r="A29" s="465" t="s">
        <v>2511</v>
      </c>
      <c r="B29" s="71" t="s">
        <v>2640</v>
      </c>
      <c r="C29" s="2673"/>
      <c r="D29" s="466">
        <v>100</v>
      </c>
      <c r="E29" s="2673"/>
      <c r="F29" s="460">
        <f>SUMIF(88:88,E29,89:89)-SUMIF(88:88,C29,89:89)+100</f>
        <v>100</v>
      </c>
      <c r="G29" s="2673"/>
      <c r="H29" s="434">
        <f>SUMIF(88:88,G29,89:89)-SUMIF(88:88,C29,89:89)+100</f>
        <v>100</v>
      </c>
      <c r="I29" s="2673"/>
      <c r="J29" s="466">
        <f>SUMIF(88:88,I29,89:89)-SUMIF(88:88,C29,89:89)+100</f>
        <v>100</v>
      </c>
      <c r="K29" s="611"/>
      <c r="L29" s="1139"/>
      <c r="M29" s="1130"/>
      <c r="N29" s="1130"/>
      <c r="O29" s="1138"/>
      <c r="P29" s="3238" t="s">
        <v>2513</v>
      </c>
      <c r="Q29" s="1808" t="str">
        <f t="shared" si="11"/>
        <v>建筑类型</v>
      </c>
      <c r="R29" s="773" t="s">
        <v>17</v>
      </c>
      <c r="S29" s="774">
        <f t="shared" si="12"/>
        <v>100</v>
      </c>
      <c r="T29" s="773" t="s">
        <v>17</v>
      </c>
      <c r="U29" s="774">
        <f t="shared" si="13"/>
        <v>100</v>
      </c>
      <c r="V29" s="773" t="s">
        <v>17</v>
      </c>
      <c r="W29" s="774">
        <f t="shared" si="14"/>
        <v>100</v>
      </c>
      <c r="X29" s="1811"/>
      <c r="Y29" s="3239" t="s">
        <v>2513</v>
      </c>
      <c r="Z29" s="1812" t="str">
        <f t="shared" si="15"/>
        <v>建筑类型</v>
      </c>
      <c r="AA29" s="1809">
        <f t="shared" si="3"/>
        <v>1</v>
      </c>
      <c r="AB29" s="1809">
        <f t="shared" si="4"/>
        <v>1</v>
      </c>
      <c r="AC29" s="1809">
        <f t="shared" si="5"/>
        <v>1</v>
      </c>
    </row>
    <row r="30" spans="1:29" s="470" customFormat="1" ht="15">
      <c r="A30" s="467"/>
      <c r="B30" s="421" t="s">
        <v>2514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39"/>
      <c r="Q30" s="775" t="str">
        <f t="shared" si="11"/>
        <v>项目建筑规模</v>
      </c>
      <c r="R30" s="776" t="s">
        <v>17</v>
      </c>
      <c r="S30" s="777" t="e">
        <f t="shared" si="12"/>
        <v>#N/A</v>
      </c>
      <c r="T30" s="776" t="s">
        <v>17</v>
      </c>
      <c r="U30" s="777" t="e">
        <f t="shared" si="13"/>
        <v>#N/A</v>
      </c>
      <c r="V30" s="776" t="s">
        <v>17</v>
      </c>
      <c r="W30" s="777" t="e">
        <f t="shared" si="14"/>
        <v>#N/A</v>
      </c>
      <c r="X30" s="778"/>
      <c r="Y30" s="3239"/>
      <c r="Z30" s="779" t="str">
        <f t="shared" si="15"/>
        <v>项目建筑规模</v>
      </c>
      <c r="AA30" s="1809" t="e">
        <f t="shared" si="3"/>
        <v>#N/A</v>
      </c>
      <c r="AB30" s="1809" t="e">
        <f t="shared" si="4"/>
        <v>#N/A</v>
      </c>
      <c r="AC30" s="1809" t="e">
        <f t="shared" si="5"/>
        <v>#N/A</v>
      </c>
    </row>
    <row r="31" spans="1:29" ht="15">
      <c r="A31" s="471"/>
      <c r="B31" s="421" t="s">
        <v>2515</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39"/>
      <c r="Q31" s="1808" t="str">
        <f t="shared" si="11"/>
        <v>建筑结构</v>
      </c>
      <c r="R31" s="773" t="s">
        <v>17</v>
      </c>
      <c r="S31" s="774">
        <f t="shared" si="12"/>
        <v>100</v>
      </c>
      <c r="T31" s="773" t="s">
        <v>17</v>
      </c>
      <c r="U31" s="774">
        <f t="shared" si="13"/>
        <v>100</v>
      </c>
      <c r="V31" s="773" t="s">
        <v>17</v>
      </c>
      <c r="W31" s="774">
        <f t="shared" si="14"/>
        <v>100</v>
      </c>
      <c r="X31" s="1811"/>
      <c r="Y31" s="3239"/>
      <c r="Z31" s="1812" t="str">
        <f t="shared" si="15"/>
        <v>建筑结构</v>
      </c>
      <c r="AA31" s="1809">
        <f t="shared" si="3"/>
        <v>1</v>
      </c>
      <c r="AB31" s="1809">
        <f t="shared" si="4"/>
        <v>1</v>
      </c>
      <c r="AC31" s="1809">
        <f t="shared" si="5"/>
        <v>1</v>
      </c>
    </row>
    <row r="32" spans="1:29" ht="15">
      <c r="A32" s="471"/>
      <c r="B32" s="421" t="s">
        <v>2608</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39"/>
      <c r="Q32" s="1808" t="str">
        <f t="shared" si="11"/>
        <v>公共部分装修</v>
      </c>
      <c r="R32" s="773" t="s">
        <v>17</v>
      </c>
      <c r="S32" s="774">
        <f t="shared" si="12"/>
        <v>100</v>
      </c>
      <c r="T32" s="773" t="s">
        <v>17</v>
      </c>
      <c r="U32" s="774">
        <f t="shared" si="13"/>
        <v>100</v>
      </c>
      <c r="V32" s="773" t="s">
        <v>17</v>
      </c>
      <c r="W32" s="774">
        <f t="shared" si="14"/>
        <v>100</v>
      </c>
      <c r="X32" s="1811"/>
      <c r="Y32" s="3239"/>
      <c r="Z32" s="1812" t="str">
        <f t="shared" si="15"/>
        <v>公共部分装修</v>
      </c>
      <c r="AA32" s="1809">
        <f t="shared" si="3"/>
        <v>1</v>
      </c>
      <c r="AB32" s="1809">
        <f t="shared" si="4"/>
        <v>1</v>
      </c>
      <c r="AC32" s="1809">
        <f t="shared" si="5"/>
        <v>1</v>
      </c>
    </row>
    <row r="33" spans="1:29" ht="15">
      <c r="A33" s="471"/>
      <c r="B33" s="421" t="s">
        <v>2609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39"/>
      <c r="Q33" s="1808" t="str">
        <f t="shared" si="11"/>
        <v>成新度</v>
      </c>
      <c r="R33" s="773" t="s">
        <v>17</v>
      </c>
      <c r="S33" s="774" t="e">
        <f t="shared" si="12"/>
        <v>#N/A</v>
      </c>
      <c r="T33" s="773" t="s">
        <v>17</v>
      </c>
      <c r="U33" s="774" t="e">
        <f t="shared" si="13"/>
        <v>#N/A</v>
      </c>
      <c r="V33" s="773" t="s">
        <v>17</v>
      </c>
      <c r="W33" s="774" t="e">
        <f t="shared" si="14"/>
        <v>#N/A</v>
      </c>
      <c r="X33" s="1811"/>
      <c r="Y33" s="3239"/>
      <c r="Z33" s="1812" t="str">
        <f t="shared" si="15"/>
        <v>成新度</v>
      </c>
      <c r="AA33" s="1809" t="e">
        <f t="shared" si="3"/>
        <v>#N/A</v>
      </c>
      <c r="AB33" s="1809" t="e">
        <f t="shared" si="4"/>
        <v>#N/A</v>
      </c>
      <c r="AC33" s="1809" t="e">
        <f t="shared" si="5"/>
        <v>#N/A</v>
      </c>
    </row>
    <row r="34" spans="1:29" s="117" customFormat="1" ht="15">
      <c r="A34" s="472"/>
      <c r="B34" s="421" t="s">
        <v>2642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39"/>
      <c r="Q34" s="1793" t="str">
        <f t="shared" si="11"/>
        <v>物业管理</v>
      </c>
      <c r="R34" s="769" t="s">
        <v>17</v>
      </c>
      <c r="S34" s="770">
        <f t="shared" si="12"/>
        <v>100</v>
      </c>
      <c r="T34" s="769" t="s">
        <v>17</v>
      </c>
      <c r="U34" s="770">
        <f t="shared" si="13"/>
        <v>100</v>
      </c>
      <c r="V34" s="769" t="s">
        <v>17</v>
      </c>
      <c r="W34" s="770">
        <f t="shared" si="14"/>
        <v>100</v>
      </c>
      <c r="X34" s="771"/>
      <c r="Y34" s="3239"/>
      <c r="Z34" s="55" t="str">
        <f t="shared" si="15"/>
        <v>物业管理</v>
      </c>
      <c r="AA34" s="772">
        <f t="shared" si="3"/>
        <v>1</v>
      </c>
      <c r="AB34" s="772">
        <f t="shared" si="4"/>
        <v>1</v>
      </c>
      <c r="AC34" s="772">
        <f t="shared" si="5"/>
        <v>1</v>
      </c>
    </row>
    <row r="35" spans="1:29" ht="15">
      <c r="A35" s="471"/>
      <c r="B35" s="421" t="s">
        <v>2610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39" t="s">
        <v>2513</v>
      </c>
      <c r="Q35" s="1808" t="str">
        <f t="shared" si="11"/>
        <v>市政基础设施</v>
      </c>
      <c r="R35" s="773" t="s">
        <v>17</v>
      </c>
      <c r="S35" s="774">
        <f t="shared" si="12"/>
        <v>100</v>
      </c>
      <c r="T35" s="773" t="s">
        <v>17</v>
      </c>
      <c r="U35" s="774">
        <f t="shared" si="13"/>
        <v>100</v>
      </c>
      <c r="V35" s="773" t="s">
        <v>17</v>
      </c>
      <c r="W35" s="774">
        <f t="shared" si="14"/>
        <v>100</v>
      </c>
      <c r="X35" s="1811"/>
      <c r="Y35" s="3239" t="s">
        <v>2513</v>
      </c>
      <c r="Z35" s="1812" t="str">
        <f t="shared" si="15"/>
        <v>市政基础设施</v>
      </c>
      <c r="AA35" s="1809">
        <f t="shared" si="3"/>
        <v>1</v>
      </c>
      <c r="AB35" s="1809">
        <f t="shared" si="4"/>
        <v>1</v>
      </c>
      <c r="AC35" s="1809">
        <f t="shared" si="5"/>
        <v>1</v>
      </c>
    </row>
    <row r="36" spans="1:29" ht="15">
      <c r="A36" s="471"/>
      <c r="B36" s="421" t="s">
        <v>2615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39"/>
      <c r="Q36" s="1808" t="str">
        <f t="shared" si="11"/>
        <v>内部装修</v>
      </c>
      <c r="R36" s="773" t="s">
        <v>17</v>
      </c>
      <c r="S36" s="774">
        <f t="shared" si="12"/>
        <v>100</v>
      </c>
      <c r="T36" s="773" t="s">
        <v>17</v>
      </c>
      <c r="U36" s="774">
        <f t="shared" si="13"/>
        <v>100</v>
      </c>
      <c r="V36" s="773" t="s">
        <v>17</v>
      </c>
      <c r="W36" s="774">
        <f t="shared" si="14"/>
        <v>100</v>
      </c>
      <c r="X36" s="1811"/>
      <c r="Y36" s="3239"/>
      <c r="Z36" s="1812" t="str">
        <f t="shared" si="15"/>
        <v>内部装修</v>
      </c>
      <c r="AA36" s="1809">
        <f t="shared" si="3"/>
        <v>1</v>
      </c>
      <c r="AB36" s="1809">
        <f t="shared" si="4"/>
        <v>1</v>
      </c>
      <c r="AC36" s="1809">
        <f t="shared" si="5"/>
        <v>1</v>
      </c>
    </row>
    <row r="37" spans="1:29" ht="15">
      <c r="A37" s="471"/>
      <c r="B37" s="421" t="s">
        <v>2651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39"/>
      <c r="Q37" s="1808" t="str">
        <f t="shared" si="11"/>
        <v>内部装修状况</v>
      </c>
      <c r="R37" s="773" t="s">
        <v>17</v>
      </c>
      <c r="S37" s="774">
        <f t="shared" si="12"/>
        <v>100</v>
      </c>
      <c r="T37" s="773" t="s">
        <v>17</v>
      </c>
      <c r="U37" s="774">
        <f t="shared" si="13"/>
        <v>100</v>
      </c>
      <c r="V37" s="773" t="s">
        <v>17</v>
      </c>
      <c r="W37" s="774">
        <f t="shared" si="14"/>
        <v>100</v>
      </c>
      <c r="X37" s="1811"/>
      <c r="Y37" s="3239"/>
      <c r="Z37" s="1812" t="str">
        <f t="shared" si="15"/>
        <v>内部装修状况</v>
      </c>
      <c r="AA37" s="1809">
        <f t="shared" si="3"/>
        <v>1</v>
      </c>
      <c r="AB37" s="1809">
        <f t="shared" si="4"/>
        <v>1</v>
      </c>
      <c r="AC37" s="1809">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39"/>
      <c r="Q38" s="775">
        <f t="shared" si="11"/>
        <v>111</v>
      </c>
      <c r="R38" s="776" t="s">
        <v>17</v>
      </c>
      <c r="S38" s="777">
        <f t="shared" si="12"/>
        <v>100</v>
      </c>
      <c r="T38" s="776" t="s">
        <v>17</v>
      </c>
      <c r="U38" s="777">
        <f t="shared" si="13"/>
        <v>100</v>
      </c>
      <c r="V38" s="776" t="s">
        <v>17</v>
      </c>
      <c r="W38" s="777">
        <f t="shared" si="14"/>
        <v>100</v>
      </c>
      <c r="X38" s="778"/>
      <c r="Y38" s="3239"/>
      <c r="Z38" s="779">
        <f t="shared" si="15"/>
        <v>111</v>
      </c>
      <c r="AA38" s="1809">
        <f t="shared" si="3"/>
        <v>1</v>
      </c>
      <c r="AB38" s="1809">
        <f t="shared" si="4"/>
        <v>1</v>
      </c>
      <c r="AC38" s="1809">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39"/>
      <c r="Q39" s="1808">
        <f t="shared" si="11"/>
        <v>111</v>
      </c>
      <c r="R39" s="773" t="s">
        <v>17</v>
      </c>
      <c r="S39" s="774">
        <f t="shared" si="12"/>
        <v>100</v>
      </c>
      <c r="T39" s="773" t="s">
        <v>17</v>
      </c>
      <c r="U39" s="774">
        <f t="shared" si="13"/>
        <v>100</v>
      </c>
      <c r="V39" s="773" t="s">
        <v>17</v>
      </c>
      <c r="W39" s="774">
        <f t="shared" si="14"/>
        <v>100</v>
      </c>
      <c r="X39" s="1811"/>
      <c r="Y39" s="3239"/>
      <c r="Z39" s="1812">
        <f t="shared" si="15"/>
        <v>111</v>
      </c>
      <c r="AA39" s="1809">
        <f t="shared" si="3"/>
        <v>1</v>
      </c>
      <c r="AB39" s="1809">
        <f t="shared" si="4"/>
        <v>1</v>
      </c>
      <c r="AC39" s="1809">
        <f t="shared" si="5"/>
        <v>1</v>
      </c>
    </row>
    <row r="40" spans="1:29" ht="15.75" thickBot="1">
      <c r="A40" s="477"/>
      <c r="B40" s="259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57"/>
      <c r="Q40" s="1808">
        <f t="shared" si="11"/>
        <v>111</v>
      </c>
      <c r="R40" s="773" t="s">
        <v>17</v>
      </c>
      <c r="S40" s="774">
        <f t="shared" si="12"/>
        <v>100</v>
      </c>
      <c r="T40" s="773" t="s">
        <v>17</v>
      </c>
      <c r="U40" s="774">
        <f t="shared" si="13"/>
        <v>100</v>
      </c>
      <c r="V40" s="773" t="s">
        <v>17</v>
      </c>
      <c r="W40" s="774">
        <f t="shared" si="14"/>
        <v>100</v>
      </c>
      <c r="X40" s="1811"/>
      <c r="Y40" s="3257"/>
      <c r="Z40" s="1812">
        <f t="shared" si="15"/>
        <v>111</v>
      </c>
      <c r="AA40" s="1809">
        <f t="shared" si="3"/>
        <v>1</v>
      </c>
      <c r="AB40" s="1809">
        <f t="shared" si="4"/>
        <v>1</v>
      </c>
      <c r="AC40" s="1809">
        <f t="shared" si="5"/>
        <v>1</v>
      </c>
    </row>
    <row r="41" spans="1:29" ht="15">
      <c r="A41" s="478" t="s">
        <v>2525</v>
      </c>
      <c r="B41" s="479"/>
      <c r="C41" s="1406" t="s">
        <v>1</v>
      </c>
      <c r="D41" s="1407"/>
      <c r="E41" s="1408"/>
      <c r="F41" s="1409"/>
      <c r="G41" s="1410"/>
      <c r="H41" s="1411"/>
      <c r="I41" s="1408"/>
      <c r="J41" s="1411"/>
      <c r="K41" s="782"/>
      <c r="L41" s="1142"/>
      <c r="M41" s="1143"/>
      <c r="N41" s="1130"/>
      <c r="O41" s="1143"/>
      <c r="P41" s="3221" t="str">
        <f>A41</f>
        <v>成交单价（元/平方米）</v>
      </c>
      <c r="Q41" s="3221"/>
      <c r="R41" s="3250">
        <f>E41</f>
        <v>0</v>
      </c>
      <c r="S41" s="3250"/>
      <c r="T41" s="3250">
        <f>G41</f>
        <v>0</v>
      </c>
      <c r="U41" s="3250"/>
      <c r="V41" s="3250">
        <f>I41</f>
        <v>0</v>
      </c>
      <c r="W41" s="3250"/>
      <c r="X41" s="758"/>
      <c r="Y41" s="780"/>
      <c r="Z41" s="758"/>
      <c r="AA41" s="758"/>
      <c r="AB41" s="758"/>
      <c r="AC41" s="758"/>
    </row>
    <row r="42" spans="1:29" ht="15.75" thickBot="1">
      <c r="A42" s="485" t="s">
        <v>2616</v>
      </c>
      <c r="B42" s="486"/>
      <c r="C42" s="1412" t="e">
        <f>R43</f>
        <v>#DIV/0!</v>
      </c>
      <c r="D42" s="1413"/>
      <c r="E42" s="1414" t="e">
        <f>R42</f>
        <v>#DIV/0!</v>
      </c>
      <c r="F42" s="1414"/>
      <c r="G42" s="1412" t="e">
        <f>T42</f>
        <v>#DIV/0!</v>
      </c>
      <c r="H42" s="1413"/>
      <c r="I42" s="1414" t="e">
        <f>V42</f>
        <v>#DIV/0!</v>
      </c>
      <c r="J42" s="1413"/>
      <c r="K42" s="783"/>
      <c r="L42" s="1142"/>
      <c r="M42" s="1143"/>
      <c r="N42" s="1130"/>
      <c r="O42" s="1143"/>
      <c r="P42" s="3221" t="str">
        <f>A42</f>
        <v>比较价值（元/平方米）</v>
      </c>
      <c r="Q42" s="3221"/>
      <c r="R42" s="3250" t="e">
        <f>IF(F1="售价",ROUND(PRODUCT(R41,AA7:AA40),0),ROUND(PRODUCT(R41,AA7:AA40),1))</f>
        <v>#DIV/0!</v>
      </c>
      <c r="S42" s="3250"/>
      <c r="T42" s="3250" t="e">
        <f>IF(F1="售价",ROUND(PRODUCT(T41,AB7:AB40),0),ROUND(PRODUCT(T41,AB7:AB40),1))</f>
        <v>#DIV/0!</v>
      </c>
      <c r="U42" s="3250"/>
      <c r="V42" s="3250" t="e">
        <f>IF(F1="售价",ROUND(PRODUCT(V41,AC7:AC40),0),ROUND(PRODUCT(V41,AC7:AC40),1))</f>
        <v>#DIV/0!</v>
      </c>
      <c r="W42" s="3250"/>
      <c r="X42" s="758"/>
      <c r="Y42" s="758"/>
      <c r="Z42" s="758"/>
      <c r="AA42" s="758"/>
      <c r="AB42" s="758"/>
      <c r="AC42" s="758"/>
    </row>
    <row r="43" spans="1:29" ht="15.75" thickBot="1">
      <c r="A43" s="491" t="s">
        <v>2617</v>
      </c>
      <c r="B43" s="492"/>
      <c r="C43" s="1416" t="e">
        <f>R43</f>
        <v>#DIV/0!</v>
      </c>
      <c r="D43" s="1416"/>
      <c r="E43" s="1416"/>
      <c r="F43" s="1416"/>
      <c r="G43" s="1416"/>
      <c r="H43" s="1416"/>
      <c r="I43" s="1416"/>
      <c r="J43" s="1416"/>
      <c r="K43" s="784"/>
      <c r="L43" s="1142"/>
      <c r="M43" s="1143"/>
      <c r="N43" s="1143"/>
      <c r="O43" s="1143"/>
      <c r="P43" s="3241" t="str">
        <f>A43</f>
        <v>估价对象XX用房的比较价值（楼面单价，元/平方米）</v>
      </c>
      <c r="Q43" s="3242"/>
      <c r="R43" s="3251" t="e">
        <f>IF(F1="售价",ROUND(AVERAGE(R42:V42),0),ROUND(AVERAGE(R42:V42),1))</f>
        <v>#DIV/0!</v>
      </c>
      <c r="S43" s="3251"/>
      <c r="T43" s="3251"/>
      <c r="U43" s="3251"/>
      <c r="V43" s="3251"/>
      <c r="W43" s="3251"/>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2618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2619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2620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2621</v>
      </c>
      <c r="B51" s="758"/>
      <c r="C51" s="763"/>
      <c r="D51" s="763"/>
      <c r="E51" s="763"/>
      <c r="F51" s="764"/>
      <c r="G51" s="764"/>
      <c r="H51" s="763"/>
      <c r="I51" s="763"/>
      <c r="J51" s="763"/>
      <c r="K51" s="1159"/>
      <c r="L51" s="1160"/>
      <c r="M51" s="1158"/>
      <c r="N51" s="1158"/>
      <c r="O51" s="1158"/>
      <c r="P51" s="502"/>
      <c r="Q51" s="503"/>
    </row>
    <row r="52" spans="1:17" s="507" customFormat="1" ht="15">
      <c r="A52" s="504" t="s">
        <v>2496</v>
      </c>
      <c r="B52" s="505"/>
      <c r="C52" s="1572" t="str">
        <f>YEAR(C7)&amp;"-"&amp;MONTH(C7)</f>
        <v>2018-12</v>
      </c>
      <c r="D52" s="1573">
        <f>EDATE(C52,-1)</f>
        <v>43405</v>
      </c>
      <c r="E52" s="1573">
        <f t="shared" ref="E52:O52" si="16">EDATE(D52,-1)</f>
        <v>43374</v>
      </c>
      <c r="F52" s="1573">
        <f t="shared" si="16"/>
        <v>43344</v>
      </c>
      <c r="G52" s="1573">
        <f t="shared" si="16"/>
        <v>43313</v>
      </c>
      <c r="H52" s="1573">
        <f t="shared" si="16"/>
        <v>43282</v>
      </c>
      <c r="I52" s="1573">
        <f t="shared" si="16"/>
        <v>43252</v>
      </c>
      <c r="J52" s="1573">
        <f t="shared" si="16"/>
        <v>43221</v>
      </c>
      <c r="K52" s="1573">
        <f t="shared" si="16"/>
        <v>43191</v>
      </c>
      <c r="L52" s="1573">
        <f t="shared" si="16"/>
        <v>43160</v>
      </c>
      <c r="M52" s="1573">
        <f t="shared" si="16"/>
        <v>43132</v>
      </c>
      <c r="N52" s="1573">
        <f t="shared" si="16"/>
        <v>43101</v>
      </c>
      <c r="O52" s="1573">
        <f t="shared" si="16"/>
        <v>43070</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2532</v>
      </c>
      <c r="B54" s="515"/>
      <c r="C54" s="516"/>
      <c r="D54" s="517"/>
      <c r="E54" s="517"/>
      <c r="F54" s="517"/>
      <c r="G54" s="517"/>
      <c r="H54" s="517"/>
      <c r="I54" s="517"/>
      <c r="J54" s="517"/>
      <c r="K54" s="517"/>
      <c r="L54" s="517"/>
      <c r="M54" s="518"/>
      <c r="N54" s="517"/>
      <c r="O54" s="519"/>
      <c r="P54" s="503"/>
      <c r="Q54" s="503"/>
    </row>
    <row r="55" spans="1:17" s="117" customFormat="1" ht="15">
      <c r="A55" s="520" t="s">
        <v>2498</v>
      </c>
      <c r="B55" s="509"/>
      <c r="C55" s="521" t="s">
        <v>2599</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2535</v>
      </c>
      <c r="B57" s="527" t="s">
        <v>2502</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2505</v>
      </c>
      <c r="C59" s="538" t="s">
        <v>2536</v>
      </c>
      <c r="D59" s="538" t="s">
        <v>2537</v>
      </c>
      <c r="E59" s="538" t="s">
        <v>2538</v>
      </c>
      <c r="F59" s="538" t="s">
        <v>2539</v>
      </c>
      <c r="G59" s="538" t="s">
        <v>2540</v>
      </c>
      <c r="H59" s="538" t="s">
        <v>2541</v>
      </c>
      <c r="I59" s="538" t="s">
        <v>2542</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2506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2507</v>
      </c>
      <c r="B70" s="527" t="s">
        <v>2652</v>
      </c>
      <c r="C70" s="572" t="s">
        <v>2544</v>
      </c>
      <c r="D70" s="572" t="s">
        <v>2545</v>
      </c>
      <c r="E70" s="572" t="s">
        <v>2546</v>
      </c>
      <c r="F70" s="572" t="s">
        <v>2547</v>
      </c>
      <c r="G70" s="572" t="s">
        <v>2548</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2549</v>
      </c>
      <c r="C72" s="577" t="s">
        <v>2544</v>
      </c>
      <c r="D72" s="577" t="s">
        <v>2545</v>
      </c>
      <c r="E72" s="577" t="s">
        <v>2546</v>
      </c>
      <c r="F72" s="577" t="s">
        <v>2547</v>
      </c>
      <c r="G72" s="577" t="s">
        <v>2548</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2550</v>
      </c>
      <c r="C74" s="577" t="s">
        <v>2544</v>
      </c>
      <c r="D74" s="577" t="s">
        <v>2545</v>
      </c>
      <c r="E74" s="577" t="s">
        <v>2546</v>
      </c>
      <c r="F74" s="577" t="s">
        <v>2547</v>
      </c>
      <c r="G74" s="577" t="s">
        <v>2548</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2636</v>
      </c>
      <c r="C76" s="659" t="s">
        <v>2622</v>
      </c>
      <c r="D76" s="659" t="s">
        <v>2623</v>
      </c>
      <c r="E76" s="659" t="s">
        <v>2624</v>
      </c>
      <c r="F76" s="659" t="s">
        <v>2625</v>
      </c>
      <c r="G76" s="659" t="s">
        <v>2626</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2645</v>
      </c>
      <c r="C78" s="577" t="s">
        <v>2544</v>
      </c>
      <c r="D78" s="577" t="s">
        <v>2545</v>
      </c>
      <c r="E78" s="577" t="s">
        <v>2546</v>
      </c>
      <c r="F78" s="577" t="s">
        <v>2547</v>
      </c>
      <c r="G78" s="577" t="s">
        <v>2548</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0"/>
      <c r="B87" s="568"/>
      <c r="C87" s="569"/>
      <c r="D87" s="569"/>
      <c r="E87" s="569"/>
      <c r="F87" s="569"/>
      <c r="G87" s="590"/>
      <c r="H87" s="590"/>
      <c r="I87" s="590"/>
      <c r="J87" s="590"/>
      <c r="K87" s="590"/>
      <c r="L87" s="590"/>
      <c r="M87" s="591"/>
      <c r="N87" s="1152"/>
      <c r="O87" s="1152"/>
      <c r="P87" s="45"/>
      <c r="Q87" s="503"/>
    </row>
    <row r="88" spans="1:17">
      <c r="A88" s="526" t="s">
        <v>2511</v>
      </c>
      <c r="B88" s="527" t="s">
        <v>2559</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2560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2561</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2563</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1953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2564</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2565</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2567</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2653</v>
      </c>
      <c r="C106" s="577" t="s">
        <v>2544</v>
      </c>
      <c r="D106" s="577" t="s">
        <v>2545</v>
      </c>
      <c r="E106" s="577" t="s">
        <v>2546</v>
      </c>
      <c r="F106" s="577" t="s">
        <v>2547</v>
      </c>
      <c r="G106" s="577" t="s">
        <v>2548</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0"/>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91" priority="16" stopIfTrue="1" operator="containsText" text="超过">
      <formula>NOT(ISERROR(SEARCH("超过",F46)))</formula>
    </cfRule>
  </conditionalFormatting>
  <conditionalFormatting sqref="H48">
    <cfRule type="containsText" dxfId="690" priority="15" stopIfTrue="1" operator="containsText" text="超过">
      <formula>NOT(ISERROR(SEARCH("超过",H48)))</formula>
    </cfRule>
  </conditionalFormatting>
  <conditionalFormatting sqref="F48">
    <cfRule type="containsText" dxfId="689" priority="14" stopIfTrue="1" operator="containsText" text="超过">
      <formula>NOT(ISERROR(SEARCH("超过",F48)))</formula>
    </cfRule>
  </conditionalFormatting>
  <conditionalFormatting sqref="F47 H47">
    <cfRule type="containsText" dxfId="688" priority="13" stopIfTrue="1" operator="containsText" text="超过">
      <formula>NOT(ISERROR(SEARCH("超过",F47)))</formula>
    </cfRule>
  </conditionalFormatting>
  <conditionalFormatting sqref="E46">
    <cfRule type="expression" dxfId="687" priority="12" stopIfTrue="1">
      <formula>$F$46="超过30%"</formula>
    </cfRule>
  </conditionalFormatting>
  <conditionalFormatting sqref="E47">
    <cfRule type="expression" dxfId="686" priority="11" stopIfTrue="1">
      <formula>$F$47="超过20%"</formula>
    </cfRule>
  </conditionalFormatting>
  <conditionalFormatting sqref="E48">
    <cfRule type="expression" dxfId="685" priority="10" stopIfTrue="1">
      <formula>$F$48="超过30%"</formula>
    </cfRule>
  </conditionalFormatting>
  <conditionalFormatting sqref="G48">
    <cfRule type="expression" dxfId="684" priority="9" stopIfTrue="1">
      <formula>$H$48="超过30%"</formula>
    </cfRule>
  </conditionalFormatting>
  <conditionalFormatting sqref="G46">
    <cfRule type="expression" dxfId="683" priority="8" stopIfTrue="1">
      <formula>$H$46="超过30%"</formula>
    </cfRule>
  </conditionalFormatting>
  <conditionalFormatting sqref="G47">
    <cfRule type="expression" dxfId="682" priority="7" stopIfTrue="1">
      <formula>$H$47="超过20%"</formula>
    </cfRule>
  </conditionalFormatting>
  <conditionalFormatting sqref="J46">
    <cfRule type="containsText" dxfId="681" priority="6" stopIfTrue="1" operator="containsText" text="超过">
      <formula>NOT(ISERROR(SEARCH("超过",J46)))</formula>
    </cfRule>
  </conditionalFormatting>
  <conditionalFormatting sqref="J48">
    <cfRule type="containsText" dxfId="680" priority="5" stopIfTrue="1" operator="containsText" text="超过">
      <formula>NOT(ISERROR(SEARCH("超过",J48)))</formula>
    </cfRule>
  </conditionalFormatting>
  <conditionalFormatting sqref="J47">
    <cfRule type="containsText" dxfId="679" priority="4" stopIfTrue="1" operator="containsText" text="超过">
      <formula>NOT(ISERROR(SEARCH("超过",J47)))</formula>
    </cfRule>
  </conditionalFormatting>
  <conditionalFormatting sqref="I46">
    <cfRule type="expression" dxfId="678" priority="3" stopIfTrue="1">
      <formula>$J$46="超过30%"</formula>
    </cfRule>
  </conditionalFormatting>
  <conditionalFormatting sqref="I47">
    <cfRule type="expression" dxfId="677" priority="2" stopIfTrue="1">
      <formula>$J$47="超过20%"</formula>
    </cfRule>
  </conditionalFormatting>
  <conditionalFormatting sqref="I48">
    <cfRule type="expression" dxfId="6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2654</v>
      </c>
      <c r="B1" s="1617"/>
      <c r="C1" s="1618" t="s">
        <v>2478</v>
      </c>
      <c r="D1" s="1619"/>
      <c r="E1" s="1620"/>
      <c r="F1" s="2579"/>
      <c r="G1" s="1621" t="s">
        <v>2590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2278</v>
      </c>
      <c r="B2" s="1417" t="e">
        <f ca="1">IF(C2="——",IF(B37="元/平方米",ROUND(C39*D3/10000,0),ROUND(F3*C39/10000,0)),IF(B37="元/平方米",ROUND(C39*D3/10000,0),ROUND(F3*C39/10000,0))-D2)</f>
        <v>#DIV/0!</v>
      </c>
      <c r="C2" s="2581"/>
      <c r="D2" s="1123" t="e">
        <f ca="1">SUMIF(INDIRECT("'"&amp;F2&amp;"'"&amp;"!A:A"),"承租人权益价值",INDIRECT("'"&amp;F2&amp;"'"&amp;"!c:c"))</f>
        <v>#REF!</v>
      </c>
      <c r="E2" s="2582" t="s">
        <v>2279</v>
      </c>
      <c r="F2" s="2583"/>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2280</v>
      </c>
      <c r="B3" s="608" t="e">
        <f ca="1">IF(AND(C2="——",B37="元/平方米"),C39,ROUND(B2*10000/D3,0))</f>
        <v>#DIV/0!</v>
      </c>
      <c r="C3" s="399" t="s">
        <v>2591</v>
      </c>
      <c r="D3" s="398">
        <f>SUMIF('数据-汇总表'!$C19:$C33,D1,'数据-汇总表'!$E19:$E33)</f>
        <v>0</v>
      </c>
      <c r="E3" s="399" t="s">
        <v>2655</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2592</v>
      </c>
      <c r="B4" s="401"/>
      <c r="C4" s="3222" t="s">
        <v>2593</v>
      </c>
      <c r="D4" s="3223"/>
      <c r="E4" s="3224" t="s">
        <v>2594</v>
      </c>
      <c r="F4" s="3225"/>
      <c r="G4" s="3222" t="s">
        <v>2595</v>
      </c>
      <c r="H4" s="3223"/>
      <c r="I4" s="3222" t="s">
        <v>2596</v>
      </c>
      <c r="J4" s="3223"/>
      <c r="K4" s="609" t="s">
        <v>2597</v>
      </c>
      <c r="L4" s="1129"/>
      <c r="M4" s="1130"/>
      <c r="N4" s="1130"/>
      <c r="O4" s="1130"/>
      <c r="P4" s="3226" t="s">
        <v>2598</v>
      </c>
      <c r="Q4" s="3227"/>
      <c r="R4" s="3208" t="s">
        <v>2594</v>
      </c>
      <c r="S4" s="3209"/>
      <c r="T4" s="3208" t="s">
        <v>2595</v>
      </c>
      <c r="U4" s="3209"/>
      <c r="V4" s="3234" t="s">
        <v>2596</v>
      </c>
      <c r="W4" s="3234"/>
      <c r="X4" s="1811"/>
      <c r="Y4" s="3208" t="s">
        <v>2598</v>
      </c>
      <c r="Z4" s="3209"/>
      <c r="AA4" s="3203" t="s">
        <v>2594</v>
      </c>
      <c r="AB4" s="3204" t="s">
        <v>2595</v>
      </c>
      <c r="AC4" s="3203" t="s">
        <v>2596</v>
      </c>
    </row>
    <row r="5" spans="1:29" ht="15">
      <c r="A5" s="403"/>
      <c r="B5" s="404"/>
      <c r="C5" s="3218" t="s">
        <v>2490</v>
      </c>
      <c r="D5" s="3215"/>
      <c r="E5" s="3212" t="s">
        <v>2491</v>
      </c>
      <c r="F5" s="3213"/>
      <c r="G5" s="3218" t="s">
        <v>2492</v>
      </c>
      <c r="H5" s="3215"/>
      <c r="I5" s="3218" t="s">
        <v>2493</v>
      </c>
      <c r="J5" s="3215"/>
      <c r="K5" s="609"/>
      <c r="L5" s="1129"/>
      <c r="M5" s="1130"/>
      <c r="N5" s="1130"/>
      <c r="O5" s="1130"/>
      <c r="P5" s="3228"/>
      <c r="Q5" s="3229"/>
      <c r="R5" s="3210"/>
      <c r="S5" s="3211"/>
      <c r="T5" s="3210"/>
      <c r="U5" s="3211"/>
      <c r="V5" s="3234"/>
      <c r="W5" s="3234"/>
      <c r="X5" s="1811"/>
      <c r="Y5" s="3210"/>
      <c r="Z5" s="3211"/>
      <c r="AA5" s="3204"/>
      <c r="AB5" s="3204"/>
      <c r="AC5" s="3204"/>
    </row>
    <row r="6" spans="1:29" ht="15.75" thickBot="1">
      <c r="A6" s="405"/>
      <c r="B6" s="406"/>
      <c r="C6" s="3216" t="s">
        <v>2494</v>
      </c>
      <c r="D6" s="3217"/>
      <c r="E6" s="3219" t="s">
        <v>2494</v>
      </c>
      <c r="F6" s="3220"/>
      <c r="G6" s="3216" t="s">
        <v>2494</v>
      </c>
      <c r="H6" s="3217"/>
      <c r="I6" s="3216" t="s">
        <v>2494</v>
      </c>
      <c r="J6" s="3217"/>
      <c r="K6" s="609" t="s">
        <v>2495</v>
      </c>
      <c r="L6" s="1129"/>
      <c r="M6" s="1130"/>
      <c r="N6" s="1130"/>
      <c r="O6" s="1130"/>
      <c r="P6" s="3230"/>
      <c r="Q6" s="3231"/>
      <c r="R6" s="3210"/>
      <c r="S6" s="3211"/>
      <c r="T6" s="3232"/>
      <c r="U6" s="3233"/>
      <c r="V6" s="3234"/>
      <c r="W6" s="3234"/>
      <c r="X6" s="1811"/>
      <c r="Y6" s="3232"/>
      <c r="Z6" s="3233"/>
      <c r="AA6" s="3205"/>
      <c r="AB6" s="3205"/>
      <c r="AC6" s="3205"/>
    </row>
    <row r="7" spans="1:29" s="117" customFormat="1" ht="15.75" thickBot="1">
      <c r="A7" s="407" t="s">
        <v>2496</v>
      </c>
      <c r="B7" s="408"/>
      <c r="C7" s="409">
        <f>'数据-取费表'!B2</f>
        <v>43452</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06" t="s">
        <v>2497</v>
      </c>
      <c r="Q7" s="3235"/>
      <c r="R7" s="769" t="s">
        <v>17</v>
      </c>
      <c r="S7" s="770">
        <f t="shared" ref="S7:S14" si="0">F7</f>
        <v>0</v>
      </c>
      <c r="T7" s="769" t="s">
        <v>17</v>
      </c>
      <c r="U7" s="770">
        <f t="shared" ref="U7:U14" si="1">H7</f>
        <v>0</v>
      </c>
      <c r="V7" s="769" t="s">
        <v>17</v>
      </c>
      <c r="W7" s="770">
        <f t="shared" ref="W7:W14" si="2">J7</f>
        <v>0</v>
      </c>
      <c r="X7" s="771"/>
      <c r="Y7" s="3206" t="s">
        <v>2497</v>
      </c>
      <c r="Z7" s="3207"/>
      <c r="AA7" s="772" t="e">
        <f>D7/F7</f>
        <v>#DIV/0!</v>
      </c>
      <c r="AB7" s="772" t="e">
        <f>D7/H7</f>
        <v>#DIV/0!</v>
      </c>
      <c r="AC7" s="772" t="e">
        <f>D7/J7</f>
        <v>#DIV/0!</v>
      </c>
    </row>
    <row r="8" spans="1:29" s="117" customFormat="1" ht="15.75" thickBot="1">
      <c r="A8" s="407" t="s">
        <v>2498</v>
      </c>
      <c r="B8" s="408"/>
      <c r="C8" s="413" t="s">
        <v>2599</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06" t="s">
        <v>2500</v>
      </c>
      <c r="Q8" s="3207"/>
      <c r="R8" s="769" t="s">
        <v>17</v>
      </c>
      <c r="S8" s="770">
        <f t="shared" si="0"/>
        <v>0</v>
      </c>
      <c r="T8" s="769" t="s">
        <v>17</v>
      </c>
      <c r="U8" s="770">
        <f t="shared" si="1"/>
        <v>0</v>
      </c>
      <c r="V8" s="769" t="s">
        <v>17</v>
      </c>
      <c r="W8" s="770">
        <f t="shared" si="2"/>
        <v>0</v>
      </c>
      <c r="X8" s="771"/>
      <c r="Y8" s="3206" t="s">
        <v>2500</v>
      </c>
      <c r="Z8" s="3207"/>
      <c r="AA8" s="772" t="e">
        <f t="shared" ref="AA8:AA36" si="3">D8/F8</f>
        <v>#DIV/0!</v>
      </c>
      <c r="AB8" s="772" t="e">
        <f t="shared" ref="AB8:AB36" si="4">D8/H8</f>
        <v>#DIV/0!</v>
      </c>
      <c r="AC8" s="772" t="e">
        <f t="shared" ref="AC8:AC36" si="5">D8/J8</f>
        <v>#DIV/0!</v>
      </c>
    </row>
    <row r="9" spans="1:29" s="117" customFormat="1">
      <c r="A9" s="68" t="s">
        <v>2501</v>
      </c>
      <c r="B9" s="639" t="s">
        <v>2502</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21" t="s">
        <v>2503</v>
      </c>
      <c r="Q9" s="1793" t="str">
        <f t="shared" ref="Q9:Q14" si="6">B9</f>
        <v>用途</v>
      </c>
      <c r="R9" s="769" t="s">
        <v>17</v>
      </c>
      <c r="S9" s="770">
        <f t="shared" si="0"/>
        <v>100</v>
      </c>
      <c r="T9" s="769" t="s">
        <v>17</v>
      </c>
      <c r="U9" s="770">
        <f t="shared" si="1"/>
        <v>100</v>
      </c>
      <c r="V9" s="769" t="s">
        <v>17</v>
      </c>
      <c r="W9" s="770">
        <f t="shared" si="2"/>
        <v>100</v>
      </c>
      <c r="X9" s="771"/>
      <c r="Y9" s="3083" t="s">
        <v>2504</v>
      </c>
      <c r="Z9" s="55" t="str">
        <f t="shared" ref="Z9:Z14" si="7">Q9</f>
        <v>用途</v>
      </c>
      <c r="AA9" s="772">
        <f t="shared" si="3"/>
        <v>1</v>
      </c>
      <c r="AB9" s="772">
        <f t="shared" si="4"/>
        <v>1</v>
      </c>
      <c r="AC9" s="772">
        <f t="shared" si="5"/>
        <v>1</v>
      </c>
    </row>
    <row r="10" spans="1:29" s="426" customFormat="1" ht="27">
      <c r="A10" s="640"/>
      <c r="B10" s="641" t="s">
        <v>2505</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21"/>
      <c r="Q10" s="1793" t="str">
        <f t="shared" si="6"/>
        <v>土地使用年限（年）</v>
      </c>
      <c r="R10" s="769" t="s">
        <v>17</v>
      </c>
      <c r="S10" s="770">
        <f t="shared" si="0"/>
        <v>100</v>
      </c>
      <c r="T10" s="769" t="s">
        <v>17</v>
      </c>
      <c r="U10" s="770">
        <f t="shared" si="1"/>
        <v>100</v>
      </c>
      <c r="V10" s="769" t="s">
        <v>17</v>
      </c>
      <c r="W10" s="770">
        <f t="shared" si="2"/>
        <v>100</v>
      </c>
      <c r="X10" s="771"/>
      <c r="Y10" s="3083"/>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21"/>
      <c r="Q11" s="1793">
        <f t="shared" si="6"/>
        <v>111</v>
      </c>
      <c r="R11" s="769" t="s">
        <v>17</v>
      </c>
      <c r="S11" s="770">
        <f t="shared" si="0"/>
        <v>100</v>
      </c>
      <c r="T11" s="769" t="s">
        <v>17</v>
      </c>
      <c r="U11" s="770">
        <f t="shared" si="1"/>
        <v>100</v>
      </c>
      <c r="V11" s="769" t="s">
        <v>17</v>
      </c>
      <c r="W11" s="770">
        <f t="shared" si="2"/>
        <v>100</v>
      </c>
      <c r="X11" s="771"/>
      <c r="Y11" s="3083"/>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21"/>
      <c r="Q12" s="1793">
        <f t="shared" si="6"/>
        <v>111</v>
      </c>
      <c r="R12" s="769" t="s">
        <v>17</v>
      </c>
      <c r="S12" s="770">
        <f t="shared" si="0"/>
        <v>100</v>
      </c>
      <c r="T12" s="769" t="s">
        <v>17</v>
      </c>
      <c r="U12" s="770">
        <f t="shared" si="1"/>
        <v>100</v>
      </c>
      <c r="V12" s="769" t="s">
        <v>17</v>
      </c>
      <c r="W12" s="770">
        <f t="shared" si="2"/>
        <v>100</v>
      </c>
      <c r="X12" s="771"/>
      <c r="Y12" s="3083"/>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21"/>
      <c r="Q13" s="1793">
        <f t="shared" si="6"/>
        <v>111</v>
      </c>
      <c r="R13" s="769" t="s">
        <v>17</v>
      </c>
      <c r="S13" s="770">
        <f t="shared" si="0"/>
        <v>100</v>
      </c>
      <c r="T13" s="769" t="s">
        <v>17</v>
      </c>
      <c r="U13" s="770">
        <f t="shared" si="1"/>
        <v>100</v>
      </c>
      <c r="V13" s="769" t="s">
        <v>17</v>
      </c>
      <c r="W13" s="770">
        <f t="shared" si="2"/>
        <v>100</v>
      </c>
      <c r="X13" s="771"/>
      <c r="Y13" s="3083"/>
      <c r="Z13" s="55">
        <f t="shared" si="7"/>
        <v>111</v>
      </c>
      <c r="AA13" s="772">
        <f t="shared" si="3"/>
        <v>1</v>
      </c>
      <c r="AB13" s="772">
        <f t="shared" si="4"/>
        <v>1</v>
      </c>
      <c r="AC13" s="772">
        <f t="shared" si="5"/>
        <v>1</v>
      </c>
    </row>
    <row r="14" spans="1:29" ht="128.25">
      <c r="A14" s="400" t="s">
        <v>2507</v>
      </c>
      <c r="B14" s="628" t="s">
        <v>2656</v>
      </c>
      <c r="C14" s="2687" t="str">
        <f>IF(B1="工业",估价对象房地状况!G4,估价对象房地状况!C6)</f>
        <v>估价对象周边道路状况一般、公共交通通达情况一般、停车便捷程度较好，周边有143、300路等公交线路，综合评价交通便捷度一般</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36" t="s">
        <v>2508</v>
      </c>
      <c r="Q14" s="1808" t="str">
        <f t="shared" si="6"/>
        <v>交通便捷度</v>
      </c>
      <c r="R14" s="773" t="s">
        <v>17</v>
      </c>
      <c r="S14" s="774">
        <f t="shared" si="0"/>
        <v>100</v>
      </c>
      <c r="T14" s="773" t="s">
        <v>17</v>
      </c>
      <c r="U14" s="774">
        <f t="shared" si="1"/>
        <v>100</v>
      </c>
      <c r="V14" s="773" t="s">
        <v>17</v>
      </c>
      <c r="W14" s="774">
        <f t="shared" si="2"/>
        <v>100</v>
      </c>
      <c r="X14" s="1811"/>
      <c r="Y14" s="3236" t="s">
        <v>2508</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9"/>
      <c r="M15" s="1130"/>
      <c r="N15" s="1130"/>
      <c r="O15" s="1130"/>
      <c r="P15" s="3237"/>
      <c r="Q15" s="1808"/>
      <c r="R15" s="773"/>
      <c r="S15" s="774"/>
      <c r="T15" s="773"/>
      <c r="U15" s="774"/>
      <c r="V15" s="773"/>
      <c r="W15" s="774"/>
      <c r="X15" s="1811"/>
      <c r="Y15" s="3237"/>
      <c r="Z15" s="1812"/>
      <c r="AA15" s="1809">
        <v>1</v>
      </c>
      <c r="AB15" s="1809">
        <v>1</v>
      </c>
      <c r="AC15" s="1809">
        <v>1</v>
      </c>
    </row>
    <row r="16" spans="1:29" ht="42.75">
      <c r="A16" s="403"/>
      <c r="B16" s="630" t="s">
        <v>2635</v>
      </c>
      <c r="C16" s="2602" t="str">
        <f>IF(B1="工业",估价对象房地状况!G5,估价对象房地状况!C7)</f>
        <v>估价对象所在区域公共配套设施齐备情况一般</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37"/>
      <c r="Q16" s="1808" t="str">
        <f>B16</f>
        <v>公共配套设施</v>
      </c>
      <c r="R16" s="773" t="s">
        <v>17</v>
      </c>
      <c r="S16" s="774">
        <f>F16</f>
        <v>100</v>
      </c>
      <c r="T16" s="773" t="s">
        <v>17</v>
      </c>
      <c r="U16" s="774">
        <f>H16</f>
        <v>100</v>
      </c>
      <c r="V16" s="773" t="s">
        <v>17</v>
      </c>
      <c r="W16" s="774">
        <f>J16</f>
        <v>100</v>
      </c>
      <c r="X16" s="1811"/>
      <c r="Y16" s="3237"/>
      <c r="Z16" s="1812" t="str">
        <f>Q16</f>
        <v>公共配套设施</v>
      </c>
      <c r="AA16" s="1809">
        <f t="shared" si="3"/>
        <v>1</v>
      </c>
      <c r="AB16" s="1809">
        <f t="shared" si="4"/>
        <v>1</v>
      </c>
      <c r="AC16" s="1809">
        <f t="shared" si="5"/>
        <v>1</v>
      </c>
    </row>
    <row r="17" spans="1:29" ht="15">
      <c r="A17" s="403"/>
      <c r="B17" s="631"/>
      <c r="C17" s="2603"/>
      <c r="D17" s="447"/>
      <c r="E17" s="446"/>
      <c r="F17" s="448"/>
      <c r="G17" s="446"/>
      <c r="H17" s="447"/>
      <c r="I17" s="446"/>
      <c r="J17" s="447"/>
      <c r="K17" s="614"/>
      <c r="L17" s="1139"/>
      <c r="M17" s="1130"/>
      <c r="N17" s="1130"/>
      <c r="O17" s="1130"/>
      <c r="P17" s="3237"/>
      <c r="Q17" s="1808"/>
      <c r="R17" s="773"/>
      <c r="S17" s="774"/>
      <c r="T17" s="773"/>
      <c r="U17" s="774"/>
      <c r="V17" s="773"/>
      <c r="W17" s="774"/>
      <c r="X17" s="1811"/>
      <c r="Y17" s="3237"/>
      <c r="Z17" s="1812"/>
      <c r="AA17" s="1809">
        <v>1</v>
      </c>
      <c r="AB17" s="1809">
        <v>1</v>
      </c>
      <c r="AC17" s="1809">
        <v>1</v>
      </c>
    </row>
    <row r="18" spans="1:29" ht="42.75">
      <c r="A18" s="403"/>
      <c r="B18" s="632" t="s">
        <v>2636</v>
      </c>
      <c r="C18" s="2602" t="str">
        <f>IF(B1="工业",估价对象房地状况!G6,估价对象房地状况!C8)</f>
        <v>估价对象所在区域基础设施水平较好</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37"/>
      <c r="Q18" s="1808" t="str">
        <f>B18</f>
        <v>基础设施水平</v>
      </c>
      <c r="R18" s="773" t="s">
        <v>17</v>
      </c>
      <c r="S18" s="774">
        <f>F18</f>
        <v>100</v>
      </c>
      <c r="T18" s="773" t="s">
        <v>17</v>
      </c>
      <c r="U18" s="774">
        <f>H18</f>
        <v>100</v>
      </c>
      <c r="V18" s="773" t="s">
        <v>17</v>
      </c>
      <c r="W18" s="774">
        <f>J18</f>
        <v>100</v>
      </c>
      <c r="X18" s="1811"/>
      <c r="Y18" s="3237"/>
      <c r="Z18" s="1812" t="str">
        <f>Q18</f>
        <v>基础设施水平</v>
      </c>
      <c r="AA18" s="1809">
        <f t="shared" ref="AA18" si="8">D18/F18</f>
        <v>1</v>
      </c>
      <c r="AB18" s="1809">
        <f t="shared" ref="AB18" si="9">D18/H18</f>
        <v>1</v>
      </c>
      <c r="AC18" s="1809">
        <f t="shared" ref="AC18" si="10">D18/J18</f>
        <v>1</v>
      </c>
    </row>
    <row r="19" spans="1:29" ht="15">
      <c r="A19" s="403"/>
      <c r="B19" s="632"/>
      <c r="C19" s="2603"/>
      <c r="D19" s="449"/>
      <c r="E19" s="2603"/>
      <c r="F19" s="452"/>
      <c r="G19" s="2603"/>
      <c r="H19" s="447"/>
      <c r="I19" s="446"/>
      <c r="J19" s="447"/>
      <c r="K19" s="1382"/>
      <c r="L19" s="1139"/>
      <c r="M19" s="1130"/>
      <c r="N19" s="1130"/>
      <c r="O19" s="1130"/>
      <c r="P19" s="3237"/>
      <c r="Q19" s="1808"/>
      <c r="R19" s="773"/>
      <c r="S19" s="774"/>
      <c r="T19" s="773"/>
      <c r="U19" s="774"/>
      <c r="V19" s="773"/>
      <c r="W19" s="774"/>
      <c r="X19" s="1811"/>
      <c r="Y19" s="3237"/>
      <c r="Z19" s="1812"/>
      <c r="AA19" s="1809">
        <v>1</v>
      </c>
      <c r="AB19" s="1809">
        <v>1</v>
      </c>
      <c r="AC19" s="1809">
        <v>1</v>
      </c>
    </row>
    <row r="20" spans="1:29" ht="114">
      <c r="A20" s="403"/>
      <c r="B20" s="630" t="s">
        <v>2657</v>
      </c>
      <c r="C20" s="2602" t="str">
        <f>IF(B1="工业",估价对象房地状况!G7,估价对象房地状况!C9)</f>
        <v>区域自然环境及人文环境好；周边有合肥半岛花博园、大房郢水库、合肥经济技术职业学院等，综合评价环境状况好</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37"/>
      <c r="Q20" s="1808" t="str">
        <f>B20</f>
        <v>自然及人文环境</v>
      </c>
      <c r="R20" s="773" t="s">
        <v>17</v>
      </c>
      <c r="S20" s="774">
        <f>F20</f>
        <v>100</v>
      </c>
      <c r="T20" s="773" t="s">
        <v>17</v>
      </c>
      <c r="U20" s="774">
        <f>H20</f>
        <v>100</v>
      </c>
      <c r="V20" s="773" t="s">
        <v>17</v>
      </c>
      <c r="W20" s="774">
        <f>J20</f>
        <v>100</v>
      </c>
      <c r="X20" s="1811"/>
      <c r="Y20" s="3237"/>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9"/>
      <c r="M21" s="1130"/>
      <c r="N21" s="1130"/>
      <c r="O21" s="1130"/>
      <c r="P21" s="3237"/>
      <c r="Q21" s="1808"/>
      <c r="R21" s="773"/>
      <c r="S21" s="774"/>
      <c r="T21" s="773"/>
      <c r="U21" s="774"/>
      <c r="V21" s="773"/>
      <c r="W21" s="774"/>
      <c r="X21" s="1811"/>
      <c r="Y21" s="3237"/>
      <c r="Z21" s="1812"/>
      <c r="AA21" s="1809">
        <v>1</v>
      </c>
      <c r="AB21" s="1809">
        <v>1</v>
      </c>
      <c r="AC21" s="1809">
        <v>1</v>
      </c>
    </row>
    <row r="22" spans="1:29" ht="15">
      <c r="A22" s="403"/>
      <c r="B22" s="630" t="s">
        <v>2658</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37"/>
      <c r="Q22" s="1808" t="str">
        <f>B22</f>
        <v>楼层</v>
      </c>
      <c r="R22" s="773" t="s">
        <v>17</v>
      </c>
      <c r="S22" s="774">
        <f>F22</f>
        <v>100</v>
      </c>
      <c r="T22" s="773" t="s">
        <v>17</v>
      </c>
      <c r="U22" s="774">
        <f>H22</f>
        <v>100</v>
      </c>
      <c r="V22" s="773" t="s">
        <v>17</v>
      </c>
      <c r="W22" s="774">
        <f>J22</f>
        <v>100</v>
      </c>
      <c r="X22" s="1811"/>
      <c r="Y22" s="3237"/>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37"/>
      <c r="Q23" s="1808">
        <f>B23</f>
        <v>111</v>
      </c>
      <c r="R23" s="773" t="s">
        <v>17</v>
      </c>
      <c r="S23" s="774">
        <f>F23</f>
        <v>100</v>
      </c>
      <c r="T23" s="773" t="s">
        <v>17</v>
      </c>
      <c r="U23" s="774">
        <f>H23</f>
        <v>100</v>
      </c>
      <c r="V23" s="773" t="s">
        <v>17</v>
      </c>
      <c r="W23" s="774">
        <f>J23</f>
        <v>100</v>
      </c>
      <c r="X23" s="1811"/>
      <c r="Y23" s="3237"/>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37"/>
      <c r="Q24" s="1808">
        <f t="shared" ref="Q24:Q36" si="11">B24</f>
        <v>111</v>
      </c>
      <c r="R24" s="773" t="s">
        <v>17</v>
      </c>
      <c r="S24" s="774">
        <f>F24</f>
        <v>100</v>
      </c>
      <c r="T24" s="773" t="s">
        <v>17</v>
      </c>
      <c r="U24" s="774">
        <f>H24</f>
        <v>100</v>
      </c>
      <c r="V24" s="773" t="s">
        <v>17</v>
      </c>
      <c r="W24" s="774">
        <f>J24</f>
        <v>100</v>
      </c>
      <c r="X24" s="1811"/>
      <c r="Y24" s="3237"/>
      <c r="Z24" s="1812">
        <f>Q24</f>
        <v>111</v>
      </c>
      <c r="AA24" s="1809">
        <f t="shared" si="3"/>
        <v>1</v>
      </c>
      <c r="AB24" s="1809">
        <f t="shared" si="4"/>
        <v>1</v>
      </c>
      <c r="AC24" s="1809">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37"/>
      <c r="Q25" s="1793">
        <f t="shared" si="11"/>
        <v>111</v>
      </c>
      <c r="R25" s="769" t="s">
        <v>17</v>
      </c>
      <c r="S25" s="770">
        <f>F25</f>
        <v>100</v>
      </c>
      <c r="T25" s="769" t="s">
        <v>17</v>
      </c>
      <c r="U25" s="770">
        <f>H25</f>
        <v>100</v>
      </c>
      <c r="V25" s="769" t="s">
        <v>17</v>
      </c>
      <c r="W25" s="770">
        <f>J25</f>
        <v>100</v>
      </c>
      <c r="X25" s="771"/>
      <c r="Y25" s="3237"/>
      <c r="Z25" s="55">
        <f>Q25</f>
        <v>111</v>
      </c>
      <c r="AA25" s="1809">
        <f>D25/F25</f>
        <v>1</v>
      </c>
      <c r="AB25" s="1809">
        <f>D25/H25</f>
        <v>1</v>
      </c>
      <c r="AC25" s="1809">
        <f>D25/J25</f>
        <v>1</v>
      </c>
    </row>
    <row r="26" spans="1:29" ht="15">
      <c r="A26" s="651" t="s">
        <v>2511</v>
      </c>
      <c r="B26" s="70" t="s">
        <v>2659</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38" t="s">
        <v>2513</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39" t="s">
        <v>2513</v>
      </c>
      <c r="Z26" s="1812" t="str">
        <f t="shared" ref="Z26:Z36" si="15">Q26</f>
        <v>配套类型</v>
      </c>
      <c r="AA26" s="1809">
        <f t="shared" si="3"/>
        <v>1</v>
      </c>
      <c r="AB26" s="1809">
        <f t="shared" si="4"/>
        <v>1</v>
      </c>
      <c r="AC26" s="1809">
        <f t="shared" si="5"/>
        <v>1</v>
      </c>
    </row>
    <row r="27" spans="1:29" s="470" customFormat="1" ht="15">
      <c r="A27" s="652"/>
      <c r="B27" s="653" t="s">
        <v>2660</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39"/>
      <c r="Q27" s="775" t="str">
        <f t="shared" si="11"/>
        <v>项目停车位配比</v>
      </c>
      <c r="R27" s="776" t="s">
        <v>17</v>
      </c>
      <c r="S27" s="777">
        <f t="shared" si="12"/>
        <v>100</v>
      </c>
      <c r="T27" s="776" t="s">
        <v>17</v>
      </c>
      <c r="U27" s="777">
        <f t="shared" si="13"/>
        <v>100</v>
      </c>
      <c r="V27" s="776" t="s">
        <v>17</v>
      </c>
      <c r="W27" s="777">
        <f t="shared" si="14"/>
        <v>100</v>
      </c>
      <c r="X27" s="778"/>
      <c r="Y27" s="3239"/>
      <c r="Z27" s="779" t="str">
        <f t="shared" si="15"/>
        <v>项目停车位配比</v>
      </c>
      <c r="AA27" s="1809">
        <f t="shared" si="3"/>
        <v>1</v>
      </c>
      <c r="AB27" s="1809">
        <f t="shared" si="4"/>
        <v>1</v>
      </c>
      <c r="AC27" s="1809">
        <f t="shared" si="5"/>
        <v>1</v>
      </c>
    </row>
    <row r="28" spans="1:29" ht="15">
      <c r="A28" s="655"/>
      <c r="B28" s="653" t="s">
        <v>2661</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39"/>
      <c r="Q28" s="1808" t="str">
        <f t="shared" si="11"/>
        <v>公共部分装修</v>
      </c>
      <c r="R28" s="773" t="s">
        <v>17</v>
      </c>
      <c r="S28" s="774">
        <f t="shared" si="12"/>
        <v>100</v>
      </c>
      <c r="T28" s="773" t="s">
        <v>17</v>
      </c>
      <c r="U28" s="774">
        <f t="shared" si="13"/>
        <v>100</v>
      </c>
      <c r="V28" s="773" t="s">
        <v>17</v>
      </c>
      <c r="W28" s="774">
        <f t="shared" si="14"/>
        <v>100</v>
      </c>
      <c r="X28" s="1811"/>
      <c r="Y28" s="3239"/>
      <c r="Z28" s="1812" t="str">
        <f t="shared" si="15"/>
        <v>公共部分装修</v>
      </c>
      <c r="AA28" s="1809">
        <f t="shared" si="3"/>
        <v>1</v>
      </c>
      <c r="AB28" s="1809">
        <f t="shared" si="4"/>
        <v>1</v>
      </c>
      <c r="AC28" s="1809">
        <f t="shared" si="5"/>
        <v>1</v>
      </c>
    </row>
    <row r="29" spans="1:29" ht="15">
      <c r="A29" s="655"/>
      <c r="B29" s="653" t="s">
        <v>2662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39"/>
      <c r="Q29" s="1808" t="str">
        <f t="shared" si="11"/>
        <v>成新率</v>
      </c>
      <c r="R29" s="773" t="s">
        <v>17</v>
      </c>
      <c r="S29" s="774" t="e">
        <f t="shared" si="12"/>
        <v>#N/A</v>
      </c>
      <c r="T29" s="773" t="s">
        <v>17</v>
      </c>
      <c r="U29" s="774" t="e">
        <f t="shared" si="13"/>
        <v>#N/A</v>
      </c>
      <c r="V29" s="773" t="s">
        <v>17</v>
      </c>
      <c r="W29" s="774" t="e">
        <f t="shared" si="14"/>
        <v>#N/A</v>
      </c>
      <c r="X29" s="1811"/>
      <c r="Y29" s="3239"/>
      <c r="Z29" s="1812" t="str">
        <f t="shared" si="15"/>
        <v>成新率</v>
      </c>
      <c r="AA29" s="1809" t="e">
        <f t="shared" si="3"/>
        <v>#N/A</v>
      </c>
      <c r="AB29" s="1809" t="e">
        <f t="shared" si="4"/>
        <v>#N/A</v>
      </c>
      <c r="AC29" s="1809" t="e">
        <f t="shared" si="5"/>
        <v>#N/A</v>
      </c>
    </row>
    <row r="30" spans="1:29" ht="15">
      <c r="A30" s="655"/>
      <c r="B30" s="653" t="s">
        <v>2663</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39"/>
      <c r="Q30" s="1808" t="str">
        <f t="shared" si="11"/>
        <v>物业等级</v>
      </c>
      <c r="R30" s="773" t="s">
        <v>17</v>
      </c>
      <c r="S30" s="774">
        <f t="shared" si="12"/>
        <v>100</v>
      </c>
      <c r="T30" s="773" t="s">
        <v>17</v>
      </c>
      <c r="U30" s="774">
        <f t="shared" si="13"/>
        <v>100</v>
      </c>
      <c r="V30" s="773" t="s">
        <v>17</v>
      </c>
      <c r="W30" s="774">
        <f t="shared" si="14"/>
        <v>100</v>
      </c>
      <c r="X30" s="1811"/>
      <c r="Y30" s="3239"/>
      <c r="Z30" s="1812" t="str">
        <f t="shared" si="15"/>
        <v>物业等级</v>
      </c>
      <c r="AA30" s="1809">
        <f t="shared" si="3"/>
        <v>1</v>
      </c>
      <c r="AB30" s="1809">
        <f t="shared" si="4"/>
        <v>1</v>
      </c>
      <c r="AC30" s="1809">
        <f t="shared" si="5"/>
        <v>1</v>
      </c>
    </row>
    <row r="31" spans="1:29" s="117" customFormat="1" ht="15">
      <c r="A31" s="657"/>
      <c r="B31" s="653" t="s">
        <v>2664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39"/>
      <c r="Q31" s="1793" t="str">
        <f t="shared" si="11"/>
        <v>停车位面积</v>
      </c>
      <c r="R31" s="769" t="s">
        <v>17</v>
      </c>
      <c r="S31" s="770" t="e">
        <f t="shared" si="12"/>
        <v>#N/A</v>
      </c>
      <c r="T31" s="769" t="s">
        <v>17</v>
      </c>
      <c r="U31" s="770" t="e">
        <f t="shared" si="13"/>
        <v>#N/A</v>
      </c>
      <c r="V31" s="769" t="s">
        <v>17</v>
      </c>
      <c r="W31" s="770" t="e">
        <f t="shared" si="14"/>
        <v>#N/A</v>
      </c>
      <c r="X31" s="771"/>
      <c r="Y31" s="3239"/>
      <c r="Z31" s="55" t="str">
        <f t="shared" si="15"/>
        <v>停车位面积</v>
      </c>
      <c r="AA31" s="772" t="e">
        <f t="shared" si="3"/>
        <v>#N/A</v>
      </c>
      <c r="AB31" s="772" t="e">
        <f t="shared" si="4"/>
        <v>#N/A</v>
      </c>
      <c r="AC31" s="772" t="e">
        <f t="shared" si="5"/>
        <v>#N/A</v>
      </c>
    </row>
    <row r="32" spans="1:29" ht="15">
      <c r="A32" s="655"/>
      <c r="B32" s="653" t="s">
        <v>2665</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39" t="s">
        <v>2513</v>
      </c>
      <c r="Q32" s="1808" t="str">
        <f t="shared" si="11"/>
        <v>车位类型</v>
      </c>
      <c r="R32" s="773" t="s">
        <v>17</v>
      </c>
      <c r="S32" s="774">
        <f t="shared" si="12"/>
        <v>100</v>
      </c>
      <c r="T32" s="773" t="s">
        <v>17</v>
      </c>
      <c r="U32" s="774">
        <f t="shared" si="13"/>
        <v>100</v>
      </c>
      <c r="V32" s="773" t="s">
        <v>17</v>
      </c>
      <c r="W32" s="774">
        <f t="shared" si="14"/>
        <v>100</v>
      </c>
      <c r="X32" s="1811"/>
      <c r="Y32" s="3239" t="s">
        <v>2513</v>
      </c>
      <c r="Z32" s="1812" t="str">
        <f t="shared" si="15"/>
        <v>车位类型</v>
      </c>
      <c r="AA32" s="1809">
        <f t="shared" si="3"/>
        <v>1</v>
      </c>
      <c r="AB32" s="1809">
        <f t="shared" si="4"/>
        <v>1</v>
      </c>
      <c r="AC32" s="1809">
        <f t="shared" si="5"/>
        <v>1</v>
      </c>
    </row>
    <row r="33" spans="1:29" ht="15">
      <c r="A33" s="655"/>
      <c r="B33" s="653" t="s">
        <v>2666</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39"/>
      <c r="Q33" s="1808" t="str">
        <f t="shared" si="11"/>
        <v>是否直接入户</v>
      </c>
      <c r="R33" s="773" t="s">
        <v>17</v>
      </c>
      <c r="S33" s="774">
        <f t="shared" si="12"/>
        <v>100</v>
      </c>
      <c r="T33" s="773" t="s">
        <v>17</v>
      </c>
      <c r="U33" s="774">
        <f t="shared" si="13"/>
        <v>100</v>
      </c>
      <c r="V33" s="773" t="s">
        <v>17</v>
      </c>
      <c r="W33" s="774">
        <f t="shared" si="14"/>
        <v>100</v>
      </c>
      <c r="X33" s="1811"/>
      <c r="Y33" s="3239"/>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39"/>
      <c r="Q34" s="1808">
        <f t="shared" si="11"/>
        <v>111</v>
      </c>
      <c r="R34" s="773" t="s">
        <v>17</v>
      </c>
      <c r="S34" s="774">
        <f t="shared" si="12"/>
        <v>100</v>
      </c>
      <c r="T34" s="773" t="s">
        <v>17</v>
      </c>
      <c r="U34" s="774">
        <f t="shared" si="13"/>
        <v>100</v>
      </c>
      <c r="V34" s="773" t="s">
        <v>17</v>
      </c>
      <c r="W34" s="774">
        <f t="shared" si="14"/>
        <v>100</v>
      </c>
      <c r="X34" s="1811"/>
      <c r="Y34" s="3239"/>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39"/>
      <c r="Q35" s="775">
        <f t="shared" si="11"/>
        <v>111</v>
      </c>
      <c r="R35" s="776" t="s">
        <v>17</v>
      </c>
      <c r="S35" s="777">
        <f t="shared" si="12"/>
        <v>100</v>
      </c>
      <c r="T35" s="776" t="s">
        <v>17</v>
      </c>
      <c r="U35" s="777">
        <f t="shared" si="13"/>
        <v>100</v>
      </c>
      <c r="V35" s="776" t="s">
        <v>17</v>
      </c>
      <c r="W35" s="777">
        <f t="shared" si="14"/>
        <v>100</v>
      </c>
      <c r="X35" s="778"/>
      <c r="Y35" s="3239"/>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39"/>
      <c r="Q36" s="1808">
        <f t="shared" si="11"/>
        <v>111</v>
      </c>
      <c r="R36" s="773" t="s">
        <v>17</v>
      </c>
      <c r="S36" s="774">
        <f t="shared" si="12"/>
        <v>100</v>
      </c>
      <c r="T36" s="773" t="s">
        <v>17</v>
      </c>
      <c r="U36" s="774">
        <f t="shared" si="13"/>
        <v>100</v>
      </c>
      <c r="V36" s="773" t="s">
        <v>17</v>
      </c>
      <c r="W36" s="774">
        <f t="shared" si="14"/>
        <v>100</v>
      </c>
      <c r="X36" s="1811"/>
      <c r="Y36" s="3239"/>
      <c r="Z36" s="1812">
        <f t="shared" si="15"/>
        <v>111</v>
      </c>
      <c r="AA36" s="1809">
        <f t="shared" si="3"/>
        <v>1</v>
      </c>
      <c r="AB36" s="1809">
        <f t="shared" si="4"/>
        <v>1</v>
      </c>
      <c r="AC36" s="1809">
        <f t="shared" si="5"/>
        <v>1</v>
      </c>
    </row>
    <row r="37" spans="1:29" ht="15">
      <c r="A37" s="478" t="s">
        <v>2667</v>
      </c>
      <c r="B37" s="2689" t="s">
        <v>2668</v>
      </c>
      <c r="C37" s="1406" t="s">
        <v>1</v>
      </c>
      <c r="D37" s="1407"/>
      <c r="E37" s="1408"/>
      <c r="F37" s="1409"/>
      <c r="G37" s="1410"/>
      <c r="H37" s="1411"/>
      <c r="I37" s="1408"/>
      <c r="J37" s="1411"/>
      <c r="K37" s="618"/>
      <c r="L37" s="1142"/>
      <c r="M37" s="1143"/>
      <c r="N37" s="1130"/>
      <c r="O37" s="1143"/>
      <c r="P37" s="3221" t="str">
        <f>A37</f>
        <v>成交单价</v>
      </c>
      <c r="Q37" s="3221"/>
      <c r="R37" s="3250">
        <f>E37</f>
        <v>0</v>
      </c>
      <c r="S37" s="3250"/>
      <c r="T37" s="3250">
        <f>G37</f>
        <v>0</v>
      </c>
      <c r="U37" s="3250"/>
      <c r="V37" s="3250">
        <f>I37</f>
        <v>0</v>
      </c>
      <c r="W37" s="3250"/>
      <c r="X37" s="758"/>
      <c r="Y37" s="780"/>
      <c r="Z37" s="758"/>
      <c r="AA37" s="758"/>
      <c r="AB37" s="758"/>
      <c r="AC37" s="758"/>
    </row>
    <row r="38" spans="1:29" ht="15.75" thickBot="1">
      <c r="A38" s="485" t="s">
        <v>2669</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21" t="str">
        <f>A38</f>
        <v>比较价值（元/平方米）</v>
      </c>
      <c r="Q38" s="3221"/>
      <c r="R38" s="3250" t="e">
        <f>IF(F1="售价",ROUND(PRODUCT(R37,AA7:AA36),0),ROUND(PRODUCT(R37,AA7:AA36),1))</f>
        <v>#DIV/0!</v>
      </c>
      <c r="S38" s="3250"/>
      <c r="T38" s="3250" t="e">
        <f>IF(F1="售价",ROUND(PRODUCT(T37,AB7:AB36),0),ROUND(PRODUCT(T37,AB7:AB36),1))</f>
        <v>#DIV/0!</v>
      </c>
      <c r="U38" s="3250"/>
      <c r="V38" s="3250" t="e">
        <f>IF(F1="售价",ROUND(PRODUCT(V37,AC7:AC36),0),ROUND(PRODUCT(V37,AC7:AC36),1))</f>
        <v>#DIV/0!</v>
      </c>
      <c r="W38" s="3250"/>
      <c r="X38" s="758"/>
      <c r="Y38" s="758"/>
      <c r="Z38" s="758"/>
      <c r="AA38" s="758"/>
      <c r="AB38" s="758"/>
      <c r="AC38" s="758"/>
    </row>
    <row r="39" spans="1:29" ht="15.75" thickBot="1">
      <c r="A39" s="491" t="s">
        <v>2670</v>
      </c>
      <c r="B39" s="492"/>
      <c r="C39" s="1416" t="e">
        <f>R39</f>
        <v>#DIV/0!</v>
      </c>
      <c r="D39" s="1416"/>
      <c r="E39" s="1416"/>
      <c r="F39" s="1416"/>
      <c r="G39" s="1416"/>
      <c r="H39" s="1416"/>
      <c r="I39" s="1416"/>
      <c r="J39" s="1416"/>
      <c r="K39" s="620"/>
      <c r="L39" s="1142"/>
      <c r="M39" s="1143"/>
      <c r="N39" s="1143"/>
      <c r="O39" s="1143"/>
      <c r="P39" s="3241" t="str">
        <f>A39</f>
        <v>估价对象XX用房的比较价值（楼面单价，元/平方米）</v>
      </c>
      <c r="Q39" s="3242"/>
      <c r="R39" s="3251" t="e">
        <f>IF(F1="售价",ROUND(AVERAGE(R38:V38),0),ROUND(AVERAGE(R38:V38),1))</f>
        <v>#DIV/0!</v>
      </c>
      <c r="S39" s="3251"/>
      <c r="T39" s="3251"/>
      <c r="U39" s="3251"/>
      <c r="V39" s="3251"/>
      <c r="W39" s="3251"/>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2671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2672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2673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2674</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2675</v>
      </c>
      <c r="B48" s="505"/>
      <c r="C48" s="1572" t="str">
        <f>YEAR(C7)&amp;"-"&amp;MONTH(C7)</f>
        <v>2018-12</v>
      </c>
      <c r="D48" s="1573">
        <f>EDATE(C48,-1)</f>
        <v>43405</v>
      </c>
      <c r="E48" s="1573">
        <f t="shared" ref="E48:O48" si="16">EDATE(D48,-1)</f>
        <v>43374</v>
      </c>
      <c r="F48" s="1573">
        <f t="shared" si="16"/>
        <v>43344</v>
      </c>
      <c r="G48" s="1573">
        <f t="shared" si="16"/>
        <v>43313</v>
      </c>
      <c r="H48" s="1573">
        <f t="shared" si="16"/>
        <v>43282</v>
      </c>
      <c r="I48" s="1573">
        <f t="shared" si="16"/>
        <v>43252</v>
      </c>
      <c r="J48" s="1573">
        <f t="shared" si="16"/>
        <v>43221</v>
      </c>
      <c r="K48" s="1573">
        <f t="shared" si="16"/>
        <v>43191</v>
      </c>
      <c r="L48" s="1573">
        <f t="shared" si="16"/>
        <v>43160</v>
      </c>
      <c r="M48" s="1573">
        <f t="shared" si="16"/>
        <v>43132</v>
      </c>
      <c r="N48" s="1573">
        <f t="shared" si="16"/>
        <v>43101</v>
      </c>
      <c r="O48" s="1573">
        <f t="shared" si="16"/>
        <v>43070</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2532</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2498</v>
      </c>
      <c r="B51" s="509"/>
      <c r="C51" s="521" t="s">
        <v>2599</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2535</v>
      </c>
      <c r="B53" s="527" t="s">
        <v>2502</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2505</v>
      </c>
      <c r="C55" s="538" t="s">
        <v>2536</v>
      </c>
      <c r="D55" s="538" t="s">
        <v>2537</v>
      </c>
      <c r="E55" s="538" t="s">
        <v>2538</v>
      </c>
      <c r="F55" s="538" t="s">
        <v>2539</v>
      </c>
      <c r="G55" s="538" t="s">
        <v>2540</v>
      </c>
      <c r="H55" s="538" t="s">
        <v>2541</v>
      </c>
      <c r="I55" s="538" t="s">
        <v>2542</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2507</v>
      </c>
      <c r="B63" s="527" t="s">
        <v>2549</v>
      </c>
      <c r="C63" s="572" t="s">
        <v>2544</v>
      </c>
      <c r="D63" s="572" t="s">
        <v>2545</v>
      </c>
      <c r="E63" s="572" t="s">
        <v>2546</v>
      </c>
      <c r="F63" s="572" t="s">
        <v>2547</v>
      </c>
      <c r="G63" s="572" t="s">
        <v>2548</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2550</v>
      </c>
      <c r="C65" s="577" t="s">
        <v>2544</v>
      </c>
      <c r="D65" s="577" t="s">
        <v>2545</v>
      </c>
      <c r="E65" s="577" t="s">
        <v>2546</v>
      </c>
      <c r="F65" s="577" t="s">
        <v>2547</v>
      </c>
      <c r="G65" s="577" t="s">
        <v>2548</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2636</v>
      </c>
      <c r="C67" s="659" t="s">
        <v>2622</v>
      </c>
      <c r="D67" s="659" t="s">
        <v>2623</v>
      </c>
      <c r="E67" s="659" t="s">
        <v>2624</v>
      </c>
      <c r="F67" s="659" t="s">
        <v>2625</v>
      </c>
      <c r="G67" s="659" t="s">
        <v>2626</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2556</v>
      </c>
      <c r="C69" s="577" t="s">
        <v>2544</v>
      </c>
      <c r="D69" s="577" t="s">
        <v>2545</v>
      </c>
      <c r="E69" s="577" t="s">
        <v>2546</v>
      </c>
      <c r="F69" s="577" t="s">
        <v>2547</v>
      </c>
      <c r="G69" s="577" t="s">
        <v>2548</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2676</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2511</v>
      </c>
      <c r="B79" s="527" t="s">
        <v>2677</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2678</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2563</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2679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2680</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2681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2682</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2683</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75" priority="14" stopIfTrue="1" operator="containsText" text="超过">
      <formula>NOT(ISERROR(SEARCH("超过",F42)))</formula>
    </cfRule>
  </conditionalFormatting>
  <conditionalFormatting sqref="J44">
    <cfRule type="containsText" dxfId="674" priority="13" stopIfTrue="1" operator="containsText" text="超过">
      <formula>NOT(ISERROR(SEARCH("超过",J44)))</formula>
    </cfRule>
  </conditionalFormatting>
  <conditionalFormatting sqref="H44">
    <cfRule type="containsText" dxfId="673" priority="12" stopIfTrue="1" operator="containsText" text="超过">
      <formula>NOT(ISERROR(SEARCH("超过",H44)))</formula>
    </cfRule>
  </conditionalFormatting>
  <conditionalFormatting sqref="F44">
    <cfRule type="containsText" dxfId="672" priority="11" stopIfTrue="1" operator="containsText" text="超过">
      <formula>NOT(ISERROR(SEARCH("超过",F44)))</formula>
    </cfRule>
  </conditionalFormatting>
  <conditionalFormatting sqref="F43 H43 J43">
    <cfRule type="containsText" dxfId="671" priority="10" stopIfTrue="1" operator="containsText" text="超过">
      <formula>NOT(ISERROR(SEARCH("超过",F43)))</formula>
    </cfRule>
  </conditionalFormatting>
  <conditionalFormatting sqref="E42">
    <cfRule type="expression" dxfId="670" priority="9" stopIfTrue="1">
      <formula>$F$42="超过30%"</formula>
    </cfRule>
  </conditionalFormatting>
  <conditionalFormatting sqref="G44">
    <cfRule type="expression" dxfId="669" priority="8" stopIfTrue="1">
      <formula>$H$54+$H$44="超过30%"</formula>
    </cfRule>
  </conditionalFormatting>
  <conditionalFormatting sqref="E43">
    <cfRule type="expression" dxfId="668" priority="7" stopIfTrue="1">
      <formula>$F$43="超过20%"</formula>
    </cfRule>
  </conditionalFormatting>
  <conditionalFormatting sqref="E44">
    <cfRule type="expression" dxfId="667" priority="6" stopIfTrue="1">
      <formula>$F$44="超过30%"</formula>
    </cfRule>
  </conditionalFormatting>
  <conditionalFormatting sqref="G42">
    <cfRule type="expression" dxfId="666" priority="5" stopIfTrue="1">
      <formula>$H$52+$H$42="超过30%"</formula>
    </cfRule>
  </conditionalFormatting>
  <conditionalFormatting sqref="G43">
    <cfRule type="expression" dxfId="665" priority="4" stopIfTrue="1">
      <formula>$H$43="超过20%"</formula>
    </cfRule>
  </conditionalFormatting>
  <conditionalFormatting sqref="I42">
    <cfRule type="expression" dxfId="664" priority="3" stopIfTrue="1">
      <formula>$J$52+$J$42="超过30%"</formula>
    </cfRule>
  </conditionalFormatting>
  <conditionalFormatting sqref="I43">
    <cfRule type="expression" dxfId="663" priority="2" stopIfTrue="1">
      <formula>$J$53+$J$43="超过20%"</formula>
    </cfRule>
  </conditionalFormatting>
  <conditionalFormatting sqref="I44">
    <cfRule type="expression" dxfId="6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2654</v>
      </c>
      <c r="B1" s="1617"/>
      <c r="C1" s="1618" t="s">
        <v>2478</v>
      </c>
      <c r="D1" s="1619"/>
      <c r="E1" s="1628"/>
      <c r="F1" s="2579"/>
      <c r="G1" s="1629" t="s">
        <v>2590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2278</v>
      </c>
      <c r="B2" s="1417" t="e">
        <f ca="1">IF(C2="——",ROUND(C37*D3/10000,0),ROUND(C37*D3/10000,0)-D2)</f>
        <v>#DIV/0!</v>
      </c>
      <c r="C2" s="2581"/>
      <c r="D2" s="1123" t="e">
        <f ca="1">SUMIF(INDIRECT("'"&amp;F2&amp;"'"&amp;"!A:A"),"承租人权益价值",INDIRECT("'"&amp;F2&amp;"'"&amp;"!c:c"))</f>
        <v>#REF!</v>
      </c>
      <c r="E2" s="2582" t="s">
        <v>2279</v>
      </c>
      <c r="F2" s="2583"/>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2280</v>
      </c>
      <c r="B3" s="608" t="e">
        <f ca="1">IF(C2="——",C37,ROUND(B2*10000/D3,0))</f>
        <v>#DIV/0!</v>
      </c>
      <c r="C3" s="399" t="s">
        <v>2591</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2592</v>
      </c>
      <c r="B4" s="401"/>
      <c r="C4" s="3222" t="s">
        <v>2593</v>
      </c>
      <c r="D4" s="3223"/>
      <c r="E4" s="3224" t="s">
        <v>2594</v>
      </c>
      <c r="F4" s="3225"/>
      <c r="G4" s="3222" t="s">
        <v>2595</v>
      </c>
      <c r="H4" s="3223"/>
      <c r="I4" s="3222" t="s">
        <v>2596</v>
      </c>
      <c r="J4" s="3223"/>
      <c r="K4" s="609" t="s">
        <v>2597</v>
      </c>
      <c r="L4" s="1129"/>
      <c r="M4" s="1130"/>
      <c r="N4" s="1130"/>
      <c r="O4" s="1130"/>
      <c r="P4" s="3226" t="s">
        <v>2598</v>
      </c>
      <c r="Q4" s="3227"/>
      <c r="R4" s="3208" t="s">
        <v>2594</v>
      </c>
      <c r="S4" s="3209"/>
      <c r="T4" s="3208" t="s">
        <v>2595</v>
      </c>
      <c r="U4" s="3209"/>
      <c r="V4" s="3234" t="s">
        <v>2596</v>
      </c>
      <c r="W4" s="3234"/>
      <c r="X4" s="1811"/>
      <c r="Y4" s="3208" t="s">
        <v>2598</v>
      </c>
      <c r="Z4" s="3209"/>
      <c r="AA4" s="3203" t="s">
        <v>2594</v>
      </c>
      <c r="AB4" s="3204" t="s">
        <v>2595</v>
      </c>
      <c r="AC4" s="3203" t="s">
        <v>2596</v>
      </c>
    </row>
    <row r="5" spans="1:29" ht="15">
      <c r="A5" s="403"/>
      <c r="B5" s="404"/>
      <c r="C5" s="3218" t="s">
        <v>2490</v>
      </c>
      <c r="D5" s="3215"/>
      <c r="E5" s="3212" t="s">
        <v>2491</v>
      </c>
      <c r="F5" s="3213"/>
      <c r="G5" s="3218" t="s">
        <v>2492</v>
      </c>
      <c r="H5" s="3215"/>
      <c r="I5" s="3218" t="s">
        <v>2493</v>
      </c>
      <c r="J5" s="3215"/>
      <c r="K5" s="609"/>
      <c r="L5" s="1129"/>
      <c r="M5" s="1130"/>
      <c r="N5" s="1130"/>
      <c r="O5" s="1130"/>
      <c r="P5" s="3228"/>
      <c r="Q5" s="3229"/>
      <c r="R5" s="3210"/>
      <c r="S5" s="3211"/>
      <c r="T5" s="3210"/>
      <c r="U5" s="3211"/>
      <c r="V5" s="3234"/>
      <c r="W5" s="3234"/>
      <c r="X5" s="1811"/>
      <c r="Y5" s="3210"/>
      <c r="Z5" s="3211"/>
      <c r="AA5" s="3204"/>
      <c r="AB5" s="3204"/>
      <c r="AC5" s="3204"/>
    </row>
    <row r="6" spans="1:29" ht="15.75" thickBot="1">
      <c r="A6" s="405"/>
      <c r="B6" s="406"/>
      <c r="C6" s="3216" t="s">
        <v>2494</v>
      </c>
      <c r="D6" s="3217"/>
      <c r="E6" s="3219" t="s">
        <v>2494</v>
      </c>
      <c r="F6" s="3220"/>
      <c r="G6" s="3216" t="s">
        <v>2494</v>
      </c>
      <c r="H6" s="3217"/>
      <c r="I6" s="3216" t="s">
        <v>2494</v>
      </c>
      <c r="J6" s="3217"/>
      <c r="K6" s="609" t="s">
        <v>2495</v>
      </c>
      <c r="L6" s="1129"/>
      <c r="M6" s="1130"/>
      <c r="N6" s="1130"/>
      <c r="O6" s="1130"/>
      <c r="P6" s="3230"/>
      <c r="Q6" s="3231"/>
      <c r="R6" s="3210"/>
      <c r="S6" s="3211"/>
      <c r="T6" s="3232"/>
      <c r="U6" s="3233"/>
      <c r="V6" s="3234"/>
      <c r="W6" s="3234"/>
      <c r="X6" s="1811"/>
      <c r="Y6" s="3232"/>
      <c r="Z6" s="3233"/>
      <c r="AA6" s="3205"/>
      <c r="AB6" s="3205"/>
      <c r="AC6" s="3205"/>
    </row>
    <row r="7" spans="1:29" s="117" customFormat="1" ht="15.75" thickBot="1">
      <c r="A7" s="407" t="s">
        <v>2496</v>
      </c>
      <c r="B7" s="408"/>
      <c r="C7" s="409">
        <f>'数据-取费表'!B2</f>
        <v>43452</v>
      </c>
      <c r="D7" s="410">
        <v>100</v>
      </c>
      <c r="E7" s="411"/>
      <c r="F7" s="412">
        <f>SUMIF(46:46,YEAR(E7)&amp;"-"&amp;MONTH(E7),47:47)</f>
        <v>0</v>
      </c>
      <c r="G7" s="2690"/>
      <c r="H7" s="410">
        <f>SUMIF(46:46,YEAR(G7)&amp;"-"&amp;MONTH(G7),47:47)</f>
        <v>0</v>
      </c>
      <c r="I7" s="411"/>
      <c r="J7" s="410">
        <f>SUMIF(46:46,YEAR(I7)&amp;"-"&amp;MONTH(I7),47:47)</f>
        <v>0</v>
      </c>
      <c r="K7" s="610"/>
      <c r="L7" s="1131"/>
      <c r="M7" s="1132"/>
      <c r="N7" s="1132"/>
      <c r="O7" s="1132"/>
      <c r="P7" s="3206" t="s">
        <v>2497</v>
      </c>
      <c r="Q7" s="3235"/>
      <c r="R7" s="769" t="s">
        <v>17</v>
      </c>
      <c r="S7" s="770">
        <f t="shared" ref="S7:S14" si="0">F7</f>
        <v>0</v>
      </c>
      <c r="T7" s="769" t="s">
        <v>17</v>
      </c>
      <c r="U7" s="770">
        <f t="shared" ref="U7:U14" si="1">H7</f>
        <v>0</v>
      </c>
      <c r="V7" s="769" t="s">
        <v>17</v>
      </c>
      <c r="W7" s="770">
        <f t="shared" ref="W7:W14" si="2">J7</f>
        <v>0</v>
      </c>
      <c r="X7" s="771"/>
      <c r="Y7" s="3206" t="s">
        <v>2497</v>
      </c>
      <c r="Z7" s="3207"/>
      <c r="AA7" s="772" t="e">
        <f>D7/F7</f>
        <v>#DIV/0!</v>
      </c>
      <c r="AB7" s="772" t="e">
        <f>D7/H7</f>
        <v>#DIV/0!</v>
      </c>
      <c r="AC7" s="772" t="e">
        <f>D7/J7</f>
        <v>#DIV/0!</v>
      </c>
    </row>
    <row r="8" spans="1:29" s="117" customFormat="1" ht="15.75" thickBot="1">
      <c r="A8" s="407" t="s">
        <v>2498</v>
      </c>
      <c r="B8" s="408"/>
      <c r="C8" s="413" t="s">
        <v>2599</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06" t="s">
        <v>2500</v>
      </c>
      <c r="Q8" s="3207"/>
      <c r="R8" s="769" t="s">
        <v>17</v>
      </c>
      <c r="S8" s="770">
        <f t="shared" si="0"/>
        <v>0</v>
      </c>
      <c r="T8" s="769" t="s">
        <v>17</v>
      </c>
      <c r="U8" s="770">
        <f t="shared" si="1"/>
        <v>0</v>
      </c>
      <c r="V8" s="769" t="s">
        <v>17</v>
      </c>
      <c r="W8" s="770">
        <f t="shared" si="2"/>
        <v>0</v>
      </c>
      <c r="X8" s="771"/>
      <c r="Y8" s="3206" t="s">
        <v>2500</v>
      </c>
      <c r="Z8" s="3207"/>
      <c r="AA8" s="772" t="e">
        <f t="shared" ref="AA8:AA34" si="3">D8/F8</f>
        <v>#DIV/0!</v>
      </c>
      <c r="AB8" s="772" t="e">
        <f t="shared" ref="AB8:AB34" si="4">D8/H8</f>
        <v>#DIV/0!</v>
      </c>
      <c r="AC8" s="772" t="e">
        <f t="shared" ref="AC8:AC34" si="5">D8/J8</f>
        <v>#DIV/0!</v>
      </c>
    </row>
    <row r="9" spans="1:29" s="117" customFormat="1">
      <c r="A9" s="414" t="s">
        <v>2501</v>
      </c>
      <c r="B9" s="71" t="s">
        <v>2502</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21" t="s">
        <v>2503</v>
      </c>
      <c r="Q9" s="1793" t="str">
        <f t="shared" ref="Q9:Q14" si="6">B9</f>
        <v>用途</v>
      </c>
      <c r="R9" s="769" t="s">
        <v>17</v>
      </c>
      <c r="S9" s="770">
        <f t="shared" si="0"/>
        <v>100</v>
      </c>
      <c r="T9" s="769" t="s">
        <v>17</v>
      </c>
      <c r="U9" s="770">
        <f t="shared" si="1"/>
        <v>100</v>
      </c>
      <c r="V9" s="769" t="s">
        <v>17</v>
      </c>
      <c r="W9" s="770">
        <f t="shared" si="2"/>
        <v>100</v>
      </c>
      <c r="X9" s="771"/>
      <c r="Y9" s="3083" t="s">
        <v>2504</v>
      </c>
      <c r="Z9" s="55" t="str">
        <f t="shared" ref="Z9:Z14" si="7">Q9</f>
        <v>用途</v>
      </c>
      <c r="AA9" s="772">
        <f t="shared" si="3"/>
        <v>1</v>
      </c>
      <c r="AB9" s="772">
        <f t="shared" si="4"/>
        <v>1</v>
      </c>
      <c r="AC9" s="772">
        <f t="shared" si="5"/>
        <v>1</v>
      </c>
    </row>
    <row r="10" spans="1:29" s="426" customFormat="1" ht="27">
      <c r="A10" s="420"/>
      <c r="B10" s="421" t="s">
        <v>2505</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21"/>
      <c r="Q10" s="1793" t="str">
        <f t="shared" si="6"/>
        <v>土地使用年限（年）</v>
      </c>
      <c r="R10" s="769" t="s">
        <v>17</v>
      </c>
      <c r="S10" s="770">
        <f t="shared" si="0"/>
        <v>100</v>
      </c>
      <c r="T10" s="769" t="s">
        <v>17</v>
      </c>
      <c r="U10" s="770">
        <f t="shared" si="1"/>
        <v>100</v>
      </c>
      <c r="V10" s="769" t="s">
        <v>17</v>
      </c>
      <c r="W10" s="770">
        <f t="shared" si="2"/>
        <v>100</v>
      </c>
      <c r="X10" s="771"/>
      <c r="Y10" s="3083"/>
      <c r="Z10" s="55" t="str">
        <f t="shared" si="7"/>
        <v>土地使用年限（年）</v>
      </c>
      <c r="AA10" s="772">
        <f t="shared" si="3"/>
        <v>1</v>
      </c>
      <c r="AB10" s="772">
        <f t="shared" si="4"/>
        <v>1</v>
      </c>
      <c r="AC10" s="772">
        <f t="shared" si="5"/>
        <v>1</v>
      </c>
    </row>
    <row r="11" spans="1:29" ht="15">
      <c r="A11" s="427"/>
      <c r="B11" s="2595">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21"/>
      <c r="Q11" s="1793">
        <f t="shared" si="6"/>
        <v>111</v>
      </c>
      <c r="R11" s="769" t="s">
        <v>17</v>
      </c>
      <c r="S11" s="770">
        <f t="shared" si="0"/>
        <v>100</v>
      </c>
      <c r="T11" s="769" t="s">
        <v>17</v>
      </c>
      <c r="U11" s="770">
        <f t="shared" si="1"/>
        <v>100</v>
      </c>
      <c r="V11" s="769" t="s">
        <v>17</v>
      </c>
      <c r="W11" s="770">
        <f t="shared" si="2"/>
        <v>100</v>
      </c>
      <c r="X11" s="771"/>
      <c r="Y11" s="3083"/>
      <c r="Z11" s="55">
        <f t="shared" si="7"/>
        <v>111</v>
      </c>
      <c r="AA11" s="772">
        <f t="shared" si="3"/>
        <v>1</v>
      </c>
      <c r="AB11" s="772">
        <f t="shared" si="4"/>
        <v>1</v>
      </c>
      <c r="AC11" s="772">
        <f t="shared" si="5"/>
        <v>1</v>
      </c>
    </row>
    <row r="12" spans="1:29" s="117" customFormat="1" ht="15">
      <c r="A12" s="430"/>
      <c r="B12" s="2595">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21"/>
      <c r="Q12" s="1793">
        <f t="shared" si="6"/>
        <v>111</v>
      </c>
      <c r="R12" s="769" t="s">
        <v>17</v>
      </c>
      <c r="S12" s="770">
        <f t="shared" si="0"/>
        <v>100</v>
      </c>
      <c r="T12" s="769" t="s">
        <v>17</v>
      </c>
      <c r="U12" s="770">
        <f t="shared" si="1"/>
        <v>100</v>
      </c>
      <c r="V12" s="769" t="s">
        <v>17</v>
      </c>
      <c r="W12" s="770">
        <f t="shared" si="2"/>
        <v>100</v>
      </c>
      <c r="X12" s="771"/>
      <c r="Y12" s="3083"/>
      <c r="Z12" s="55">
        <f t="shared" si="7"/>
        <v>111</v>
      </c>
      <c r="AA12" s="772">
        <f>D12/F12</f>
        <v>1</v>
      </c>
      <c r="AB12" s="772">
        <f>D12/H12</f>
        <v>1</v>
      </c>
      <c r="AC12" s="772">
        <f>D12/J12</f>
        <v>1</v>
      </c>
    </row>
    <row r="13" spans="1:29" ht="15.75" thickBot="1">
      <c r="A13" s="427"/>
      <c r="B13" s="2595">
        <v>111</v>
      </c>
      <c r="C13" s="433"/>
      <c r="D13" s="434">
        <v>100</v>
      </c>
      <c r="E13" s="468"/>
      <c r="F13" s="424">
        <f>SUMIF(59:59,E13,60:60)-SUMIF(59:59,C13,60:60)+100</f>
        <v>100</v>
      </c>
      <c r="G13" s="2691"/>
      <c r="H13" s="437">
        <f>SUMIF(59:59,G13,60:60)-SUMIF(59:59,C13,60:60)+100</f>
        <v>100</v>
      </c>
      <c r="I13" s="468"/>
      <c r="J13" s="434">
        <f>SUMIF(59:59,I13,60:60)-SUMIF(59:59,C13,60:60)+100</f>
        <v>100</v>
      </c>
      <c r="K13" s="612"/>
      <c r="L13" s="1139"/>
      <c r="M13" s="1130"/>
      <c r="N13" s="1130"/>
      <c r="O13" s="1138"/>
      <c r="P13" s="3221"/>
      <c r="Q13" s="1793">
        <f t="shared" si="6"/>
        <v>111</v>
      </c>
      <c r="R13" s="769" t="s">
        <v>17</v>
      </c>
      <c r="S13" s="770">
        <f t="shared" si="0"/>
        <v>100</v>
      </c>
      <c r="T13" s="769" t="s">
        <v>17</v>
      </c>
      <c r="U13" s="770">
        <f t="shared" si="1"/>
        <v>100</v>
      </c>
      <c r="V13" s="769" t="s">
        <v>17</v>
      </c>
      <c r="W13" s="770">
        <f t="shared" si="2"/>
        <v>100</v>
      </c>
      <c r="X13" s="771"/>
      <c r="Y13" s="3083"/>
      <c r="Z13" s="55">
        <f t="shared" si="7"/>
        <v>111</v>
      </c>
      <c r="AA13" s="772">
        <f t="shared" si="3"/>
        <v>1</v>
      </c>
      <c r="AB13" s="772">
        <f t="shared" si="4"/>
        <v>1</v>
      </c>
      <c r="AC13" s="772">
        <f t="shared" si="5"/>
        <v>1</v>
      </c>
    </row>
    <row r="14" spans="1:29" ht="128.25">
      <c r="A14" s="439" t="s">
        <v>2507</v>
      </c>
      <c r="B14" s="69" t="s">
        <v>2656</v>
      </c>
      <c r="C14" s="2687" t="str">
        <f>IF(B1="工业",估价对象房地状况!G4,估价对象房地状况!C6)</f>
        <v>估价对象周边道路状况一般、公共交通通达情况一般、停车便捷程度较好，周边有143、300路等公交线路，综合评价交通便捷度一般</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36" t="s">
        <v>2508</v>
      </c>
      <c r="Q14" s="1808" t="str">
        <f t="shared" si="6"/>
        <v>交通便捷度</v>
      </c>
      <c r="R14" s="773" t="s">
        <v>17</v>
      </c>
      <c r="S14" s="774">
        <f t="shared" si="0"/>
        <v>100</v>
      </c>
      <c r="T14" s="773" t="s">
        <v>17</v>
      </c>
      <c r="U14" s="774">
        <f t="shared" si="1"/>
        <v>100</v>
      </c>
      <c r="V14" s="773" t="s">
        <v>17</v>
      </c>
      <c r="W14" s="774">
        <f t="shared" si="2"/>
        <v>100</v>
      </c>
      <c r="X14" s="1811"/>
      <c r="Y14" s="3236" t="s">
        <v>2508</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9"/>
      <c r="M15" s="1130"/>
      <c r="N15" s="1130"/>
      <c r="O15" s="1138"/>
      <c r="P15" s="3237"/>
      <c r="Q15" s="1808"/>
      <c r="R15" s="773"/>
      <c r="S15" s="774"/>
      <c r="T15" s="773"/>
      <c r="U15" s="774"/>
      <c r="V15" s="773"/>
      <c r="W15" s="774"/>
      <c r="X15" s="1811"/>
      <c r="Y15" s="3237"/>
      <c r="Z15" s="1812"/>
      <c r="AA15" s="1809">
        <v>1</v>
      </c>
      <c r="AB15" s="1809">
        <v>1</v>
      </c>
      <c r="AC15" s="1809">
        <v>1</v>
      </c>
    </row>
    <row r="16" spans="1:29" ht="42.75">
      <c r="A16" s="427"/>
      <c r="B16" s="450" t="s">
        <v>2635</v>
      </c>
      <c r="C16" s="2602" t="str">
        <f>IF(B1="工业",估价对象房地状况!G5,估价对象房地状况!C7)</f>
        <v>估价对象所在区域公共配套设施齐备情况一般</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37"/>
      <c r="Q16" s="1808" t="str">
        <f>B16</f>
        <v>公共配套设施</v>
      </c>
      <c r="R16" s="773" t="s">
        <v>17</v>
      </c>
      <c r="S16" s="774">
        <f>F16</f>
        <v>100</v>
      </c>
      <c r="T16" s="773" t="s">
        <v>17</v>
      </c>
      <c r="U16" s="774">
        <f>H16</f>
        <v>100</v>
      </c>
      <c r="V16" s="773" t="s">
        <v>17</v>
      </c>
      <c r="W16" s="774">
        <f>J16</f>
        <v>100</v>
      </c>
      <c r="X16" s="1811"/>
      <c r="Y16" s="3237"/>
      <c r="Z16" s="1812" t="str">
        <f>Q16</f>
        <v>公共配套设施</v>
      </c>
      <c r="AA16" s="1809">
        <f t="shared" si="3"/>
        <v>1</v>
      </c>
      <c r="AB16" s="1809">
        <f t="shared" si="4"/>
        <v>1</v>
      </c>
      <c r="AC16" s="1809">
        <f t="shared" si="5"/>
        <v>1</v>
      </c>
    </row>
    <row r="17" spans="1:29" ht="15">
      <c r="A17" s="427"/>
      <c r="B17" s="455"/>
      <c r="C17" s="2603"/>
      <c r="D17" s="447"/>
      <c r="E17" s="446"/>
      <c r="F17" s="448"/>
      <c r="G17" s="446"/>
      <c r="H17" s="447"/>
      <c r="I17" s="446"/>
      <c r="J17" s="447"/>
      <c r="K17" s="614"/>
      <c r="L17" s="1139"/>
      <c r="M17" s="1130"/>
      <c r="N17" s="1130"/>
      <c r="O17" s="1138"/>
      <c r="P17" s="3237"/>
      <c r="Q17" s="1808"/>
      <c r="R17" s="773"/>
      <c r="S17" s="774"/>
      <c r="T17" s="773"/>
      <c r="U17" s="774"/>
      <c r="V17" s="773"/>
      <c r="W17" s="774"/>
      <c r="X17" s="1811"/>
      <c r="Y17" s="3237"/>
      <c r="Z17" s="1812"/>
      <c r="AA17" s="1809">
        <v>1</v>
      </c>
      <c r="AB17" s="1809">
        <v>1</v>
      </c>
      <c r="AC17" s="1809">
        <v>1</v>
      </c>
    </row>
    <row r="18" spans="1:29" ht="42.75">
      <c r="A18" s="427"/>
      <c r="B18" s="1383" t="s">
        <v>2636</v>
      </c>
      <c r="C18" s="2602" t="str">
        <f>IF(B1="工业",估价对象房地状况!G6,估价对象房地状况!C8)</f>
        <v>估价对象所在区域基础设施水平较好</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37"/>
      <c r="Q18" s="1808" t="str">
        <f>B18</f>
        <v>基础设施水平</v>
      </c>
      <c r="R18" s="773" t="s">
        <v>17</v>
      </c>
      <c r="S18" s="774">
        <f>F18</f>
        <v>100</v>
      </c>
      <c r="T18" s="773" t="s">
        <v>17</v>
      </c>
      <c r="U18" s="774">
        <f>H18</f>
        <v>100</v>
      </c>
      <c r="V18" s="773" t="s">
        <v>17</v>
      </c>
      <c r="W18" s="774">
        <f>J18</f>
        <v>100</v>
      </c>
      <c r="X18" s="1811"/>
      <c r="Y18" s="3237"/>
      <c r="Z18" s="1812" t="str">
        <f>Q18</f>
        <v>基础设施水平</v>
      </c>
      <c r="AA18" s="1809">
        <f t="shared" ref="AA18" si="8">D18/F18</f>
        <v>1</v>
      </c>
      <c r="AB18" s="1809">
        <f t="shared" ref="AB18" si="9">D18/H18</f>
        <v>1</v>
      </c>
      <c r="AC18" s="1809">
        <f t="shared" ref="AC18" si="10">D18/J18</f>
        <v>1</v>
      </c>
    </row>
    <row r="19" spans="1:29" ht="15">
      <c r="A19" s="427"/>
      <c r="B19" s="1383"/>
      <c r="C19" s="2603"/>
      <c r="D19" s="449"/>
      <c r="E19" s="2603"/>
      <c r="F19" s="452"/>
      <c r="G19" s="2603"/>
      <c r="H19" s="447"/>
      <c r="I19" s="446"/>
      <c r="J19" s="447"/>
      <c r="K19" s="1382"/>
      <c r="L19" s="1139"/>
      <c r="M19" s="1130"/>
      <c r="N19" s="1130"/>
      <c r="O19" s="1138"/>
      <c r="P19" s="3237"/>
      <c r="Q19" s="1808"/>
      <c r="R19" s="773"/>
      <c r="S19" s="774"/>
      <c r="T19" s="773"/>
      <c r="U19" s="774"/>
      <c r="V19" s="773"/>
      <c r="W19" s="774"/>
      <c r="X19" s="1811"/>
      <c r="Y19" s="3237"/>
      <c r="Z19" s="1812"/>
      <c r="AA19" s="1809">
        <v>1</v>
      </c>
      <c r="AB19" s="1809">
        <v>1</v>
      </c>
      <c r="AC19" s="1809">
        <v>1</v>
      </c>
    </row>
    <row r="20" spans="1:29" ht="114">
      <c r="A20" s="427"/>
      <c r="B20" s="450" t="s">
        <v>2657</v>
      </c>
      <c r="C20" s="2602" t="str">
        <f>IF(B1="工业",估价对象房地状况!G7,估价对象房地状况!C9)</f>
        <v>区域自然环境及人文环境好；周边有合肥半岛花博园、大房郢水库、合肥经济技术职业学院等，综合评价环境状况好</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37"/>
      <c r="Q20" s="1808" t="str">
        <f>B20</f>
        <v>自然及人文环境</v>
      </c>
      <c r="R20" s="773" t="s">
        <v>17</v>
      </c>
      <c r="S20" s="774">
        <f>F20</f>
        <v>100</v>
      </c>
      <c r="T20" s="773" t="s">
        <v>17</v>
      </c>
      <c r="U20" s="774">
        <f>H20</f>
        <v>100</v>
      </c>
      <c r="V20" s="773" t="s">
        <v>17</v>
      </c>
      <c r="W20" s="774">
        <f>J20</f>
        <v>100</v>
      </c>
      <c r="X20" s="1811"/>
      <c r="Y20" s="3237"/>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9"/>
      <c r="M21" s="1130"/>
      <c r="N21" s="1130"/>
      <c r="O21" s="1138"/>
      <c r="P21" s="3237"/>
      <c r="Q21" s="1808"/>
      <c r="R21" s="773"/>
      <c r="S21" s="774"/>
      <c r="T21" s="773"/>
      <c r="U21" s="774"/>
      <c r="V21" s="773"/>
      <c r="W21" s="774"/>
      <c r="X21" s="1811"/>
      <c r="Y21" s="3237"/>
      <c r="Z21" s="1812"/>
      <c r="AA21" s="1809">
        <v>1</v>
      </c>
      <c r="AB21" s="1809">
        <v>1</v>
      </c>
      <c r="AC21" s="1809">
        <v>1</v>
      </c>
    </row>
    <row r="22" spans="1:29" ht="15">
      <c r="A22" s="427"/>
      <c r="B22" s="450" t="s">
        <v>2658</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37"/>
      <c r="Q22" s="1808" t="str">
        <f>B22</f>
        <v>楼层</v>
      </c>
      <c r="R22" s="773" t="s">
        <v>17</v>
      </c>
      <c r="S22" s="774">
        <f>F22</f>
        <v>100</v>
      </c>
      <c r="T22" s="773" t="s">
        <v>17</v>
      </c>
      <c r="U22" s="774">
        <f>H22</f>
        <v>100</v>
      </c>
      <c r="V22" s="773" t="s">
        <v>17</v>
      </c>
      <c r="W22" s="774">
        <f>J22</f>
        <v>100</v>
      </c>
      <c r="X22" s="1811"/>
      <c r="Y22" s="3237"/>
      <c r="Z22" s="1812" t="str">
        <f>Q22</f>
        <v>楼层</v>
      </c>
      <c r="AA22" s="1809">
        <f t="shared" si="3"/>
        <v>1</v>
      </c>
      <c r="AB22" s="1809">
        <f t="shared" si="4"/>
        <v>1</v>
      </c>
      <c r="AC22" s="1809">
        <f t="shared" si="5"/>
        <v>1</v>
      </c>
    </row>
    <row r="23" spans="1:29" ht="15">
      <c r="A23" s="403"/>
      <c r="B23" s="2595">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37"/>
      <c r="Q23" s="1808">
        <f>B23</f>
        <v>111</v>
      </c>
      <c r="R23" s="773" t="s">
        <v>17</v>
      </c>
      <c r="S23" s="774">
        <f>F23</f>
        <v>100</v>
      </c>
      <c r="T23" s="773" t="s">
        <v>17</v>
      </c>
      <c r="U23" s="774">
        <f>H23</f>
        <v>100</v>
      </c>
      <c r="V23" s="773" t="s">
        <v>17</v>
      </c>
      <c r="W23" s="774">
        <f>J23</f>
        <v>100</v>
      </c>
      <c r="X23" s="1811"/>
      <c r="Y23" s="3237"/>
      <c r="Z23" s="1812">
        <f>Q23</f>
        <v>111</v>
      </c>
      <c r="AA23" s="1809">
        <f t="shared" si="3"/>
        <v>1</v>
      </c>
      <c r="AB23" s="1809">
        <f t="shared" si="4"/>
        <v>1</v>
      </c>
      <c r="AC23" s="1809">
        <f t="shared" si="5"/>
        <v>1</v>
      </c>
    </row>
    <row r="24" spans="1:29" ht="15">
      <c r="A24" s="427"/>
      <c r="B24" s="2595">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37"/>
      <c r="Q24" s="1808">
        <f t="shared" ref="Q24:Q34" si="11">B24</f>
        <v>111</v>
      </c>
      <c r="R24" s="773" t="s">
        <v>17</v>
      </c>
      <c r="S24" s="774">
        <f>F24</f>
        <v>100</v>
      </c>
      <c r="T24" s="773" t="s">
        <v>17</v>
      </c>
      <c r="U24" s="774">
        <f>H24</f>
        <v>100</v>
      </c>
      <c r="V24" s="773" t="s">
        <v>17</v>
      </c>
      <c r="W24" s="774">
        <f>J24</f>
        <v>100</v>
      </c>
      <c r="X24" s="1811"/>
      <c r="Y24" s="3237"/>
      <c r="Z24" s="1812">
        <f>Q24</f>
        <v>111</v>
      </c>
      <c r="AA24" s="1809">
        <f t="shared" si="3"/>
        <v>1</v>
      </c>
      <c r="AB24" s="1809">
        <f t="shared" si="4"/>
        <v>1</v>
      </c>
      <c r="AC24" s="1809">
        <f t="shared" si="5"/>
        <v>1</v>
      </c>
    </row>
    <row r="25" spans="1:29" s="117" customFormat="1" ht="15.75" thickBot="1">
      <c r="A25" s="430"/>
      <c r="B25" s="2595">
        <v>111</v>
      </c>
      <c r="C25" s="2692"/>
      <c r="D25" s="664">
        <v>100</v>
      </c>
      <c r="E25" s="2692"/>
      <c r="F25" s="665">
        <f>SUMIF(75:75,E25,76:76)-SUMIF(75:75,C25,76:76)+100</f>
        <v>100</v>
      </c>
      <c r="G25" s="2692"/>
      <c r="H25" s="664">
        <f>SUMIF(75:75,G25,76:76)-SUMIF(75:75,C25,76:76)+100</f>
        <v>100</v>
      </c>
      <c r="I25" s="2692"/>
      <c r="J25" s="664">
        <f>SUMIF(75:75,I25,76:76)-SUMIF(75:75,C25,76:76)+100</f>
        <v>100</v>
      </c>
      <c r="K25" s="612"/>
      <c r="L25" s="1131"/>
      <c r="M25" s="1132"/>
      <c r="N25" s="1132"/>
      <c r="O25" s="1133"/>
      <c r="P25" s="3237"/>
      <c r="Q25" s="1793">
        <f t="shared" si="11"/>
        <v>111</v>
      </c>
      <c r="R25" s="769" t="s">
        <v>17</v>
      </c>
      <c r="S25" s="770">
        <f>F25</f>
        <v>100</v>
      </c>
      <c r="T25" s="769" t="s">
        <v>17</v>
      </c>
      <c r="U25" s="770">
        <f>H25</f>
        <v>100</v>
      </c>
      <c r="V25" s="769" t="s">
        <v>17</v>
      </c>
      <c r="W25" s="770">
        <f>J25</f>
        <v>100</v>
      </c>
      <c r="X25" s="771"/>
      <c r="Y25" s="3237"/>
      <c r="Z25" s="55">
        <f>Q25</f>
        <v>111</v>
      </c>
      <c r="AA25" s="1809">
        <f>D25/F25</f>
        <v>1</v>
      </c>
      <c r="AB25" s="1809">
        <f>D25/H25</f>
        <v>1</v>
      </c>
      <c r="AC25" s="1809">
        <f>D25/J25</f>
        <v>1</v>
      </c>
    </row>
    <row r="26" spans="1:29" ht="15">
      <c r="A26" s="465" t="s">
        <v>2511</v>
      </c>
      <c r="B26" s="71" t="s">
        <v>2661</v>
      </c>
      <c r="C26" s="2673"/>
      <c r="D26" s="466">
        <v>100</v>
      </c>
      <c r="E26" s="2673"/>
      <c r="F26" s="666">
        <f>SUMIF(77:77,E26,78:78)-SUMIF(77:77,C26,78:78)+100</f>
        <v>100</v>
      </c>
      <c r="G26" s="2673"/>
      <c r="H26" s="466">
        <f>SUMIF(77:77,G26,78:78)-SUMIF(77:77,C26,78:78)+100</f>
        <v>100</v>
      </c>
      <c r="I26" s="2673"/>
      <c r="J26" s="466">
        <f>SUMIF(77:77,I26,78:78)-SUMIF(77:77,C26,78:78)+100</f>
        <v>100</v>
      </c>
      <c r="K26" s="611"/>
      <c r="L26" s="1139"/>
      <c r="M26" s="1130"/>
      <c r="N26" s="1130"/>
      <c r="O26" s="1138"/>
      <c r="P26" s="3238" t="s">
        <v>2513</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39" t="s">
        <v>2513</v>
      </c>
      <c r="Z26" s="1812" t="str">
        <f t="shared" ref="Z26:Z34" si="15">Q26</f>
        <v>公共部分装修</v>
      </c>
      <c r="AA26" s="1809">
        <f t="shared" si="3"/>
        <v>1</v>
      </c>
      <c r="AB26" s="1809">
        <f t="shared" si="4"/>
        <v>1</v>
      </c>
      <c r="AC26" s="1809">
        <f t="shared" si="5"/>
        <v>1</v>
      </c>
    </row>
    <row r="27" spans="1:29" s="470" customFormat="1" ht="15">
      <c r="A27" s="467"/>
      <c r="B27" s="421" t="s">
        <v>2662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39"/>
      <c r="Q27" s="775" t="str">
        <f t="shared" si="11"/>
        <v>成新率</v>
      </c>
      <c r="R27" s="776" t="s">
        <v>17</v>
      </c>
      <c r="S27" s="777" t="e">
        <f t="shared" si="12"/>
        <v>#N/A</v>
      </c>
      <c r="T27" s="776" t="s">
        <v>17</v>
      </c>
      <c r="U27" s="777" t="e">
        <f t="shared" si="13"/>
        <v>#N/A</v>
      </c>
      <c r="V27" s="776" t="s">
        <v>17</v>
      </c>
      <c r="W27" s="777" t="e">
        <f t="shared" si="14"/>
        <v>#N/A</v>
      </c>
      <c r="X27" s="778"/>
      <c r="Y27" s="3239"/>
      <c r="Z27" s="779" t="str">
        <f t="shared" si="15"/>
        <v>成新率</v>
      </c>
      <c r="AA27" s="1809" t="e">
        <f t="shared" si="3"/>
        <v>#N/A</v>
      </c>
      <c r="AB27" s="1809" t="e">
        <f t="shared" si="4"/>
        <v>#N/A</v>
      </c>
      <c r="AC27" s="1809" t="e">
        <f t="shared" si="5"/>
        <v>#N/A</v>
      </c>
    </row>
    <row r="28" spans="1:29" ht="15">
      <c r="A28" s="471"/>
      <c r="B28" s="421" t="s">
        <v>2663</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39"/>
      <c r="Q28" s="1808" t="str">
        <f t="shared" si="11"/>
        <v>物业等级</v>
      </c>
      <c r="R28" s="773" t="s">
        <v>17</v>
      </c>
      <c r="S28" s="774">
        <f t="shared" si="12"/>
        <v>100</v>
      </c>
      <c r="T28" s="773" t="s">
        <v>17</v>
      </c>
      <c r="U28" s="774">
        <f t="shared" si="13"/>
        <v>100</v>
      </c>
      <c r="V28" s="773" t="s">
        <v>17</v>
      </c>
      <c r="W28" s="774">
        <f t="shared" si="14"/>
        <v>100</v>
      </c>
      <c r="X28" s="1811"/>
      <c r="Y28" s="3239"/>
      <c r="Z28" s="1812" t="str">
        <f t="shared" si="15"/>
        <v>物业等级</v>
      </c>
      <c r="AA28" s="1809">
        <f t="shared" si="3"/>
        <v>1</v>
      </c>
      <c r="AB28" s="1809">
        <f t="shared" si="4"/>
        <v>1</v>
      </c>
      <c r="AC28" s="1809">
        <f t="shared" si="5"/>
        <v>1</v>
      </c>
    </row>
    <row r="29" spans="1:29" ht="15">
      <c r="A29" s="471"/>
      <c r="B29" s="421" t="s">
        <v>2684</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39"/>
      <c r="Q29" s="1808" t="str">
        <f t="shared" si="11"/>
        <v>有无电梯</v>
      </c>
      <c r="R29" s="773" t="s">
        <v>17</v>
      </c>
      <c r="S29" s="774">
        <f t="shared" si="12"/>
        <v>100</v>
      </c>
      <c r="T29" s="773" t="s">
        <v>17</v>
      </c>
      <c r="U29" s="774">
        <f t="shared" si="13"/>
        <v>100</v>
      </c>
      <c r="V29" s="773" t="s">
        <v>17</v>
      </c>
      <c r="W29" s="774">
        <f t="shared" si="14"/>
        <v>100</v>
      </c>
      <c r="X29" s="1811"/>
      <c r="Y29" s="3239"/>
      <c r="Z29" s="1812" t="str">
        <f t="shared" si="15"/>
        <v>有无电梯</v>
      </c>
      <c r="AA29" s="1809">
        <f t="shared" si="3"/>
        <v>1</v>
      </c>
      <c r="AB29" s="1809">
        <f t="shared" si="4"/>
        <v>1</v>
      </c>
      <c r="AC29" s="1809">
        <f t="shared" si="5"/>
        <v>1</v>
      </c>
    </row>
    <row r="30" spans="1:29" ht="15">
      <c r="A30" s="471"/>
      <c r="B30" s="421" t="s">
        <v>2685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39"/>
      <c r="Q30" s="1808" t="str">
        <f t="shared" si="11"/>
        <v>建筑面积</v>
      </c>
      <c r="R30" s="773" t="s">
        <v>17</v>
      </c>
      <c r="S30" s="774" t="e">
        <f t="shared" si="12"/>
        <v>#N/A</v>
      </c>
      <c r="T30" s="773" t="s">
        <v>17</v>
      </c>
      <c r="U30" s="774" t="e">
        <f t="shared" si="13"/>
        <v>#N/A</v>
      </c>
      <c r="V30" s="773" t="s">
        <v>17</v>
      </c>
      <c r="W30" s="774" t="e">
        <f t="shared" si="14"/>
        <v>#N/A</v>
      </c>
      <c r="X30" s="1811"/>
      <c r="Y30" s="3239"/>
      <c r="Z30" s="1812" t="str">
        <f t="shared" si="15"/>
        <v>建筑面积</v>
      </c>
      <c r="AA30" s="1809" t="e">
        <f t="shared" si="3"/>
        <v>#N/A</v>
      </c>
      <c r="AB30" s="1809" t="e">
        <f t="shared" si="4"/>
        <v>#N/A</v>
      </c>
      <c r="AC30" s="1809" t="e">
        <f t="shared" si="5"/>
        <v>#N/A</v>
      </c>
    </row>
    <row r="31" spans="1:29" s="117" customFormat="1" ht="15">
      <c r="A31" s="472"/>
      <c r="B31" s="421" t="s">
        <v>2686</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39"/>
      <c r="Q31" s="1793" t="str">
        <f t="shared" si="11"/>
        <v>是否封闭</v>
      </c>
      <c r="R31" s="769" t="s">
        <v>17</v>
      </c>
      <c r="S31" s="770">
        <f t="shared" si="12"/>
        <v>100</v>
      </c>
      <c r="T31" s="769" t="s">
        <v>17</v>
      </c>
      <c r="U31" s="770">
        <f t="shared" si="13"/>
        <v>100</v>
      </c>
      <c r="V31" s="769" t="s">
        <v>17</v>
      </c>
      <c r="W31" s="770">
        <f t="shared" si="14"/>
        <v>100</v>
      </c>
      <c r="X31" s="771"/>
      <c r="Y31" s="3239"/>
      <c r="Z31" s="55" t="str">
        <f t="shared" si="15"/>
        <v>是否封闭</v>
      </c>
      <c r="AA31" s="772">
        <f t="shared" si="3"/>
        <v>1</v>
      </c>
      <c r="AB31" s="772">
        <f t="shared" si="4"/>
        <v>1</v>
      </c>
      <c r="AC31" s="772">
        <f t="shared" si="5"/>
        <v>1</v>
      </c>
    </row>
    <row r="32" spans="1:29" ht="15">
      <c r="A32" s="471"/>
      <c r="B32" s="2595">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39" t="s">
        <v>2513</v>
      </c>
      <c r="Q32" s="1808">
        <f t="shared" si="11"/>
        <v>111</v>
      </c>
      <c r="R32" s="773" t="s">
        <v>17</v>
      </c>
      <c r="S32" s="774">
        <f t="shared" si="12"/>
        <v>100</v>
      </c>
      <c r="T32" s="773" t="s">
        <v>17</v>
      </c>
      <c r="U32" s="774">
        <f t="shared" si="13"/>
        <v>100</v>
      </c>
      <c r="V32" s="773" t="s">
        <v>17</v>
      </c>
      <c r="W32" s="774">
        <f t="shared" si="14"/>
        <v>100</v>
      </c>
      <c r="X32" s="1811"/>
      <c r="Y32" s="3239" t="s">
        <v>2513</v>
      </c>
      <c r="Z32" s="1812">
        <f t="shared" si="15"/>
        <v>111</v>
      </c>
      <c r="AA32" s="1809">
        <f t="shared" si="3"/>
        <v>1</v>
      </c>
      <c r="AB32" s="1809">
        <f t="shared" si="4"/>
        <v>1</v>
      </c>
      <c r="AC32" s="1809">
        <f t="shared" si="5"/>
        <v>1</v>
      </c>
    </row>
    <row r="33" spans="1:29" ht="15">
      <c r="A33" s="471"/>
      <c r="B33" s="2595">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39"/>
      <c r="Q33" s="1808">
        <f t="shared" si="11"/>
        <v>111</v>
      </c>
      <c r="R33" s="773" t="s">
        <v>17</v>
      </c>
      <c r="S33" s="774">
        <f t="shared" si="12"/>
        <v>100</v>
      </c>
      <c r="T33" s="773" t="s">
        <v>17</v>
      </c>
      <c r="U33" s="774">
        <f t="shared" si="13"/>
        <v>100</v>
      </c>
      <c r="V33" s="773" t="s">
        <v>17</v>
      </c>
      <c r="W33" s="774">
        <f t="shared" si="14"/>
        <v>100</v>
      </c>
      <c r="X33" s="1811"/>
      <c r="Y33" s="3239"/>
      <c r="Z33" s="1812">
        <f t="shared" si="15"/>
        <v>111</v>
      </c>
      <c r="AA33" s="1809">
        <f t="shared" si="3"/>
        <v>1</v>
      </c>
      <c r="AB33" s="1809">
        <f t="shared" si="4"/>
        <v>1</v>
      </c>
      <c r="AC33" s="1809">
        <f t="shared" si="5"/>
        <v>1</v>
      </c>
    </row>
    <row r="34" spans="1:29" ht="15.75" thickBot="1">
      <c r="A34" s="477"/>
      <c r="B34" s="2597">
        <v>111</v>
      </c>
      <c r="C34" s="436"/>
      <c r="D34" s="437">
        <v>100</v>
      </c>
      <c r="E34" s="2691"/>
      <c r="F34" s="438">
        <f>SUMIF(95:95,E34,96:96)-SUMIF(95:95,C34,96:96)+100</f>
        <v>100</v>
      </c>
      <c r="G34" s="2691"/>
      <c r="H34" s="437">
        <f>SUMIF(95:95,G34,96:96)-SUMIF(95:95,C34,96:96)+100</f>
        <v>100</v>
      </c>
      <c r="I34" s="2691"/>
      <c r="J34" s="437">
        <f>SUMIF(95:95,I34,96:96)-SUMIF(95:95,C34,96:96)+100</f>
        <v>100</v>
      </c>
      <c r="K34" s="612"/>
      <c r="L34" s="1139"/>
      <c r="M34" s="1130"/>
      <c r="N34" s="1130"/>
      <c r="O34" s="1138"/>
      <c r="P34" s="3239"/>
      <c r="Q34" s="1808">
        <f t="shared" si="11"/>
        <v>111</v>
      </c>
      <c r="R34" s="773" t="s">
        <v>17</v>
      </c>
      <c r="S34" s="774">
        <f t="shared" si="12"/>
        <v>100</v>
      </c>
      <c r="T34" s="773" t="s">
        <v>17</v>
      </c>
      <c r="U34" s="774">
        <f t="shared" si="13"/>
        <v>100</v>
      </c>
      <c r="V34" s="773" t="s">
        <v>17</v>
      </c>
      <c r="W34" s="774">
        <f t="shared" si="14"/>
        <v>100</v>
      </c>
      <c r="X34" s="1811"/>
      <c r="Y34" s="3239"/>
      <c r="Z34" s="1812">
        <f t="shared" si="15"/>
        <v>111</v>
      </c>
      <c r="AA34" s="1809">
        <f t="shared" si="3"/>
        <v>1</v>
      </c>
      <c r="AB34" s="1809">
        <f t="shared" si="4"/>
        <v>1</v>
      </c>
      <c r="AC34" s="1809">
        <f t="shared" si="5"/>
        <v>1</v>
      </c>
    </row>
    <row r="35" spans="1:29" ht="15">
      <c r="A35" s="478" t="s">
        <v>2525</v>
      </c>
      <c r="B35" s="479"/>
      <c r="C35" s="1406" t="s">
        <v>1</v>
      </c>
      <c r="D35" s="1407"/>
      <c r="E35" s="1408"/>
      <c r="F35" s="1409"/>
      <c r="G35" s="1410"/>
      <c r="H35" s="1411"/>
      <c r="I35" s="1408"/>
      <c r="J35" s="1411"/>
      <c r="K35" s="782"/>
      <c r="L35" s="1142"/>
      <c r="M35" s="1143"/>
      <c r="N35" s="1130"/>
      <c r="O35" s="1143"/>
      <c r="P35" s="3221" t="str">
        <f>A35</f>
        <v>成交单价（元/平方米）</v>
      </c>
      <c r="Q35" s="3221"/>
      <c r="R35" s="3250">
        <f>E35</f>
        <v>0</v>
      </c>
      <c r="S35" s="3250"/>
      <c r="T35" s="3250">
        <f>G35</f>
        <v>0</v>
      </c>
      <c r="U35" s="3250"/>
      <c r="V35" s="3250">
        <f>I35</f>
        <v>0</v>
      </c>
      <c r="W35" s="3250"/>
      <c r="X35" s="758"/>
      <c r="Y35" s="780"/>
      <c r="Z35" s="758"/>
      <c r="AA35" s="758"/>
      <c r="AB35" s="758"/>
      <c r="AC35" s="758"/>
    </row>
    <row r="36" spans="1:29" ht="15.75" thickBot="1">
      <c r="A36" s="485" t="s">
        <v>2616</v>
      </c>
      <c r="B36" s="486"/>
      <c r="C36" s="1412" t="e">
        <f>R37</f>
        <v>#DIV/0!</v>
      </c>
      <c r="D36" s="1413"/>
      <c r="E36" s="1414" t="e">
        <f>R36</f>
        <v>#DIV/0!</v>
      </c>
      <c r="F36" s="1414"/>
      <c r="G36" s="1412" t="e">
        <f>T36</f>
        <v>#DIV/0!</v>
      </c>
      <c r="H36" s="1413"/>
      <c r="I36" s="1414" t="e">
        <f>V36</f>
        <v>#DIV/0!</v>
      </c>
      <c r="J36" s="1413"/>
      <c r="K36" s="783"/>
      <c r="L36" s="1142"/>
      <c r="M36" s="1143"/>
      <c r="N36" s="1130"/>
      <c r="O36" s="1143"/>
      <c r="P36" s="3221" t="str">
        <f>A36</f>
        <v>比较价值（元/平方米）</v>
      </c>
      <c r="Q36" s="3221"/>
      <c r="R36" s="3250" t="e">
        <f>IF(F1="售价",ROUND(PRODUCT(R35,AA7:AA34),0),ROUND(PRODUCT(R35,AA7:AA34),1))</f>
        <v>#DIV/0!</v>
      </c>
      <c r="S36" s="3250"/>
      <c r="T36" s="3250" t="e">
        <f>IF(F1="售价",ROUND(PRODUCT(T35,AB7:AB34),0),ROUND(PRODUCT(T35,AB7:AB34),1))</f>
        <v>#DIV/0!</v>
      </c>
      <c r="U36" s="3250"/>
      <c r="V36" s="3250" t="e">
        <f>IF(F1="售价",ROUND(PRODUCT(V35,AC7:AC34),0),ROUND(PRODUCT(V35,AC7:AC34),1))</f>
        <v>#DIV/0!</v>
      </c>
      <c r="W36" s="3250"/>
      <c r="X36" s="758"/>
      <c r="Y36" s="758"/>
      <c r="Z36" s="758"/>
      <c r="AA36" s="758"/>
      <c r="AB36" s="758"/>
      <c r="AC36" s="758"/>
    </row>
    <row r="37" spans="1:29" ht="15.75" thickBot="1">
      <c r="A37" s="491" t="s">
        <v>2617</v>
      </c>
      <c r="B37" s="492"/>
      <c r="C37" s="1416" t="e">
        <f>R37</f>
        <v>#DIV/0!</v>
      </c>
      <c r="D37" s="1416"/>
      <c r="E37" s="1416"/>
      <c r="F37" s="1416"/>
      <c r="G37" s="1416"/>
      <c r="H37" s="1416"/>
      <c r="I37" s="1416"/>
      <c r="J37" s="1416"/>
      <c r="K37" s="784"/>
      <c r="L37" s="1142"/>
      <c r="M37" s="1143"/>
      <c r="N37" s="1143"/>
      <c r="O37" s="1143"/>
      <c r="P37" s="3241" t="str">
        <f>A37</f>
        <v>估价对象XX用房的比较价值（楼面单价，元/平方米）</v>
      </c>
      <c r="Q37" s="3242"/>
      <c r="R37" s="3251" t="e">
        <f>IF(F1="售价",ROUND(AVERAGE(R36:V36),0),ROUND(AVERAGE(R36:V36),1))</f>
        <v>#DIV/0!</v>
      </c>
      <c r="S37" s="3251"/>
      <c r="T37" s="3251"/>
      <c r="U37" s="3251"/>
      <c r="V37" s="3251"/>
      <c r="W37" s="3251"/>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2618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2619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2620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2621</v>
      </c>
      <c r="B45" s="758"/>
      <c r="C45" s="763"/>
      <c r="D45" s="763"/>
      <c r="E45" s="763"/>
      <c r="F45" s="764"/>
      <c r="G45" s="764"/>
      <c r="H45" s="763"/>
      <c r="I45" s="763"/>
      <c r="J45" s="763"/>
      <c r="K45" s="765"/>
      <c r="L45" s="766"/>
      <c r="M45" s="763"/>
      <c r="N45" s="763"/>
      <c r="O45" s="763"/>
      <c r="P45" s="502"/>
      <c r="Q45" s="503"/>
    </row>
    <row r="46" spans="1:29" s="507" customFormat="1" ht="15">
      <c r="A46" s="504" t="s">
        <v>2496</v>
      </c>
      <c r="B46" s="505"/>
      <c r="C46" s="1572" t="str">
        <f>YEAR(C7)&amp;"-"&amp;MONTH(C7)</f>
        <v>2018-12</v>
      </c>
      <c r="D46" s="1573">
        <f>EDATE(C46,-1)</f>
        <v>43405</v>
      </c>
      <c r="E46" s="1573">
        <f t="shared" ref="E46:O46" si="16">EDATE(D46,-1)</f>
        <v>43374</v>
      </c>
      <c r="F46" s="1573">
        <f t="shared" si="16"/>
        <v>43344</v>
      </c>
      <c r="G46" s="1573">
        <f t="shared" si="16"/>
        <v>43313</v>
      </c>
      <c r="H46" s="1573">
        <f t="shared" si="16"/>
        <v>43282</v>
      </c>
      <c r="I46" s="1573">
        <f t="shared" si="16"/>
        <v>43252</v>
      </c>
      <c r="J46" s="1573">
        <f t="shared" si="16"/>
        <v>43221</v>
      </c>
      <c r="K46" s="1573">
        <f t="shared" si="16"/>
        <v>43191</v>
      </c>
      <c r="L46" s="1573">
        <f t="shared" si="16"/>
        <v>43160</v>
      </c>
      <c r="M46" s="1573">
        <f t="shared" si="16"/>
        <v>43132</v>
      </c>
      <c r="N46" s="1573">
        <f t="shared" si="16"/>
        <v>43101</v>
      </c>
      <c r="O46" s="1573">
        <f t="shared" si="16"/>
        <v>43070</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2532</v>
      </c>
      <c r="B48" s="515"/>
      <c r="C48" s="516"/>
      <c r="D48" s="517"/>
      <c r="E48" s="517"/>
      <c r="F48" s="517"/>
      <c r="G48" s="517"/>
      <c r="H48" s="517"/>
      <c r="I48" s="517"/>
      <c r="J48" s="517"/>
      <c r="K48" s="517"/>
      <c r="L48" s="517"/>
      <c r="M48" s="518"/>
      <c r="N48" s="517"/>
      <c r="O48" s="519"/>
      <c r="P48" s="503"/>
      <c r="Q48" s="503"/>
    </row>
    <row r="49" spans="1:17" s="117" customFormat="1" ht="15">
      <c r="A49" s="520" t="s">
        <v>2498</v>
      </c>
      <c r="B49" s="509"/>
      <c r="C49" s="521" t="s">
        <v>2599</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2535</v>
      </c>
      <c r="B51" s="527" t="s">
        <v>2502</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2505</v>
      </c>
      <c r="C53" s="538" t="s">
        <v>2536</v>
      </c>
      <c r="D53" s="538" t="s">
        <v>2537</v>
      </c>
      <c r="E53" s="538" t="s">
        <v>2538</v>
      </c>
      <c r="F53" s="538" t="s">
        <v>2539</v>
      </c>
      <c r="G53" s="538" t="s">
        <v>2540</v>
      </c>
      <c r="H53" s="538" t="s">
        <v>2541</v>
      </c>
      <c r="I53" s="538" t="s">
        <v>2542</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2507</v>
      </c>
      <c r="B61" s="527" t="s">
        <v>2549</v>
      </c>
      <c r="C61" s="572" t="s">
        <v>2544</v>
      </c>
      <c r="D61" s="572" t="s">
        <v>2545</v>
      </c>
      <c r="E61" s="572" t="s">
        <v>2546</v>
      </c>
      <c r="F61" s="572" t="s">
        <v>2547</v>
      </c>
      <c r="G61" s="572" t="s">
        <v>2548</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2687</v>
      </c>
      <c r="C63" s="577" t="s">
        <v>2544</v>
      </c>
      <c r="D63" s="577" t="s">
        <v>2545</v>
      </c>
      <c r="E63" s="577" t="s">
        <v>2546</v>
      </c>
      <c r="F63" s="577" t="s">
        <v>2547</v>
      </c>
      <c r="G63" s="577" t="s">
        <v>2548</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2636</v>
      </c>
      <c r="C65" s="659" t="s">
        <v>2622</v>
      </c>
      <c r="D65" s="659" t="s">
        <v>2623</v>
      </c>
      <c r="E65" s="659" t="s">
        <v>2624</v>
      </c>
      <c r="F65" s="659" t="s">
        <v>2625</v>
      </c>
      <c r="G65" s="659" t="s">
        <v>2626</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2556</v>
      </c>
      <c r="C67" s="577" t="s">
        <v>2544</v>
      </c>
      <c r="D67" s="577" t="s">
        <v>2545</v>
      </c>
      <c r="E67" s="577" t="s">
        <v>2546</v>
      </c>
      <c r="F67" s="577" t="s">
        <v>2547</v>
      </c>
      <c r="G67" s="577" t="s">
        <v>2548</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2676</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2511</v>
      </c>
      <c r="B77" s="527" t="s">
        <v>2563</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2679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2680</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2688</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2689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2690</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61" priority="14" stopIfTrue="1" operator="containsText" text="超过">
      <formula>NOT(ISERROR(SEARCH("超过",F40)))</formula>
    </cfRule>
  </conditionalFormatting>
  <conditionalFormatting sqref="J42">
    <cfRule type="containsText" dxfId="660" priority="13" stopIfTrue="1" operator="containsText" text="超过">
      <formula>NOT(ISERROR(SEARCH("超过",J42)))</formula>
    </cfRule>
  </conditionalFormatting>
  <conditionalFormatting sqref="H42">
    <cfRule type="containsText" dxfId="659" priority="12" stopIfTrue="1" operator="containsText" text="超过">
      <formula>NOT(ISERROR(SEARCH("超过",H42)))</formula>
    </cfRule>
  </conditionalFormatting>
  <conditionalFormatting sqref="F42">
    <cfRule type="containsText" dxfId="658" priority="11" stopIfTrue="1" operator="containsText" text="超过">
      <formula>NOT(ISERROR(SEARCH("超过",F42)))</formula>
    </cfRule>
  </conditionalFormatting>
  <conditionalFormatting sqref="F41 H41 J41">
    <cfRule type="containsText" dxfId="657" priority="10" stopIfTrue="1" operator="containsText" text="超过">
      <formula>NOT(ISERROR(SEARCH("超过",F41)))</formula>
    </cfRule>
  </conditionalFormatting>
  <conditionalFormatting sqref="E40">
    <cfRule type="expression" dxfId="656" priority="9" stopIfTrue="1">
      <formula>$F$40="超过30%"</formula>
    </cfRule>
  </conditionalFormatting>
  <conditionalFormatting sqref="G42">
    <cfRule type="expression" dxfId="655" priority="8" stopIfTrue="1">
      <formula>$H$54+$H$42="超过30%"</formula>
    </cfRule>
  </conditionalFormatting>
  <conditionalFormatting sqref="E41">
    <cfRule type="expression" dxfId="654" priority="7" stopIfTrue="1">
      <formula>$F$41="超过20%"</formula>
    </cfRule>
  </conditionalFormatting>
  <conditionalFormatting sqref="E42">
    <cfRule type="expression" dxfId="653" priority="6" stopIfTrue="1">
      <formula>$F$42="超过30%"</formula>
    </cfRule>
  </conditionalFormatting>
  <conditionalFormatting sqref="G40">
    <cfRule type="expression" dxfId="652" priority="5" stopIfTrue="1">
      <formula>$H$52+$H$40="超过30%"</formula>
    </cfRule>
  </conditionalFormatting>
  <conditionalFormatting sqref="G41">
    <cfRule type="expression" dxfId="651" priority="4" stopIfTrue="1">
      <formula>$H$53+$H$41="超过20%"</formula>
    </cfRule>
  </conditionalFormatting>
  <conditionalFormatting sqref="I40">
    <cfRule type="expression" dxfId="650" priority="3" stopIfTrue="1">
      <formula>$J$40="超过30%"</formula>
    </cfRule>
  </conditionalFormatting>
  <conditionalFormatting sqref="I41">
    <cfRule type="expression" dxfId="649" priority="2" stopIfTrue="1">
      <formula>$J$41="超过20%"</formula>
    </cfRule>
  </conditionalFormatting>
  <conditionalFormatting sqref="I42">
    <cfRule type="expression" dxfId="6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2691</v>
      </c>
      <c r="B1" s="394"/>
      <c r="C1" s="395" t="s">
        <v>2741</v>
      </c>
      <c r="D1" s="754"/>
      <c r="E1" s="754"/>
      <c r="F1" s="753" t="s">
        <v>2590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2278</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2280</v>
      </c>
      <c r="B3" s="608" t="e">
        <f>ROUND(IF(D3="",B2*10000/'数据-汇总表'!E3,B2*10000/D3),0)</f>
        <v>#DIV/0!</v>
      </c>
      <c r="C3" s="246" t="s">
        <v>2693</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2592</v>
      </c>
      <c r="B4" s="401"/>
      <c r="C4" s="3222" t="s">
        <v>2593</v>
      </c>
      <c r="D4" s="3223"/>
      <c r="E4" s="3224" t="s">
        <v>2594</v>
      </c>
      <c r="F4" s="3225"/>
      <c r="G4" s="3222" t="s">
        <v>2595</v>
      </c>
      <c r="H4" s="3223"/>
      <c r="I4" s="3222" t="s">
        <v>2596</v>
      </c>
      <c r="J4" s="3223"/>
      <c r="K4" s="609" t="s">
        <v>2597</v>
      </c>
      <c r="L4" s="1129"/>
      <c r="M4" s="1130"/>
      <c r="N4" s="1130"/>
      <c r="O4" s="1130"/>
      <c r="P4" s="3226" t="s">
        <v>2598</v>
      </c>
      <c r="Q4" s="3227"/>
      <c r="R4" s="3208" t="s">
        <v>2594</v>
      </c>
      <c r="S4" s="3209"/>
      <c r="T4" s="3208" t="s">
        <v>2595</v>
      </c>
      <c r="U4" s="3209"/>
      <c r="V4" s="3234" t="s">
        <v>2596</v>
      </c>
      <c r="W4" s="3234"/>
      <c r="X4" s="1811"/>
      <c r="Y4" s="3208" t="s">
        <v>2598</v>
      </c>
      <c r="Z4" s="3209"/>
      <c r="AA4" s="3203" t="s">
        <v>2594</v>
      </c>
      <c r="AB4" s="3204" t="s">
        <v>2595</v>
      </c>
      <c r="AC4" s="3203" t="s">
        <v>2596</v>
      </c>
    </row>
    <row r="5" spans="1:29" ht="15">
      <c r="A5" s="403"/>
      <c r="B5" s="404"/>
      <c r="C5" s="3218" t="s">
        <v>2490</v>
      </c>
      <c r="D5" s="3215"/>
      <c r="E5" s="3212" t="s">
        <v>2491</v>
      </c>
      <c r="F5" s="3213"/>
      <c r="G5" s="3218" t="s">
        <v>2492</v>
      </c>
      <c r="H5" s="3215"/>
      <c r="I5" s="3218" t="s">
        <v>2493</v>
      </c>
      <c r="J5" s="3215"/>
      <c r="K5" s="609"/>
      <c r="L5" s="1129"/>
      <c r="M5" s="1130"/>
      <c r="N5" s="1130"/>
      <c r="O5" s="1130"/>
      <c r="P5" s="3228"/>
      <c r="Q5" s="3229"/>
      <c r="R5" s="3210"/>
      <c r="S5" s="3211"/>
      <c r="T5" s="3210"/>
      <c r="U5" s="3211"/>
      <c r="V5" s="3234"/>
      <c r="W5" s="3234"/>
      <c r="X5" s="1811"/>
      <c r="Y5" s="3210"/>
      <c r="Z5" s="3211"/>
      <c r="AA5" s="3204"/>
      <c r="AB5" s="3204"/>
      <c r="AC5" s="3204"/>
    </row>
    <row r="6" spans="1:29" ht="15.75" thickBot="1">
      <c r="A6" s="405"/>
      <c r="B6" s="406"/>
      <c r="C6" s="3301" t="s">
        <v>2742</v>
      </c>
      <c r="D6" s="3302"/>
      <c r="E6" s="3303" t="s">
        <v>2742</v>
      </c>
      <c r="F6" s="3304"/>
      <c r="G6" s="3301" t="s">
        <v>2742</v>
      </c>
      <c r="H6" s="3302"/>
      <c r="I6" s="3301" t="s">
        <v>2742</v>
      </c>
      <c r="J6" s="3302"/>
      <c r="K6" s="609" t="s">
        <v>2495</v>
      </c>
      <c r="L6" s="1129"/>
      <c r="M6" s="1130"/>
      <c r="N6" s="1130"/>
      <c r="O6" s="1130"/>
      <c r="P6" s="3230"/>
      <c r="Q6" s="3231"/>
      <c r="R6" s="3210"/>
      <c r="S6" s="3211"/>
      <c r="T6" s="3232"/>
      <c r="U6" s="3233"/>
      <c r="V6" s="3234"/>
      <c r="W6" s="3234"/>
      <c r="X6" s="1811"/>
      <c r="Y6" s="3232"/>
      <c r="Z6" s="3233"/>
      <c r="AA6" s="3205"/>
      <c r="AB6" s="3205"/>
      <c r="AC6" s="3205"/>
    </row>
    <row r="7" spans="1:29" s="117" customFormat="1" ht="15.75" thickBot="1">
      <c r="A7" s="407" t="s">
        <v>2496</v>
      </c>
      <c r="B7" s="408"/>
      <c r="C7" s="409">
        <f>'数据-取费表'!B2</f>
        <v>43452</v>
      </c>
      <c r="D7" s="410">
        <v>100</v>
      </c>
      <c r="E7" s="411"/>
      <c r="F7" s="412">
        <f>SUMIF(65:65,YEAR(E7)&amp;"-"&amp;INT((MONTH(E7)+2)/3),66:66)</f>
        <v>0</v>
      </c>
      <c r="G7" s="2690"/>
      <c r="H7" s="410">
        <f>SUMIF(65:65,YEAR(G7)&amp;"-"&amp;INT((MONTH(G7)+2)/3),66:66)</f>
        <v>0</v>
      </c>
      <c r="I7" s="2690"/>
      <c r="J7" s="410">
        <f>SUMIF(65:65,YEAR(I7)&amp;"-"&amp;INT((MONTH(I7)+2)/3),66:66)</f>
        <v>0</v>
      </c>
      <c r="K7" s="610"/>
      <c r="L7" s="1131"/>
      <c r="M7" s="1132"/>
      <c r="N7" s="1132"/>
      <c r="O7" s="1132"/>
      <c r="P7" s="3206" t="s">
        <v>2497</v>
      </c>
      <c r="Q7" s="3235"/>
      <c r="R7" s="769" t="s">
        <v>17</v>
      </c>
      <c r="S7" s="770">
        <f t="shared" ref="S7:S15" si="0">F7</f>
        <v>0</v>
      </c>
      <c r="T7" s="769" t="s">
        <v>17</v>
      </c>
      <c r="U7" s="770">
        <f t="shared" ref="U7:U15" si="1">H7</f>
        <v>0</v>
      </c>
      <c r="V7" s="769" t="s">
        <v>17</v>
      </c>
      <c r="W7" s="770">
        <f t="shared" ref="W7:W15" si="2">J7</f>
        <v>0</v>
      </c>
      <c r="X7" s="771"/>
      <c r="Y7" s="3206" t="s">
        <v>2497</v>
      </c>
      <c r="Z7" s="3207"/>
      <c r="AA7" s="772" t="e">
        <f>D7/F7</f>
        <v>#DIV/0!</v>
      </c>
      <c r="AB7" s="772" t="e">
        <f>D7/H7</f>
        <v>#DIV/0!</v>
      </c>
      <c r="AC7" s="772" t="e">
        <f>D7/J7</f>
        <v>#DIV/0!</v>
      </c>
    </row>
    <row r="8" spans="1:29" s="117" customFormat="1" ht="15.75" thickBot="1">
      <c r="A8" s="407" t="s">
        <v>2498</v>
      </c>
      <c r="B8" s="408"/>
      <c r="C8" s="413" t="s">
        <v>2499</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06" t="s">
        <v>2500</v>
      </c>
      <c r="Q8" s="3207"/>
      <c r="R8" s="769" t="s">
        <v>17</v>
      </c>
      <c r="S8" s="770">
        <f t="shared" si="0"/>
        <v>0</v>
      </c>
      <c r="T8" s="769" t="s">
        <v>17</v>
      </c>
      <c r="U8" s="770">
        <f t="shared" si="1"/>
        <v>0</v>
      </c>
      <c r="V8" s="769" t="s">
        <v>17</v>
      </c>
      <c r="W8" s="770">
        <f t="shared" si="2"/>
        <v>0</v>
      </c>
      <c r="X8" s="771"/>
      <c r="Y8" s="3206" t="s">
        <v>2500</v>
      </c>
      <c r="Z8" s="3207"/>
      <c r="AA8" s="772" t="e">
        <f t="shared" ref="AA8:AA40" si="3">D8/F8</f>
        <v>#DIV/0!</v>
      </c>
      <c r="AB8" s="772" t="e">
        <f t="shared" ref="AB8:AB40" si="4">D8/H8</f>
        <v>#DIV/0!</v>
      </c>
      <c r="AC8" s="772" t="e">
        <f t="shared" ref="AC8:AC40" si="5">D8/J8</f>
        <v>#DIV/0!</v>
      </c>
    </row>
    <row r="9" spans="1:29" s="117" customFormat="1">
      <c r="A9" s="414" t="s">
        <v>2501</v>
      </c>
      <c r="B9" s="71" t="s">
        <v>2502</v>
      </c>
      <c r="C9" s="2693"/>
      <c r="D9" s="134">
        <v>100</v>
      </c>
      <c r="E9" s="2693"/>
      <c r="F9" s="134">
        <f>SUMIF(70:70,E9,71:71)-SUMIF(70:70,C9,71:71)+100</f>
        <v>100</v>
      </c>
      <c r="G9" s="2693"/>
      <c r="H9" s="134">
        <f>SUMIF(70:70,G9,71:71)-SUMIF(70:70,C9,71:71)+100</f>
        <v>100</v>
      </c>
      <c r="I9" s="2693"/>
      <c r="J9" s="134">
        <f>SUMIF(70:70,I9,71:71)-SUMIF(70:70,C9,71:71)+100</f>
        <v>100</v>
      </c>
      <c r="K9" s="610"/>
      <c r="L9" s="1131"/>
      <c r="M9" s="1132"/>
      <c r="N9" s="1132"/>
      <c r="O9" s="1133"/>
      <c r="P9" s="3221" t="s">
        <v>2503</v>
      </c>
      <c r="Q9" s="1793" t="str">
        <f t="shared" ref="Q9:Q15" si="6">B9</f>
        <v>用途</v>
      </c>
      <c r="R9" s="769" t="s">
        <v>17</v>
      </c>
      <c r="S9" s="770">
        <f t="shared" si="0"/>
        <v>100</v>
      </c>
      <c r="T9" s="769" t="s">
        <v>17</v>
      </c>
      <c r="U9" s="770">
        <f t="shared" si="1"/>
        <v>100</v>
      </c>
      <c r="V9" s="769" t="s">
        <v>17</v>
      </c>
      <c r="W9" s="770">
        <f t="shared" si="2"/>
        <v>100</v>
      </c>
      <c r="X9" s="771"/>
      <c r="Y9" s="3083" t="s">
        <v>2504</v>
      </c>
      <c r="Z9" s="55" t="str">
        <f t="shared" ref="Z9:Z15" si="7">Q9</f>
        <v>用途</v>
      </c>
      <c r="AA9" s="772">
        <f t="shared" si="3"/>
        <v>1</v>
      </c>
      <c r="AB9" s="772">
        <f t="shared" si="4"/>
        <v>1</v>
      </c>
      <c r="AC9" s="772">
        <f t="shared" si="5"/>
        <v>1</v>
      </c>
    </row>
    <row r="10" spans="1:29" s="426" customFormat="1" ht="27">
      <c r="A10" s="420"/>
      <c r="B10" s="421" t="s">
        <v>2505</v>
      </c>
      <c r="C10" s="431"/>
      <c r="D10" s="135">
        <v>100</v>
      </c>
      <c r="E10" s="431"/>
      <c r="F10" s="135">
        <f>ROUND(100/'数据-取费表'!G16,0)</f>
        <v>101</v>
      </c>
      <c r="G10" s="431"/>
      <c r="H10" s="135">
        <f>ROUND(100/'数据-取费表'!G16,0)</f>
        <v>101</v>
      </c>
      <c r="I10" s="431"/>
      <c r="J10" s="135">
        <f>ROUND(100/'数据-取费表'!G16,0)</f>
        <v>101</v>
      </c>
      <c r="K10" s="671"/>
      <c r="L10" s="1134"/>
      <c r="M10" s="1135"/>
      <c r="N10" s="1135"/>
      <c r="O10" s="1136"/>
      <c r="P10" s="3221"/>
      <c r="Q10" s="1793" t="str">
        <f t="shared" si="6"/>
        <v>土地使用年限（年）</v>
      </c>
      <c r="R10" s="769" t="s">
        <v>17</v>
      </c>
      <c r="S10" s="770">
        <f t="shared" si="0"/>
        <v>101</v>
      </c>
      <c r="T10" s="769" t="s">
        <v>17</v>
      </c>
      <c r="U10" s="770">
        <f t="shared" si="1"/>
        <v>101</v>
      </c>
      <c r="V10" s="769" t="s">
        <v>17</v>
      </c>
      <c r="W10" s="770">
        <f t="shared" si="2"/>
        <v>101</v>
      </c>
      <c r="X10" s="771"/>
      <c r="Y10" s="3083"/>
      <c r="Z10" s="55" t="str">
        <f t="shared" si="7"/>
        <v>土地使用年限（年）</v>
      </c>
      <c r="AA10" s="772">
        <f t="shared" si="3"/>
        <v>0.99009900990099009</v>
      </c>
      <c r="AB10" s="772">
        <f t="shared" si="4"/>
        <v>0.99009900990099009</v>
      </c>
      <c r="AC10" s="772">
        <f t="shared" si="5"/>
        <v>0.99009900990099009</v>
      </c>
    </row>
    <row r="11" spans="1:29" ht="15">
      <c r="A11" s="427"/>
      <c r="B11" s="421" t="s">
        <v>2506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21"/>
      <c r="Q11" s="1793" t="str">
        <f t="shared" si="6"/>
        <v>容积率</v>
      </c>
      <c r="R11" s="769" t="s">
        <v>17</v>
      </c>
      <c r="S11" s="770" t="e">
        <f t="shared" si="0"/>
        <v>#N/A</v>
      </c>
      <c r="T11" s="769" t="s">
        <v>17</v>
      </c>
      <c r="U11" s="770" t="e">
        <f t="shared" si="1"/>
        <v>#N/A</v>
      </c>
      <c r="V11" s="769" t="s">
        <v>17</v>
      </c>
      <c r="W11" s="770" t="e">
        <f t="shared" si="2"/>
        <v>#N/A</v>
      </c>
      <c r="X11" s="771"/>
      <c r="Y11" s="3083"/>
      <c r="Z11" s="55" t="str">
        <f t="shared" si="7"/>
        <v>容积率</v>
      </c>
      <c r="AA11" s="772" t="e">
        <f t="shared" si="3"/>
        <v>#N/A</v>
      </c>
      <c r="AB11" s="772" t="e">
        <f t="shared" si="4"/>
        <v>#N/A</v>
      </c>
      <c r="AC11" s="772" t="e">
        <f t="shared" si="5"/>
        <v>#N/A</v>
      </c>
    </row>
    <row r="12" spans="1:29" s="117" customFormat="1" ht="15">
      <c r="A12" s="430"/>
      <c r="B12" s="2595">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21"/>
      <c r="Q12" s="1793">
        <f t="shared" si="6"/>
        <v>111</v>
      </c>
      <c r="R12" s="769" t="s">
        <v>17</v>
      </c>
      <c r="S12" s="770">
        <f t="shared" si="0"/>
        <v>100</v>
      </c>
      <c r="T12" s="769" t="s">
        <v>17</v>
      </c>
      <c r="U12" s="770">
        <f t="shared" si="1"/>
        <v>100</v>
      </c>
      <c r="V12" s="769" t="s">
        <v>17</v>
      </c>
      <c r="W12" s="770">
        <f t="shared" si="2"/>
        <v>100</v>
      </c>
      <c r="X12" s="771"/>
      <c r="Y12" s="3083"/>
      <c r="Z12" s="55">
        <f t="shared" si="7"/>
        <v>111</v>
      </c>
      <c r="AA12" s="772">
        <f>D12/F12</f>
        <v>1</v>
      </c>
      <c r="AB12" s="772">
        <f>D12/H12</f>
        <v>1</v>
      </c>
      <c r="AC12" s="772">
        <f>D12/J12</f>
        <v>1</v>
      </c>
    </row>
    <row r="13" spans="1:29" ht="15">
      <c r="A13" s="427"/>
      <c r="B13" s="2595">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21"/>
      <c r="Q13" s="1793">
        <f t="shared" si="6"/>
        <v>111</v>
      </c>
      <c r="R13" s="769" t="s">
        <v>17</v>
      </c>
      <c r="S13" s="770">
        <f t="shared" si="0"/>
        <v>100</v>
      </c>
      <c r="T13" s="769" t="s">
        <v>17</v>
      </c>
      <c r="U13" s="770">
        <f t="shared" si="1"/>
        <v>100</v>
      </c>
      <c r="V13" s="769" t="s">
        <v>17</v>
      </c>
      <c r="W13" s="770">
        <f t="shared" si="2"/>
        <v>100</v>
      </c>
      <c r="X13" s="771"/>
      <c r="Y13" s="3083"/>
      <c r="Z13" s="55">
        <f t="shared" si="7"/>
        <v>111</v>
      </c>
      <c r="AA13" s="772">
        <f t="shared" si="3"/>
        <v>1</v>
      </c>
      <c r="AB13" s="772">
        <f t="shared" si="4"/>
        <v>1</v>
      </c>
      <c r="AC13" s="772">
        <f t="shared" si="5"/>
        <v>1</v>
      </c>
    </row>
    <row r="14" spans="1:29" ht="15.75" thickBot="1">
      <c r="A14" s="435"/>
      <c r="B14" s="2597">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21"/>
      <c r="Q14" s="1793">
        <f t="shared" si="6"/>
        <v>111</v>
      </c>
      <c r="R14" s="769" t="s">
        <v>17</v>
      </c>
      <c r="S14" s="770">
        <f t="shared" si="0"/>
        <v>100</v>
      </c>
      <c r="T14" s="769" t="s">
        <v>17</v>
      </c>
      <c r="U14" s="770">
        <f t="shared" si="1"/>
        <v>100</v>
      </c>
      <c r="V14" s="769" t="s">
        <v>17</v>
      </c>
      <c r="W14" s="770">
        <f t="shared" si="2"/>
        <v>100</v>
      </c>
      <c r="X14" s="771"/>
      <c r="Y14" s="3083"/>
      <c r="Z14" s="55">
        <f t="shared" si="7"/>
        <v>111</v>
      </c>
      <c r="AA14" s="772">
        <f t="shared" si="3"/>
        <v>1</v>
      </c>
      <c r="AB14" s="772">
        <f t="shared" si="4"/>
        <v>1</v>
      </c>
      <c r="AC14" s="772">
        <f t="shared" si="5"/>
        <v>1</v>
      </c>
    </row>
    <row r="15" spans="1:29" ht="15">
      <c r="A15" s="439" t="s">
        <v>2507</v>
      </c>
      <c r="B15" s="628" t="s">
        <v>2743</v>
      </c>
      <c r="C15" s="2687">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36" t="s">
        <v>2508</v>
      </c>
      <c r="Q15" s="1808" t="str">
        <f t="shared" si="6"/>
        <v>产业集聚程度</v>
      </c>
      <c r="R15" s="773" t="s">
        <v>17</v>
      </c>
      <c r="S15" s="774">
        <f t="shared" si="0"/>
        <v>100</v>
      </c>
      <c r="T15" s="773" t="s">
        <v>17</v>
      </c>
      <c r="U15" s="774">
        <f t="shared" si="1"/>
        <v>100</v>
      </c>
      <c r="V15" s="773" t="s">
        <v>17</v>
      </c>
      <c r="W15" s="774">
        <f t="shared" si="2"/>
        <v>100</v>
      </c>
      <c r="X15" s="1811"/>
      <c r="Y15" s="3236" t="s">
        <v>2508</v>
      </c>
      <c r="Z15" s="1812" t="str">
        <f t="shared" si="7"/>
        <v>产业集聚程度</v>
      </c>
      <c r="AA15" s="1809">
        <f t="shared" si="3"/>
        <v>1</v>
      </c>
      <c r="AB15" s="1809">
        <f t="shared" si="4"/>
        <v>1</v>
      </c>
      <c r="AC15" s="1809">
        <f t="shared" si="5"/>
        <v>1</v>
      </c>
    </row>
    <row r="16" spans="1:29" ht="15">
      <c r="A16" s="427"/>
      <c r="B16" s="629"/>
      <c r="C16" s="446"/>
      <c r="D16" s="447"/>
      <c r="E16" s="2606"/>
      <c r="F16" s="447"/>
      <c r="G16" s="2606"/>
      <c r="H16" s="449"/>
      <c r="I16" s="2606"/>
      <c r="J16" s="447"/>
      <c r="K16" s="671"/>
      <c r="L16" s="1139"/>
      <c r="M16" s="1130"/>
      <c r="N16" s="1130"/>
      <c r="O16" s="1138"/>
      <c r="P16" s="3237"/>
      <c r="Q16" s="1808"/>
      <c r="R16" s="773"/>
      <c r="S16" s="774"/>
      <c r="T16" s="773"/>
      <c r="U16" s="774"/>
      <c r="V16" s="773"/>
      <c r="W16" s="774"/>
      <c r="X16" s="1811"/>
      <c r="Y16" s="3237"/>
      <c r="Z16" s="1812"/>
      <c r="AA16" s="1809">
        <v>1</v>
      </c>
      <c r="AB16" s="1809">
        <v>1</v>
      </c>
      <c r="AC16" s="1809">
        <v>1</v>
      </c>
    </row>
    <row r="17" spans="1:29" ht="15">
      <c r="A17" s="427"/>
      <c r="B17" s="630" t="s">
        <v>2656</v>
      </c>
      <c r="C17" s="2602">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37"/>
      <c r="Q17" s="1808" t="str">
        <f>B17</f>
        <v>交通便捷度</v>
      </c>
      <c r="R17" s="773" t="s">
        <v>17</v>
      </c>
      <c r="S17" s="774">
        <f>F17</f>
        <v>100</v>
      </c>
      <c r="T17" s="773" t="s">
        <v>17</v>
      </c>
      <c r="U17" s="774">
        <f>H17</f>
        <v>100</v>
      </c>
      <c r="V17" s="773" t="s">
        <v>17</v>
      </c>
      <c r="W17" s="774">
        <f>J17</f>
        <v>100</v>
      </c>
      <c r="X17" s="1811"/>
      <c r="Y17" s="3237"/>
      <c r="Z17" s="1812" t="str">
        <f>Q17</f>
        <v>交通便捷度</v>
      </c>
      <c r="AA17" s="1809">
        <f t="shared" si="3"/>
        <v>1</v>
      </c>
      <c r="AB17" s="1809">
        <f t="shared" si="4"/>
        <v>1</v>
      </c>
      <c r="AC17" s="1809">
        <f t="shared" si="5"/>
        <v>1</v>
      </c>
    </row>
    <row r="18" spans="1:29" ht="15">
      <c r="A18" s="427"/>
      <c r="B18" s="631"/>
      <c r="C18" s="446"/>
      <c r="D18" s="447"/>
      <c r="E18" s="2600"/>
      <c r="F18" s="447"/>
      <c r="G18" s="2600"/>
      <c r="H18" s="447"/>
      <c r="I18" s="2599"/>
      <c r="J18" s="447"/>
      <c r="K18" s="671"/>
      <c r="L18" s="1139"/>
      <c r="M18" s="1130"/>
      <c r="N18" s="1130"/>
      <c r="O18" s="1138"/>
      <c r="P18" s="3237"/>
      <c r="Q18" s="1808"/>
      <c r="R18" s="773"/>
      <c r="S18" s="774"/>
      <c r="T18" s="773"/>
      <c r="U18" s="774"/>
      <c r="V18" s="773"/>
      <c r="W18" s="774"/>
      <c r="X18" s="1811"/>
      <c r="Y18" s="3237"/>
      <c r="Z18" s="1812"/>
      <c r="AA18" s="1809">
        <v>1</v>
      </c>
      <c r="AB18" s="1809">
        <v>1</v>
      </c>
      <c r="AC18" s="1809">
        <v>1</v>
      </c>
    </row>
    <row r="19" spans="1:29" ht="15">
      <c r="A19" s="427"/>
      <c r="B19" s="630" t="s">
        <v>2694</v>
      </c>
      <c r="C19" s="260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37"/>
      <c r="Q19" s="1808" t="str">
        <f t="shared" ref="Q19:Q33" si="8">B19</f>
        <v>区域土地利用方向</v>
      </c>
      <c r="R19" s="773" t="s">
        <v>17</v>
      </c>
      <c r="S19" s="774">
        <f>F19</f>
        <v>100</v>
      </c>
      <c r="T19" s="773" t="s">
        <v>17</v>
      </c>
      <c r="U19" s="774">
        <f>H19</f>
        <v>100</v>
      </c>
      <c r="V19" s="773" t="s">
        <v>17</v>
      </c>
      <c r="W19" s="774">
        <f>J19</f>
        <v>100</v>
      </c>
      <c r="X19" s="1811"/>
      <c r="Y19" s="3237"/>
      <c r="Z19" s="1812" t="str">
        <f>Q19</f>
        <v>区域土地利用方向</v>
      </c>
      <c r="AA19" s="1809">
        <f t="shared" si="3"/>
        <v>1</v>
      </c>
      <c r="AB19" s="1809">
        <f t="shared" si="4"/>
        <v>1</v>
      </c>
      <c r="AC19" s="1809">
        <f t="shared" si="5"/>
        <v>1</v>
      </c>
    </row>
    <row r="20" spans="1:29" ht="15">
      <c r="A20" s="403"/>
      <c r="B20" s="631"/>
      <c r="C20" s="446"/>
      <c r="D20" s="447"/>
      <c r="E20" s="2600"/>
      <c r="F20" s="447"/>
      <c r="G20" s="2600"/>
      <c r="H20" s="447"/>
      <c r="I20" s="2600"/>
      <c r="J20" s="447"/>
      <c r="K20" s="808"/>
      <c r="L20" s="1139"/>
      <c r="M20" s="1130"/>
      <c r="N20" s="1130"/>
      <c r="O20" s="1138"/>
      <c r="P20" s="3237"/>
      <c r="Q20" s="1808"/>
      <c r="R20" s="773"/>
      <c r="S20" s="774"/>
      <c r="T20" s="773"/>
      <c r="U20" s="774"/>
      <c r="V20" s="773"/>
      <c r="W20" s="774"/>
      <c r="X20" s="1811"/>
      <c r="Y20" s="3237"/>
      <c r="Z20" s="1812"/>
      <c r="AA20" s="1809"/>
      <c r="AB20" s="1809"/>
      <c r="AC20" s="1809"/>
    </row>
    <row r="21" spans="1:29" ht="15">
      <c r="A21" s="403"/>
      <c r="B21" s="630" t="s">
        <v>2744</v>
      </c>
      <c r="C21" s="2602">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37"/>
      <c r="Q21" s="1808" t="str">
        <f t="shared" si="8"/>
        <v>环境状况</v>
      </c>
      <c r="R21" s="773" t="s">
        <v>17</v>
      </c>
      <c r="S21" s="774">
        <f>F21</f>
        <v>100</v>
      </c>
      <c r="T21" s="773" t="s">
        <v>17</v>
      </c>
      <c r="U21" s="774">
        <f>H21</f>
        <v>100</v>
      </c>
      <c r="V21" s="773" t="s">
        <v>17</v>
      </c>
      <c r="W21" s="774">
        <f>J21</f>
        <v>100</v>
      </c>
      <c r="X21" s="1811"/>
      <c r="Y21" s="3237"/>
      <c r="Z21" s="1812" t="str">
        <f>Q21</f>
        <v>环境状况</v>
      </c>
      <c r="AA21" s="1809">
        <f t="shared" si="3"/>
        <v>1</v>
      </c>
      <c r="AB21" s="1809">
        <f t="shared" si="4"/>
        <v>1</v>
      </c>
      <c r="AC21" s="1809">
        <f t="shared" si="5"/>
        <v>1</v>
      </c>
    </row>
    <row r="22" spans="1:29" ht="15">
      <c r="A22" s="403"/>
      <c r="B22" s="631"/>
      <c r="C22" s="446"/>
      <c r="D22" s="447"/>
      <c r="E22" s="2606"/>
      <c r="F22" s="447"/>
      <c r="G22" s="2606"/>
      <c r="H22" s="447"/>
      <c r="I22" s="446"/>
      <c r="J22" s="447"/>
      <c r="K22" s="671"/>
      <c r="L22" s="1139"/>
      <c r="M22" s="1130"/>
      <c r="N22" s="1130"/>
      <c r="O22" s="1138"/>
      <c r="P22" s="3237"/>
      <c r="Q22" s="1808"/>
      <c r="R22" s="773"/>
      <c r="S22" s="774"/>
      <c r="T22" s="773"/>
      <c r="U22" s="774"/>
      <c r="V22" s="773"/>
      <c r="W22" s="774"/>
      <c r="X22" s="1811"/>
      <c r="Y22" s="3237"/>
      <c r="Z22" s="1812"/>
      <c r="AA22" s="1809">
        <v>1</v>
      </c>
      <c r="AB22" s="1809">
        <v>1</v>
      </c>
      <c r="AC22" s="1809">
        <v>1</v>
      </c>
    </row>
    <row r="23" spans="1:29" s="117" customFormat="1" ht="15">
      <c r="A23" s="648"/>
      <c r="B23" s="632" t="s">
        <v>2601</v>
      </c>
      <c r="C23" s="2602">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37"/>
      <c r="Q23" s="1793" t="str">
        <f t="shared" si="8"/>
        <v>公共配套设施</v>
      </c>
      <c r="R23" s="769" t="s">
        <v>17</v>
      </c>
      <c r="S23" s="770">
        <f>F23</f>
        <v>100</v>
      </c>
      <c r="T23" s="769" t="s">
        <v>17</v>
      </c>
      <c r="U23" s="770">
        <f>H23</f>
        <v>100</v>
      </c>
      <c r="V23" s="769" t="s">
        <v>17</v>
      </c>
      <c r="W23" s="770">
        <f>J23</f>
        <v>100</v>
      </c>
      <c r="X23" s="771"/>
      <c r="Y23" s="3237"/>
      <c r="Z23" s="55" t="str">
        <f>Q23</f>
        <v>公共配套设施</v>
      </c>
      <c r="AA23" s="1809">
        <f>D23/F23</f>
        <v>1</v>
      </c>
      <c r="AB23" s="1809">
        <f>D23/H23</f>
        <v>1</v>
      </c>
      <c r="AC23" s="1809">
        <f>D23/J23</f>
        <v>1</v>
      </c>
    </row>
    <row r="24" spans="1:29" s="117" customFormat="1" ht="15">
      <c r="A24" s="648"/>
      <c r="B24" s="631"/>
      <c r="C24" s="2694"/>
      <c r="D24" s="447"/>
      <c r="E24" s="2606"/>
      <c r="F24" s="447"/>
      <c r="G24" s="2606"/>
      <c r="H24" s="447"/>
      <c r="I24" s="446"/>
      <c r="J24" s="447"/>
      <c r="K24" s="671"/>
      <c r="L24" s="1131"/>
      <c r="M24" s="1132"/>
      <c r="N24" s="1132"/>
      <c r="O24" s="1133"/>
      <c r="P24" s="3237"/>
      <c r="Q24" s="1793"/>
      <c r="R24" s="769"/>
      <c r="S24" s="770"/>
      <c r="T24" s="769"/>
      <c r="U24" s="770"/>
      <c r="V24" s="769"/>
      <c r="W24" s="770"/>
      <c r="X24" s="771"/>
      <c r="Y24" s="3237"/>
      <c r="Z24" s="55"/>
      <c r="AA24" s="772">
        <v>1</v>
      </c>
      <c r="AB24" s="772">
        <v>1</v>
      </c>
      <c r="AC24" s="772">
        <v>1</v>
      </c>
    </row>
    <row r="25" spans="1:29" s="117" customFormat="1" ht="15">
      <c r="A25" s="648"/>
      <c r="B25" s="632" t="s">
        <v>2602</v>
      </c>
      <c r="C25" s="2602">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37"/>
      <c r="Q25" s="1793" t="str">
        <f t="shared" ref="Q25" si="9">B25</f>
        <v>基础设施水平</v>
      </c>
      <c r="R25" s="769" t="s">
        <v>17</v>
      </c>
      <c r="S25" s="770">
        <f>F25</f>
        <v>100</v>
      </c>
      <c r="T25" s="769" t="s">
        <v>17</v>
      </c>
      <c r="U25" s="770">
        <f>H25</f>
        <v>100</v>
      </c>
      <c r="V25" s="769" t="s">
        <v>17</v>
      </c>
      <c r="W25" s="770">
        <f>J25</f>
        <v>100</v>
      </c>
      <c r="X25" s="771"/>
      <c r="Y25" s="3237"/>
      <c r="Z25" s="55" t="str">
        <f>Q25</f>
        <v>基础设施水平</v>
      </c>
      <c r="AA25" s="1809">
        <f>D25/F25</f>
        <v>1</v>
      </c>
      <c r="AB25" s="1809">
        <f>D25/H25</f>
        <v>1</v>
      </c>
      <c r="AC25" s="1809">
        <f>D25/J25</f>
        <v>1</v>
      </c>
    </row>
    <row r="26" spans="1:29" s="117" customFormat="1" ht="15">
      <c r="A26" s="648"/>
      <c r="B26" s="631"/>
      <c r="C26" s="2694"/>
      <c r="D26" s="447"/>
      <c r="E26" s="2695"/>
      <c r="F26" s="447"/>
      <c r="G26" s="2695"/>
      <c r="H26" s="447"/>
      <c r="I26" s="2695"/>
      <c r="J26" s="447"/>
      <c r="K26" s="671"/>
      <c r="L26" s="1131"/>
      <c r="M26" s="1132"/>
      <c r="N26" s="1132"/>
      <c r="O26" s="1133"/>
      <c r="P26" s="3237"/>
      <c r="Q26" s="1793"/>
      <c r="R26" s="769"/>
      <c r="S26" s="770"/>
      <c r="T26" s="769"/>
      <c r="U26" s="770"/>
      <c r="V26" s="769"/>
      <c r="W26" s="770"/>
      <c r="X26" s="771"/>
      <c r="Y26" s="3237"/>
      <c r="Z26" s="55"/>
      <c r="AA26" s="772">
        <v>1</v>
      </c>
      <c r="AB26" s="772">
        <v>1</v>
      </c>
      <c r="AC26" s="772">
        <v>1</v>
      </c>
    </row>
    <row r="27" spans="1:29" ht="15">
      <c r="A27" s="427"/>
      <c r="B27" s="631" t="s">
        <v>2603</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37"/>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37"/>
      <c r="Z27" s="1812" t="str">
        <f t="shared" ref="Z27:Z40" si="13">Q27</f>
        <v>临街状况</v>
      </c>
      <c r="AA27" s="1809">
        <f t="shared" si="3"/>
        <v>1</v>
      </c>
      <c r="AB27" s="1809">
        <f t="shared" si="4"/>
        <v>1</v>
      </c>
      <c r="AC27" s="1809">
        <f t="shared" si="5"/>
        <v>1</v>
      </c>
    </row>
    <row r="28" spans="1:29" ht="27">
      <c r="A28" s="427"/>
      <c r="B28" s="632" t="s">
        <v>2638</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37"/>
      <c r="Q28" s="1808" t="str">
        <f t="shared" si="8"/>
        <v>毗邻道路的类型与等级</v>
      </c>
      <c r="R28" s="773" t="s">
        <v>17</v>
      </c>
      <c r="S28" s="774">
        <f t="shared" si="10"/>
        <v>100</v>
      </c>
      <c r="T28" s="773" t="s">
        <v>17</v>
      </c>
      <c r="U28" s="774">
        <f t="shared" si="11"/>
        <v>100</v>
      </c>
      <c r="V28" s="773" t="s">
        <v>17</v>
      </c>
      <c r="W28" s="774">
        <f t="shared" si="12"/>
        <v>100</v>
      </c>
      <c r="X28" s="1811"/>
      <c r="Y28" s="3237"/>
      <c r="Z28" s="1812" t="str">
        <f t="shared" si="13"/>
        <v>毗邻道路的类型与等级</v>
      </c>
      <c r="AA28" s="1809">
        <f t="shared" si="3"/>
        <v>1</v>
      </c>
      <c r="AB28" s="1809">
        <f t="shared" si="4"/>
        <v>1</v>
      </c>
      <c r="AC28" s="1809">
        <f t="shared" si="5"/>
        <v>1</v>
      </c>
    </row>
    <row r="29" spans="1:29" ht="15">
      <c r="A29" s="427"/>
      <c r="B29" s="631"/>
      <c r="C29" s="446"/>
      <c r="D29" s="447"/>
      <c r="E29" s="2606"/>
      <c r="F29" s="447"/>
      <c r="G29" s="2606"/>
      <c r="H29" s="447"/>
      <c r="I29" s="2606"/>
      <c r="J29" s="447"/>
      <c r="K29" s="612"/>
      <c r="L29" s="1139"/>
      <c r="M29" s="1130"/>
      <c r="N29" s="1130"/>
      <c r="O29" s="1138"/>
      <c r="P29" s="3237"/>
      <c r="Q29" s="1808"/>
      <c r="R29" s="773"/>
      <c r="S29" s="774"/>
      <c r="T29" s="773"/>
      <c r="U29" s="774"/>
      <c r="V29" s="773"/>
      <c r="W29" s="774"/>
      <c r="X29" s="1811"/>
      <c r="Y29" s="3237"/>
      <c r="Z29" s="1812"/>
      <c r="AA29" s="1809">
        <v>1</v>
      </c>
      <c r="AB29" s="1809">
        <v>1</v>
      </c>
      <c r="AC29" s="1809">
        <v>1</v>
      </c>
    </row>
    <row r="30" spans="1:29" ht="15">
      <c r="A30" s="427"/>
      <c r="B30" s="653" t="s">
        <v>2696</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37"/>
      <c r="Q30" s="1808" t="str">
        <f t="shared" si="8"/>
        <v>土地级别</v>
      </c>
      <c r="R30" s="773" t="s">
        <v>17</v>
      </c>
      <c r="S30" s="774">
        <f t="shared" si="10"/>
        <v>100</v>
      </c>
      <c r="T30" s="773" t="s">
        <v>17</v>
      </c>
      <c r="U30" s="774">
        <f t="shared" si="11"/>
        <v>100</v>
      </c>
      <c r="V30" s="773" t="s">
        <v>17</v>
      </c>
      <c r="W30" s="774">
        <f t="shared" si="12"/>
        <v>100</v>
      </c>
      <c r="X30" s="1811"/>
      <c r="Y30" s="3237"/>
      <c r="Z30" s="1812" t="str">
        <f t="shared" si="13"/>
        <v>土地级别</v>
      </c>
      <c r="AA30" s="1809">
        <f t="shared" si="3"/>
        <v>1</v>
      </c>
      <c r="AB30" s="1809">
        <f t="shared" si="4"/>
        <v>1</v>
      </c>
      <c r="AC30" s="1809">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37"/>
      <c r="Q31" s="1808">
        <f t="shared" si="8"/>
        <v>111</v>
      </c>
      <c r="R31" s="773" t="s">
        <v>17</v>
      </c>
      <c r="S31" s="774">
        <f t="shared" si="10"/>
        <v>100</v>
      </c>
      <c r="T31" s="773" t="s">
        <v>17</v>
      </c>
      <c r="U31" s="774">
        <f t="shared" si="11"/>
        <v>100</v>
      </c>
      <c r="V31" s="773" t="s">
        <v>17</v>
      </c>
      <c r="W31" s="774">
        <f t="shared" si="12"/>
        <v>100</v>
      </c>
      <c r="X31" s="1811"/>
      <c r="Y31" s="3237"/>
      <c r="Z31" s="1812">
        <f t="shared" si="13"/>
        <v>111</v>
      </c>
      <c r="AA31" s="1809">
        <f t="shared" si="3"/>
        <v>1</v>
      </c>
      <c r="AB31" s="1809">
        <f t="shared" si="4"/>
        <v>1</v>
      </c>
      <c r="AC31" s="1809">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38" t="s">
        <v>2513</v>
      </c>
      <c r="Q32" s="1808">
        <f t="shared" si="8"/>
        <v>111</v>
      </c>
      <c r="R32" s="773" t="s">
        <v>17</v>
      </c>
      <c r="S32" s="774">
        <f t="shared" si="10"/>
        <v>100</v>
      </c>
      <c r="T32" s="773" t="s">
        <v>17</v>
      </c>
      <c r="U32" s="774">
        <f t="shared" si="11"/>
        <v>100</v>
      </c>
      <c r="V32" s="773" t="s">
        <v>17</v>
      </c>
      <c r="W32" s="774">
        <f t="shared" si="12"/>
        <v>100</v>
      </c>
      <c r="X32" s="1811"/>
      <c r="Y32" s="3239" t="s">
        <v>2513</v>
      </c>
      <c r="Z32" s="1812">
        <f t="shared" si="13"/>
        <v>111</v>
      </c>
      <c r="AA32" s="1809">
        <f t="shared" si="3"/>
        <v>1</v>
      </c>
      <c r="AB32" s="1809">
        <f t="shared" si="4"/>
        <v>1</v>
      </c>
      <c r="AC32" s="1809">
        <f t="shared" si="5"/>
        <v>1</v>
      </c>
    </row>
    <row r="33" spans="1:29" s="470" customFormat="1" ht="15.75"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39"/>
      <c r="Q33" s="1808">
        <f t="shared" si="8"/>
        <v>111</v>
      </c>
      <c r="R33" s="776" t="s">
        <v>17</v>
      </c>
      <c r="S33" s="777">
        <f t="shared" si="10"/>
        <v>100</v>
      </c>
      <c r="T33" s="776" t="s">
        <v>17</v>
      </c>
      <c r="U33" s="777">
        <f t="shared" si="11"/>
        <v>100</v>
      </c>
      <c r="V33" s="776" t="s">
        <v>17</v>
      </c>
      <c r="W33" s="777">
        <f t="shared" si="12"/>
        <v>100</v>
      </c>
      <c r="X33" s="778"/>
      <c r="Y33" s="3239"/>
      <c r="Z33" s="779">
        <f t="shared" si="13"/>
        <v>111</v>
      </c>
      <c r="AA33" s="1809">
        <f t="shared" si="3"/>
        <v>1</v>
      </c>
      <c r="AB33" s="1809">
        <f t="shared" si="4"/>
        <v>1</v>
      </c>
      <c r="AC33" s="1809">
        <f t="shared" si="5"/>
        <v>1</v>
      </c>
    </row>
    <row r="34" spans="1:29" ht="15">
      <c r="A34" s="439" t="s">
        <v>2511</v>
      </c>
      <c r="B34" s="455" t="s">
        <v>2697</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39"/>
      <c r="Q34" s="1808" t="str">
        <f>B34</f>
        <v>宗地面积</v>
      </c>
      <c r="R34" s="773" t="s">
        <v>17</v>
      </c>
      <c r="S34" s="774" t="e">
        <f t="shared" si="10"/>
        <v>#N/A</v>
      </c>
      <c r="T34" s="773" t="s">
        <v>17</v>
      </c>
      <c r="U34" s="774" t="e">
        <f t="shared" si="11"/>
        <v>#N/A</v>
      </c>
      <c r="V34" s="773" t="s">
        <v>17</v>
      </c>
      <c r="W34" s="774" t="e">
        <f t="shared" si="12"/>
        <v>#N/A</v>
      </c>
      <c r="X34" s="1811"/>
      <c r="Y34" s="3239"/>
      <c r="Z34" s="1812" t="str">
        <f t="shared" si="13"/>
        <v>宗地面积</v>
      </c>
      <c r="AA34" s="1809" t="e">
        <f t="shared" si="3"/>
        <v>#N/A</v>
      </c>
      <c r="AB34" s="1809" t="e">
        <f t="shared" si="4"/>
        <v>#N/A</v>
      </c>
      <c r="AC34" s="1809" t="e">
        <f t="shared" si="5"/>
        <v>#N/A</v>
      </c>
    </row>
    <row r="35" spans="1:29" ht="15">
      <c r="A35" s="471"/>
      <c r="B35" s="421" t="s">
        <v>2698</v>
      </c>
      <c r="C35" s="2608"/>
      <c r="D35" s="434">
        <v>100</v>
      </c>
      <c r="E35" s="2608"/>
      <c r="F35" s="434">
        <f>SUMIF(110:110,E35,111:111)-SUMIF(110:110,C35,111:111)+100</f>
        <v>100</v>
      </c>
      <c r="G35" s="2608"/>
      <c r="H35" s="434">
        <f>SUMIF(110:110,G35,111:111)-SUMIF(110:110,C35,111:111)+100</f>
        <v>100</v>
      </c>
      <c r="I35" s="2608"/>
      <c r="J35" s="434">
        <f>SUMIF(110:110,I35,111:111)-SUMIF(110:110,C35,111:111)+100</f>
        <v>100</v>
      </c>
      <c r="K35" s="611"/>
      <c r="L35" s="1139"/>
      <c r="M35" s="1130"/>
      <c r="N35" s="1130"/>
      <c r="O35" s="1138"/>
      <c r="P35" s="3239"/>
      <c r="Q35" s="1808" t="str">
        <f t="shared" ref="Q35:Q40" si="14">B35</f>
        <v>宗地形状</v>
      </c>
      <c r="R35" s="773" t="s">
        <v>17</v>
      </c>
      <c r="S35" s="774">
        <f t="shared" si="10"/>
        <v>100</v>
      </c>
      <c r="T35" s="773" t="s">
        <v>17</v>
      </c>
      <c r="U35" s="774">
        <f t="shared" si="11"/>
        <v>100</v>
      </c>
      <c r="V35" s="773" t="s">
        <v>17</v>
      </c>
      <c r="W35" s="774">
        <f t="shared" si="12"/>
        <v>100</v>
      </c>
      <c r="X35" s="1811"/>
      <c r="Y35" s="3239"/>
      <c r="Z35" s="1812" t="str">
        <f t="shared" si="13"/>
        <v>宗地形状</v>
      </c>
      <c r="AA35" s="1809">
        <f t="shared" si="3"/>
        <v>1</v>
      </c>
      <c r="AB35" s="1809">
        <f t="shared" si="4"/>
        <v>1</v>
      </c>
      <c r="AC35" s="1809">
        <f t="shared" si="5"/>
        <v>1</v>
      </c>
    </row>
    <row r="36" spans="1:29" s="117" customFormat="1" ht="15">
      <c r="A36" s="472"/>
      <c r="B36" s="421" t="s">
        <v>2700</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31"/>
      <c r="M36" s="1132"/>
      <c r="N36" s="1132"/>
      <c r="O36" s="1133"/>
      <c r="P36" s="3239"/>
      <c r="Q36" s="1808" t="str">
        <f t="shared" si="14"/>
        <v>宗地开发程度</v>
      </c>
      <c r="R36" s="769" t="s">
        <v>17</v>
      </c>
      <c r="S36" s="770">
        <f t="shared" si="10"/>
        <v>100</v>
      </c>
      <c r="T36" s="769" t="s">
        <v>17</v>
      </c>
      <c r="U36" s="770">
        <f t="shared" si="11"/>
        <v>100</v>
      </c>
      <c r="V36" s="769" t="s">
        <v>17</v>
      </c>
      <c r="W36" s="770">
        <f t="shared" si="12"/>
        <v>100</v>
      </c>
      <c r="X36" s="771"/>
      <c r="Y36" s="3239"/>
      <c r="Z36" s="55" t="str">
        <f t="shared" si="13"/>
        <v>宗地开发程度</v>
      </c>
      <c r="AA36" s="772">
        <f t="shared" si="3"/>
        <v>1</v>
      </c>
      <c r="AB36" s="772">
        <f t="shared" si="4"/>
        <v>1</v>
      </c>
      <c r="AC36" s="772">
        <f t="shared" si="5"/>
        <v>1</v>
      </c>
    </row>
    <row r="37" spans="1:29" ht="15">
      <c r="A37" s="471"/>
      <c r="B37" s="421" t="s">
        <v>2701</v>
      </c>
      <c r="C37" s="2608"/>
      <c r="D37" s="434">
        <v>100</v>
      </c>
      <c r="E37" s="2608"/>
      <c r="F37" s="434">
        <f>SUMIF(114:114,E37,115:115)-SUMIF(114:114,C37,115:115)+100</f>
        <v>100</v>
      </c>
      <c r="G37" s="2608"/>
      <c r="H37" s="434">
        <f>SUMIF(114:114,G37,115:115)-SUMIF(114:114,C37,115:115)+100</f>
        <v>100</v>
      </c>
      <c r="I37" s="2608"/>
      <c r="J37" s="434">
        <f>SUMIF(114:114,I37,115:115)-SUMIF(114:114,C37,115:115)+100</f>
        <v>100</v>
      </c>
      <c r="K37" s="611"/>
      <c r="L37" s="1139"/>
      <c r="M37" s="1130"/>
      <c r="N37" s="1130"/>
      <c r="O37" s="1138"/>
      <c r="P37" s="3239" t="s">
        <v>2513</v>
      </c>
      <c r="Q37" s="1808" t="str">
        <f t="shared" si="14"/>
        <v>工程地质条件</v>
      </c>
      <c r="R37" s="773" t="s">
        <v>17</v>
      </c>
      <c r="S37" s="774">
        <f t="shared" si="10"/>
        <v>100</v>
      </c>
      <c r="T37" s="773" t="s">
        <v>17</v>
      </c>
      <c r="U37" s="774">
        <f t="shared" si="11"/>
        <v>100</v>
      </c>
      <c r="V37" s="773" t="s">
        <v>17</v>
      </c>
      <c r="W37" s="774">
        <f t="shared" si="12"/>
        <v>100</v>
      </c>
      <c r="X37" s="1811"/>
      <c r="Y37" s="3239" t="s">
        <v>2513</v>
      </c>
      <c r="Z37" s="1812" t="str">
        <f t="shared" si="13"/>
        <v>工程地质条件</v>
      </c>
      <c r="AA37" s="1809">
        <f t="shared" si="3"/>
        <v>1</v>
      </c>
      <c r="AB37" s="1809">
        <f t="shared" si="4"/>
        <v>1</v>
      </c>
      <c r="AC37" s="1809">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39"/>
      <c r="Q38" s="1808">
        <f t="shared" si="14"/>
        <v>111</v>
      </c>
      <c r="R38" s="773" t="s">
        <v>17</v>
      </c>
      <c r="S38" s="774">
        <f t="shared" si="10"/>
        <v>100</v>
      </c>
      <c r="T38" s="773" t="s">
        <v>17</v>
      </c>
      <c r="U38" s="774">
        <f t="shared" si="11"/>
        <v>100</v>
      </c>
      <c r="V38" s="773" t="s">
        <v>17</v>
      </c>
      <c r="W38" s="774">
        <f t="shared" si="12"/>
        <v>100</v>
      </c>
      <c r="X38" s="1811"/>
      <c r="Y38" s="3239"/>
      <c r="Z38" s="1812">
        <f t="shared" si="13"/>
        <v>111</v>
      </c>
      <c r="AA38" s="1809">
        <f t="shared" si="3"/>
        <v>1</v>
      </c>
      <c r="AB38" s="1809">
        <f t="shared" si="4"/>
        <v>1</v>
      </c>
      <c r="AC38" s="1809">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39"/>
      <c r="Q39" s="1808">
        <f t="shared" si="14"/>
        <v>111</v>
      </c>
      <c r="R39" s="773" t="s">
        <v>17</v>
      </c>
      <c r="S39" s="774">
        <f t="shared" si="10"/>
        <v>100</v>
      </c>
      <c r="T39" s="773" t="s">
        <v>17</v>
      </c>
      <c r="U39" s="774">
        <f t="shared" si="11"/>
        <v>100</v>
      </c>
      <c r="V39" s="773" t="s">
        <v>17</v>
      </c>
      <c r="W39" s="774">
        <f t="shared" si="12"/>
        <v>100</v>
      </c>
      <c r="X39" s="1811"/>
      <c r="Y39" s="3239"/>
      <c r="Z39" s="1812">
        <f t="shared" si="13"/>
        <v>111</v>
      </c>
      <c r="AA39" s="1809">
        <f t="shared" si="3"/>
        <v>1</v>
      </c>
      <c r="AB39" s="1809">
        <f t="shared" si="4"/>
        <v>1</v>
      </c>
      <c r="AC39" s="1809">
        <f t="shared" si="5"/>
        <v>1</v>
      </c>
    </row>
    <row r="40" spans="1:29" s="470" customFormat="1" ht="15.75" thickBot="1">
      <c r="A40" s="467"/>
      <c r="B40" s="1386">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39"/>
      <c r="Q40" s="1808">
        <f t="shared" si="14"/>
        <v>111</v>
      </c>
      <c r="R40" s="776" t="s">
        <v>17</v>
      </c>
      <c r="S40" s="777">
        <f t="shared" si="10"/>
        <v>100</v>
      </c>
      <c r="T40" s="776" t="s">
        <v>17</v>
      </c>
      <c r="U40" s="777">
        <f t="shared" si="11"/>
        <v>100</v>
      </c>
      <c r="V40" s="776" t="s">
        <v>17</v>
      </c>
      <c r="W40" s="777">
        <f t="shared" si="12"/>
        <v>100</v>
      </c>
      <c r="X40" s="778"/>
      <c r="Y40" s="3239"/>
      <c r="Z40" s="779">
        <f t="shared" si="13"/>
        <v>111</v>
      </c>
      <c r="AA40" s="1809">
        <f t="shared" si="3"/>
        <v>1</v>
      </c>
      <c r="AB40" s="1809">
        <f t="shared" si="4"/>
        <v>1</v>
      </c>
      <c r="AC40" s="1809">
        <f t="shared" si="5"/>
        <v>1</v>
      </c>
    </row>
    <row r="41" spans="1:29" ht="15">
      <c r="A41" s="478" t="s">
        <v>2667</v>
      </c>
      <c r="B41" s="2698" t="s">
        <v>2745</v>
      </c>
      <c r="C41" s="681" t="s">
        <v>1</v>
      </c>
      <c r="D41" s="480"/>
      <c r="E41" s="481"/>
      <c r="F41" s="482"/>
      <c r="G41" s="483"/>
      <c r="H41" s="484"/>
      <c r="I41" s="481"/>
      <c r="J41" s="484"/>
      <c r="K41" s="782"/>
      <c r="L41" s="1142"/>
      <c r="M41" s="1130"/>
      <c r="N41" s="1130"/>
      <c r="O41" s="1143"/>
      <c r="P41" s="3221" t="str">
        <f>A41</f>
        <v>成交单价</v>
      </c>
      <c r="Q41" s="3221"/>
      <c r="R41" s="3234">
        <f>E41</f>
        <v>0</v>
      </c>
      <c r="S41" s="3234"/>
      <c r="T41" s="3234">
        <f>G41</f>
        <v>0</v>
      </c>
      <c r="U41" s="3234"/>
      <c r="V41" s="3234">
        <f>I41</f>
        <v>0</v>
      </c>
      <c r="W41" s="3234"/>
      <c r="X41" s="758"/>
      <c r="Y41" s="780"/>
      <c r="Z41" s="758"/>
      <c r="AA41" s="758"/>
      <c r="AB41" s="758"/>
      <c r="AC41" s="758"/>
    </row>
    <row r="42" spans="1:29" ht="15.75" thickBot="1">
      <c r="A42" s="485" t="s">
        <v>2616</v>
      </c>
      <c r="B42" s="682"/>
      <c r="C42" s="489" t="e">
        <f>R43</f>
        <v>#DIV/0!</v>
      </c>
      <c r="D42" s="488"/>
      <c r="E42" s="489" t="e">
        <f>R42</f>
        <v>#DIV/0!</v>
      </c>
      <c r="F42" s="490"/>
      <c r="G42" s="487" t="e">
        <f>T42</f>
        <v>#DIV/0!</v>
      </c>
      <c r="H42" s="488"/>
      <c r="I42" s="489" t="e">
        <f>V42</f>
        <v>#DIV/0!</v>
      </c>
      <c r="J42" s="488"/>
      <c r="K42" s="783"/>
      <c r="L42" s="1142"/>
      <c r="M42" s="1130"/>
      <c r="N42" s="1130"/>
      <c r="O42" s="1143"/>
      <c r="P42" s="3221" t="str">
        <f>A42</f>
        <v>比较价值（元/平方米）</v>
      </c>
      <c r="Q42" s="3221"/>
      <c r="R42" s="3240" t="e">
        <f>ROUND(PRODUCT(R41,AA7:AA40),0)</f>
        <v>#DIV/0!</v>
      </c>
      <c r="S42" s="3240"/>
      <c r="T42" s="3240" t="e">
        <f>ROUND(PRODUCT(T41,AB7:AB40),0)</f>
        <v>#DIV/0!</v>
      </c>
      <c r="U42" s="3240"/>
      <c r="V42" s="3240" t="e">
        <f>ROUND(PRODUCT(V41,AC7:AC40),0)</f>
        <v>#DIV/0!</v>
      </c>
      <c r="W42" s="3240"/>
      <c r="X42" s="758"/>
      <c r="Y42" s="758"/>
      <c r="Z42" s="758"/>
      <c r="AA42" s="758"/>
      <c r="AB42" s="758"/>
      <c r="AC42" s="758"/>
    </row>
    <row r="43" spans="1:29" ht="15.75" thickBot="1">
      <c r="A43" s="491" t="s">
        <v>2617</v>
      </c>
      <c r="B43" s="492"/>
      <c r="C43" s="493" t="e">
        <f>R43</f>
        <v>#DIV/0!</v>
      </c>
      <c r="D43" s="493"/>
      <c r="E43" s="493"/>
      <c r="F43" s="493"/>
      <c r="G43" s="493"/>
      <c r="H43" s="493"/>
      <c r="I43" s="493"/>
      <c r="J43" s="493"/>
      <c r="K43" s="784"/>
      <c r="L43" s="1142"/>
      <c r="M43" s="1130"/>
      <c r="N43" s="1130"/>
      <c r="O43" s="1143"/>
      <c r="P43" s="3241" t="str">
        <f>A43</f>
        <v>估价对象XX用房的比较价值（楼面单价，元/平方米）</v>
      </c>
      <c r="Q43" s="3242"/>
      <c r="R43" s="3243" t="e">
        <f>ROUND(AVERAGE(R42:V42),0)</f>
        <v>#DIV/0!</v>
      </c>
      <c r="S43" s="3243"/>
      <c r="T43" s="3243"/>
      <c r="U43" s="3243"/>
      <c r="V43" s="3243"/>
      <c r="W43" s="3243"/>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2618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2619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2620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2703</v>
      </c>
      <c r="B50" s="684" t="s">
        <v>2704</v>
      </c>
      <c r="C50" s="2699" t="s">
        <v>2705</v>
      </c>
      <c r="D50" s="2700" t="s">
        <v>2706</v>
      </c>
      <c r="E50" s="685" t="s">
        <v>2707</v>
      </c>
      <c r="F50" s="686" t="s">
        <v>2708</v>
      </c>
      <c r="G50" s="3222" t="s">
        <v>2709</v>
      </c>
      <c r="H50" s="3244"/>
      <c r="I50" s="1812" t="s">
        <v>2746</v>
      </c>
      <c r="J50" s="1812" t="str">
        <f>项目基本情况!F35</f>
        <v>安徽省</v>
      </c>
      <c r="K50" s="2702" t="s">
        <v>2711</v>
      </c>
      <c r="L50" s="1105"/>
      <c r="M50" s="1143"/>
      <c r="N50" s="1143"/>
      <c r="O50" s="1143"/>
    </row>
    <row r="51" spans="1:17" s="691" customFormat="1">
      <c r="A51" s="687" t="s">
        <v>2712</v>
      </c>
      <c r="B51" s="688" t="e">
        <f>C43</f>
        <v>#DIV/0!</v>
      </c>
      <c r="C51" s="689">
        <v>1</v>
      </c>
      <c r="D51" s="1162">
        <v>1</v>
      </c>
      <c r="E51" s="689">
        <f>'数据-汇总表'!E8+'数据-汇总表'!E9</f>
        <v>93182.659999999989</v>
      </c>
      <c r="F51" s="690" t="e">
        <f t="shared" ref="F51:F60" si="15">ROUND(B51*E51/10000,0)</f>
        <v>#DIV/0!</v>
      </c>
      <c r="G51" s="3245"/>
      <c r="H51" s="3221"/>
      <c r="I51" s="941">
        <v>1</v>
      </c>
      <c r="J51" s="941">
        <v>1</v>
      </c>
      <c r="K51" s="1144"/>
      <c r="L51" s="940"/>
      <c r="M51" s="940"/>
      <c r="N51" s="940"/>
      <c r="O51" s="940"/>
    </row>
    <row r="52" spans="1:17" s="691" customFormat="1">
      <c r="A52" s="692" t="s">
        <v>2713</v>
      </c>
      <c r="B52" s="261" t="e">
        <f>ROUND($C$43*C52*D52,0)</f>
        <v>#DIV/0!</v>
      </c>
      <c r="C52" s="199">
        <f t="shared" ref="C52:C60" si="16">IF($C$50="北京市系数",I52,J52)</f>
        <v>0</v>
      </c>
      <c r="D52" s="1163">
        <v>0.25</v>
      </c>
      <c r="E52" s="693"/>
      <c r="F52" s="690" t="e">
        <f t="shared" si="15"/>
        <v>#DIV/0!</v>
      </c>
      <c r="G52" s="3246" t="s">
        <v>2714</v>
      </c>
      <c r="H52" s="1103">
        <f>项目基本情况!B37</f>
        <v>0</v>
      </c>
      <c r="I52" s="941">
        <f>SUMIF(修正!A45:A56,H52,修正!B45:B56)</f>
        <v>0</v>
      </c>
      <c r="J52" s="942"/>
      <c r="K52" s="1143"/>
      <c r="L52" s="940"/>
      <c r="M52" s="940"/>
      <c r="N52" s="940"/>
      <c r="O52" s="940"/>
    </row>
    <row r="53" spans="1:17" s="691" customFormat="1">
      <c r="A53" s="692" t="s">
        <v>2715</v>
      </c>
      <c r="B53" s="261" t="e">
        <f t="shared" ref="B53:B60" si="17">ROUND($C$43*C53*D53,0)</f>
        <v>#DIV/0!</v>
      </c>
      <c r="C53" s="199">
        <f t="shared" si="16"/>
        <v>0</v>
      </c>
      <c r="D53" s="1163">
        <v>0.25</v>
      </c>
      <c r="E53" s="693"/>
      <c r="F53" s="690" t="e">
        <f t="shared" si="15"/>
        <v>#DIV/0!</v>
      </c>
      <c r="G53" s="3246"/>
      <c r="H53" s="1103">
        <f>项目基本情况!B37</f>
        <v>0</v>
      </c>
      <c r="I53" s="941">
        <f>SUMIF(修正!A45:A56,H53,修正!C45:C56)</f>
        <v>0</v>
      </c>
      <c r="J53" s="942"/>
      <c r="K53" s="1144"/>
      <c r="L53" s="940"/>
      <c r="M53" s="940"/>
      <c r="N53" s="940"/>
      <c r="O53" s="940"/>
    </row>
    <row r="54" spans="1:17" s="691" customFormat="1">
      <c r="A54" s="692" t="s">
        <v>2716</v>
      </c>
      <c r="B54" s="261" t="e">
        <f t="shared" si="17"/>
        <v>#DIV/0!</v>
      </c>
      <c r="C54" s="199">
        <f t="shared" si="16"/>
        <v>0</v>
      </c>
      <c r="D54" s="1163">
        <v>0.25</v>
      </c>
      <c r="E54" s="693"/>
      <c r="F54" s="690" t="e">
        <f t="shared" si="15"/>
        <v>#DIV/0!</v>
      </c>
      <c r="G54" s="3246"/>
      <c r="H54" s="1103">
        <f>项目基本情况!B37</f>
        <v>0</v>
      </c>
      <c r="I54" s="941">
        <f>SUMIF(修正!A45:A56,H54,修正!D45:D56)</f>
        <v>0</v>
      </c>
      <c r="J54" s="942"/>
      <c r="K54" s="1143"/>
      <c r="L54" s="940"/>
      <c r="M54" s="940"/>
      <c r="N54" s="940"/>
      <c r="O54" s="940"/>
    </row>
    <row r="55" spans="1:17" s="691" customFormat="1">
      <c r="A55" s="692" t="s">
        <v>2717</v>
      </c>
      <c r="B55" s="261" t="e">
        <f t="shared" si="17"/>
        <v>#DIV/0!</v>
      </c>
      <c r="C55" s="199">
        <f t="shared" si="16"/>
        <v>0</v>
      </c>
      <c r="D55" s="1163">
        <v>0.25</v>
      </c>
      <c r="E55" s="693"/>
      <c r="F55" s="690" t="e">
        <f t="shared" si="15"/>
        <v>#DIV/0!</v>
      </c>
      <c r="G55" s="3246"/>
      <c r="H55" s="1103">
        <f>项目基本情况!B37</f>
        <v>0</v>
      </c>
      <c r="I55" s="941">
        <f>SUMIF(修正!A45:A56,H55,修正!E45:E56)</f>
        <v>0</v>
      </c>
      <c r="J55" s="942"/>
      <c r="K55" s="1144"/>
      <c r="L55" s="940"/>
      <c r="M55" s="940"/>
      <c r="N55" s="940"/>
      <c r="O55" s="940"/>
    </row>
    <row r="56" spans="1:17" s="691" customFormat="1">
      <c r="A56" s="692" t="s">
        <v>2718</v>
      </c>
      <c r="B56" s="261" t="e">
        <f t="shared" si="17"/>
        <v>#DIV/0!</v>
      </c>
      <c r="C56" s="199">
        <f t="shared" si="16"/>
        <v>0</v>
      </c>
      <c r="D56" s="1163">
        <v>0.25</v>
      </c>
      <c r="E56" s="260">
        <f>'数据-汇总表'!E11</f>
        <v>0</v>
      </c>
      <c r="F56" s="690" t="e">
        <f t="shared" si="15"/>
        <v>#DIV/0!</v>
      </c>
      <c r="G56" s="2703" t="s">
        <v>2719</v>
      </c>
      <c r="H56" s="1103">
        <f>项目基本情况!C37</f>
        <v>0</v>
      </c>
      <c r="I56" s="941">
        <f>SUMIF(修正!A45:A56,H56,修正!F45:F56)</f>
        <v>0</v>
      </c>
      <c r="J56" s="942"/>
      <c r="K56" s="1143"/>
      <c r="L56" s="940"/>
      <c r="M56" s="940"/>
      <c r="N56" s="940"/>
      <c r="O56" s="940"/>
    </row>
    <row r="57" spans="1:17" s="691" customFormat="1">
      <c r="A57" s="692" t="s">
        <v>2720</v>
      </c>
      <c r="B57" s="261" t="e">
        <f t="shared" si="17"/>
        <v>#DIV/0!</v>
      </c>
      <c r="C57" s="199">
        <f t="shared" si="16"/>
        <v>0</v>
      </c>
      <c r="D57" s="1163">
        <v>0.25</v>
      </c>
      <c r="E57" s="260">
        <f>'数据-汇总表'!E12</f>
        <v>0</v>
      </c>
      <c r="F57" s="690" t="e">
        <f t="shared" si="15"/>
        <v>#DIV/0!</v>
      </c>
      <c r="G57" s="1108" t="s">
        <v>2721</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2722</v>
      </c>
      <c r="B58" s="261" t="e">
        <f t="shared" si="17"/>
        <v>#DIV/0!</v>
      </c>
      <c r="C58" s="199">
        <f t="shared" si="16"/>
        <v>0</v>
      </c>
      <c r="D58" s="1163">
        <v>0.25</v>
      </c>
      <c r="E58" s="260">
        <f>'数据-汇总表'!E13</f>
        <v>37739.420000000006</v>
      </c>
      <c r="F58" s="690" t="e">
        <f t="shared" si="15"/>
        <v>#DIV/0!</v>
      </c>
      <c r="G58" s="1108" t="s">
        <v>2723</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2724</v>
      </c>
      <c r="B59" s="261" t="e">
        <f t="shared" si="17"/>
        <v>#DIV/0!</v>
      </c>
      <c r="C59" s="199">
        <f t="shared" si="16"/>
        <v>0</v>
      </c>
      <c r="D59" s="1163">
        <v>0.25</v>
      </c>
      <c r="E59" s="260">
        <f>'数据-汇总表'!E14</f>
        <v>0</v>
      </c>
      <c r="F59" s="690" t="e">
        <f t="shared" si="15"/>
        <v>#DIV/0!</v>
      </c>
      <c r="G59" s="2703" t="s">
        <v>2714</v>
      </c>
      <c r="H59" s="1103">
        <f>项目基本情况!B37</f>
        <v>0</v>
      </c>
      <c r="I59" s="941">
        <f>SUMIF(修正!A45:A56,H59,修正!H45:H56)</f>
        <v>0</v>
      </c>
      <c r="J59" s="942"/>
      <c r="K59" s="1144"/>
      <c r="L59" s="940"/>
      <c r="M59" s="940"/>
      <c r="N59" s="940"/>
      <c r="O59" s="940"/>
    </row>
    <row r="60" spans="1:17" s="691" customFormat="1" ht="15" thickBot="1">
      <c r="A60" s="692" t="s">
        <v>2725</v>
      </c>
      <c r="B60" s="261" t="e">
        <f t="shared" si="17"/>
        <v>#DIV/0!</v>
      </c>
      <c r="C60" s="199">
        <f t="shared" si="16"/>
        <v>0</v>
      </c>
      <c r="D60" s="1163">
        <v>0.25</v>
      </c>
      <c r="E60" s="260">
        <f>'数据-汇总表'!E15</f>
        <v>0</v>
      </c>
      <c r="F60" s="690" t="e">
        <f t="shared" si="15"/>
        <v>#DIV/0!</v>
      </c>
      <c r="G60" s="2704" t="s">
        <v>2719</v>
      </c>
      <c r="H60" s="1113">
        <f>项目基本情况!C37</f>
        <v>0</v>
      </c>
      <c r="I60" s="941">
        <f>SUMIF(修正!A45:A56,H60,修正!H45:H56)</f>
        <v>0</v>
      </c>
      <c r="J60" s="942"/>
      <c r="K60" s="1143"/>
      <c r="L60" s="940"/>
      <c r="M60" s="940"/>
      <c r="N60" s="940"/>
      <c r="O60" s="940"/>
    </row>
    <row r="61" spans="1:17" s="691" customFormat="1" ht="15" thickBot="1">
      <c r="A61" s="694" t="s">
        <v>2726</v>
      </c>
      <c r="B61" s="695" t="s">
        <v>28</v>
      </c>
      <c r="C61" s="695" t="s">
        <v>29</v>
      </c>
      <c r="D61" s="695" t="s">
        <v>1025</v>
      </c>
      <c r="E61" s="695">
        <f>IF(B41="楼面地价",SUM(E51:E60),'数据-汇总表'!D3)</f>
        <v>63529.08</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2621</v>
      </c>
      <c r="B64" s="758"/>
      <c r="C64" s="763"/>
      <c r="D64" s="763"/>
      <c r="E64" s="763"/>
      <c r="F64" s="764"/>
      <c r="G64" s="764"/>
      <c r="H64" s="763"/>
      <c r="I64" s="763"/>
      <c r="J64" s="763"/>
      <c r="K64" s="765"/>
      <c r="L64" s="766"/>
      <c r="M64" s="763"/>
      <c r="N64" s="763"/>
      <c r="O64" s="1158"/>
      <c r="P64" s="502"/>
      <c r="Q64" s="503"/>
    </row>
    <row r="65" spans="1:17" s="507" customFormat="1" ht="15">
      <c r="A65" s="2705" t="s">
        <v>2727</v>
      </c>
      <c r="B65" s="1358"/>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6"/>
    </row>
    <row r="66" spans="1:17" s="117" customFormat="1" ht="30.75" customHeight="1">
      <c r="A66" s="2710" t="s">
        <v>2747</v>
      </c>
      <c r="B66" s="331" t="str">
        <f>"北京市平均增长率"&amp;TEXT(基准地价修正!P24,"0.00%")</f>
        <v>北京市平均增长率1.42%</v>
      </c>
      <c r="C66" s="602">
        <v>100</v>
      </c>
      <c r="D66" s="594"/>
      <c r="E66" s="594"/>
      <c r="F66" s="594"/>
      <c r="G66" s="594"/>
      <c r="H66" s="594"/>
      <c r="I66" s="594"/>
      <c r="J66" s="594"/>
      <c r="K66" s="594"/>
      <c r="L66" s="594"/>
      <c r="M66" s="1566"/>
      <c r="N66" s="1566"/>
      <c r="O66" s="1567"/>
      <c r="P66" s="503"/>
    </row>
    <row r="67" spans="1:17" s="117" customFormat="1" ht="15.75" thickBot="1">
      <c r="A67" s="514" t="s">
        <v>2532</v>
      </c>
      <c r="B67" s="515"/>
      <c r="C67" s="516"/>
      <c r="D67" s="517"/>
      <c r="E67" s="517"/>
      <c r="F67" s="517"/>
      <c r="G67" s="517"/>
      <c r="H67" s="517"/>
      <c r="I67" s="517"/>
      <c r="J67" s="517"/>
      <c r="K67" s="517"/>
      <c r="L67" s="517"/>
      <c r="M67" s="518"/>
      <c r="N67" s="518"/>
      <c r="O67" s="519"/>
      <c r="P67" s="503"/>
      <c r="Q67" s="503"/>
    </row>
    <row r="68" spans="1:17" s="117" customFormat="1" ht="15">
      <c r="A68" s="520" t="s">
        <v>2498</v>
      </c>
      <c r="B68" s="509"/>
      <c r="C68" s="521" t="s">
        <v>2599</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2535</v>
      </c>
      <c r="B70" s="527" t="s">
        <v>2502</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2505</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2506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2507</v>
      </c>
      <c r="B83" s="527" t="s">
        <v>2652</v>
      </c>
      <c r="C83" s="572" t="s">
        <v>2544</v>
      </c>
      <c r="D83" s="572" t="s">
        <v>2545</v>
      </c>
      <c r="E83" s="572" t="s">
        <v>2546</v>
      </c>
      <c r="F83" s="572" t="s">
        <v>2547</v>
      </c>
      <c r="G83" s="572" t="s">
        <v>2548</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2549</v>
      </c>
      <c r="C85" s="577" t="s">
        <v>2544</v>
      </c>
      <c r="D85" s="577" t="s">
        <v>2545</v>
      </c>
      <c r="E85" s="577" t="s">
        <v>2546</v>
      </c>
      <c r="F85" s="577" t="s">
        <v>2547</v>
      </c>
      <c r="G85" s="577" t="s">
        <v>2548</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2730</v>
      </c>
      <c r="C87" s="572" t="s">
        <v>2544</v>
      </c>
      <c r="D87" s="572" t="s">
        <v>2545</v>
      </c>
      <c r="E87" s="572" t="s">
        <v>2546</v>
      </c>
      <c r="F87" s="572" t="s">
        <v>2547</v>
      </c>
      <c r="G87" s="572" t="s">
        <v>2548</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2731</v>
      </c>
      <c r="C89" s="572" t="s">
        <v>2544</v>
      </c>
      <c r="D89" s="572" t="s">
        <v>2545</v>
      </c>
      <c r="E89" s="572" t="s">
        <v>2546</v>
      </c>
      <c r="F89" s="572" t="s">
        <v>2547</v>
      </c>
      <c r="G89" s="572" t="s">
        <v>2548</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2601</v>
      </c>
      <c r="C91" s="572" t="s">
        <v>2544</v>
      </c>
      <c r="D91" s="572" t="s">
        <v>2545</v>
      </c>
      <c r="E91" s="572" t="s">
        <v>2546</v>
      </c>
      <c r="F91" s="572" t="s">
        <v>2547</v>
      </c>
      <c r="G91" s="572" t="s">
        <v>2548</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2748</v>
      </c>
      <c r="C93" s="659" t="s">
        <v>2622</v>
      </c>
      <c r="D93" s="659" t="s">
        <v>2623</v>
      </c>
      <c r="E93" s="659" t="s">
        <v>2624</v>
      </c>
      <c r="F93" s="659" t="s">
        <v>2625</v>
      </c>
      <c r="G93" s="659" t="s">
        <v>2626</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2732</v>
      </c>
      <c r="D95" s="538" t="s">
        <v>2733</v>
      </c>
      <c r="E95" s="538" t="s">
        <v>2734</v>
      </c>
      <c r="F95" s="538" t="s">
        <v>2735</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2638</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2696</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2511</v>
      </c>
      <c r="B107" s="527" t="s">
        <v>2736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2737</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2739</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2740</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647" priority="14" stopIfTrue="1" operator="containsText" text="超过">
      <formula>NOT(ISERROR(SEARCH("超过",F46)))</formula>
    </cfRule>
  </conditionalFormatting>
  <conditionalFormatting sqref="J48">
    <cfRule type="containsText" dxfId="646" priority="13" stopIfTrue="1" operator="containsText" text="超过">
      <formula>NOT(ISERROR(SEARCH("超过",J48)))</formula>
    </cfRule>
  </conditionalFormatting>
  <conditionalFormatting sqref="H48">
    <cfRule type="containsText" dxfId="645" priority="12" stopIfTrue="1" operator="containsText" text="超过">
      <formula>NOT(ISERROR(SEARCH("超过",H48)))</formula>
    </cfRule>
  </conditionalFormatting>
  <conditionalFormatting sqref="F48">
    <cfRule type="containsText" dxfId="644" priority="11" stopIfTrue="1" operator="containsText" text="超过">
      <formula>NOT(ISERROR(SEARCH("超过",F48)))</formula>
    </cfRule>
  </conditionalFormatting>
  <conditionalFormatting sqref="F47 H47 J47">
    <cfRule type="containsText" dxfId="643" priority="10" stopIfTrue="1" operator="containsText" text="超过">
      <formula>NOT(ISERROR(SEARCH("超过",F47)))</formula>
    </cfRule>
  </conditionalFormatting>
  <conditionalFormatting sqref="E46">
    <cfRule type="expression" dxfId="642" priority="9" stopIfTrue="1">
      <formula>$F$46="超过30%"</formula>
    </cfRule>
  </conditionalFormatting>
  <conditionalFormatting sqref="G48">
    <cfRule type="expression" dxfId="641" priority="8" stopIfTrue="1">
      <formula>$H$48="超过30%"</formula>
    </cfRule>
  </conditionalFormatting>
  <conditionalFormatting sqref="E48">
    <cfRule type="expression" dxfId="640" priority="6" stopIfTrue="1">
      <formula>$F$48="超过30%"</formula>
    </cfRule>
  </conditionalFormatting>
  <conditionalFormatting sqref="G46">
    <cfRule type="expression" dxfId="639" priority="5" stopIfTrue="1">
      <formula>$H$46="超过30%"</formula>
    </cfRule>
  </conditionalFormatting>
  <conditionalFormatting sqref="G47">
    <cfRule type="expression" dxfId="638" priority="4" stopIfTrue="1">
      <formula>$H$47="超过20%"</formula>
    </cfRule>
  </conditionalFormatting>
  <conditionalFormatting sqref="I46">
    <cfRule type="expression" dxfId="637" priority="3" stopIfTrue="1">
      <formula>$J$46="超过30%"</formula>
    </cfRule>
  </conditionalFormatting>
  <conditionalFormatting sqref="I47">
    <cfRule type="expression" dxfId="636" priority="2" stopIfTrue="1">
      <formula>$J$47="超过20%"</formula>
    </cfRule>
  </conditionalFormatting>
  <conditionalFormatting sqref="I48">
    <cfRule type="expression" dxfId="635" priority="1" stopIfTrue="1">
      <formula>$J$48="超过30%"</formula>
    </cfRule>
  </conditionalFormatting>
  <conditionalFormatting sqref="E47">
    <cfRule type="expression" dxfId="6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38" sqref="C38"/>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71" customWidth="1"/>
    <col min="33" max="36" width="9.375" style="2790" customWidth="1"/>
    <col min="37" max="38" width="9.375" style="2714" customWidth="1"/>
    <col min="39" max="16384" width="12" style="2714"/>
  </cols>
  <sheetData>
    <row r="1" spans="1:36" ht="28.5">
      <c r="A1" s="239" t="s">
        <v>2749</v>
      </c>
      <c r="B1" s="240"/>
      <c r="C1" s="244" t="s">
        <v>2750</v>
      </c>
      <c r="D1" s="387">
        <f>SUM(D29:D30,D33:D39)</f>
        <v>0</v>
      </c>
      <c r="E1" s="2711"/>
      <c r="F1" s="2711"/>
      <c r="G1" s="2711"/>
      <c r="H1" s="2711"/>
      <c r="I1" s="2711"/>
      <c r="J1" s="2711"/>
      <c r="K1" s="1369"/>
      <c r="L1" s="2712" t="s">
        <v>2751</v>
      </c>
      <c r="M1" s="1079">
        <f>SUMPRODUCT((区片价!B5:B9=I2)*(区片价!C3:F3=E2)*(区片价!C5:F9))</f>
        <v>0</v>
      </c>
      <c r="N1" s="1082">
        <f>SUMPRODUCT((因素修正幅度!B5:B9=I2)*(因素修正幅度!C3:F3=E2)*(因素修正幅度!C5:F9))</f>
        <v>0</v>
      </c>
      <c r="O1" s="2713"/>
      <c r="P1" s="2713"/>
      <c r="Q1" s="1369"/>
      <c r="R1" s="1600" t="s">
        <v>2752</v>
      </c>
      <c r="S1" s="1600" t="s">
        <v>2753</v>
      </c>
      <c r="T1" s="1600" t="s">
        <v>2754</v>
      </c>
      <c r="U1" s="1600" t="s">
        <v>2755</v>
      </c>
      <c r="V1" s="1600" t="s">
        <v>2756</v>
      </c>
      <c r="W1" s="1604"/>
      <c r="X1" s="1604"/>
      <c r="Y1" s="1604"/>
      <c r="Z1" s="1604"/>
      <c r="AA1" s="1604"/>
      <c r="AB1" s="1604"/>
      <c r="AC1" s="1605"/>
      <c r="AD1" s="1606"/>
      <c r="AE1" s="1606"/>
      <c r="AF1" s="1606"/>
      <c r="AG1" s="1606"/>
      <c r="AH1" s="1606"/>
      <c r="AI1" s="1606"/>
      <c r="AJ1" s="1607"/>
    </row>
    <row r="2" spans="1:36" ht="15.75">
      <c r="A2" s="244" t="s">
        <v>2757</v>
      </c>
      <c r="B2" s="247" t="e">
        <f>C26</f>
        <v>#DIV/0!</v>
      </c>
      <c r="C2" s="2715" t="s">
        <v>2758</v>
      </c>
      <c r="D2" s="2716" t="s">
        <v>2759</v>
      </c>
      <c r="E2" s="2717"/>
      <c r="F2" s="2716" t="s">
        <v>2760</v>
      </c>
      <c r="G2" s="2718">
        <f>IF(E2="商业",项目基本情况!B37,IF(E2="办公",项目基本情况!C37,IF(E2="住宅",项目基本情况!D37,项目基本情况!E37)))</f>
        <v>0</v>
      </c>
      <c r="H2" s="2716" t="s">
        <v>2761</v>
      </c>
      <c r="I2" s="2718">
        <f>IF(E2="商业",项目基本情况!B38,IF(E2="办公",项目基本情况!C38,IF(E2="住宅",项目基本情况!D38,项目基本情况!E38)))</f>
        <v>0</v>
      </c>
      <c r="J2" s="2719"/>
      <c r="K2" s="1369"/>
      <c r="L2" s="2720" t="s">
        <v>2762</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2763</v>
      </c>
      <c r="B3" s="247" t="e">
        <f>ROUND(B2*10000/D1,0)</f>
        <v>#DIV/0!</v>
      </c>
      <c r="C3" s="2715" t="s">
        <v>2764</v>
      </c>
      <c r="D3" s="2716" t="s">
        <v>2765</v>
      </c>
      <c r="E3" s="2721"/>
      <c r="F3" s="2722" t="s">
        <v>2766</v>
      </c>
      <c r="G3" s="912">
        <f>IF(F3="宗地容积率",'数据-汇总表'!I4,IF(F3="估价对象容积率",'数据-汇总表'!I6,'数据-汇总表'!I7))</f>
        <v>1.52</v>
      </c>
      <c r="H3" s="197" t="s">
        <v>2767</v>
      </c>
      <c r="I3" s="943"/>
      <c r="J3" s="2719" t="s">
        <v>2768</v>
      </c>
      <c r="K3" s="1369"/>
      <c r="L3" s="2720" t="s">
        <v>2769</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19"/>
      <c r="B4" s="3320"/>
      <c r="C4" s="3320"/>
      <c r="D4" s="3321"/>
      <c r="E4" s="3321"/>
      <c r="F4" s="3321"/>
      <c r="G4" s="3321"/>
      <c r="H4" s="3321"/>
      <c r="I4" s="3321"/>
      <c r="J4" s="3322"/>
      <c r="K4" s="1369"/>
      <c r="L4" s="2720" t="s">
        <v>2770</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2" customFormat="1" ht="15.75" thickBot="1">
      <c r="A5" s="2723" t="s">
        <v>806</v>
      </c>
      <c r="B5" s="2724" t="s">
        <v>2771</v>
      </c>
      <c r="C5" s="913" t="e">
        <f>ROUND(IF(E2="商业",IF(F16="增加",C6*C7+C16,C6*C7-C16),IF(E2="住宅",IF(F16="增加",C6*C12+C16,C6*C12-C16),IF(F16="增加",C6+C16,C6-C16))),0)</f>
        <v>#DIV/0!</v>
      </c>
      <c r="D5" s="1785">
        <f>ROUND(IF(E2="商业",IF(F16="增加",C6+C16,C6-C16)),0)</f>
        <v>0</v>
      </c>
      <c r="E5" s="2725"/>
      <c r="F5" s="2725"/>
      <c r="G5" s="2726"/>
      <c r="H5" s="2726"/>
      <c r="I5" s="2726"/>
      <c r="J5" s="2727"/>
      <c r="K5" s="2728"/>
      <c r="L5" s="2720" t="s">
        <v>2772</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9"/>
      <c r="AD5" s="2730"/>
      <c r="AE5" s="2730"/>
      <c r="AF5" s="2730"/>
      <c r="AG5" s="2730"/>
      <c r="AH5" s="2730"/>
      <c r="AI5" s="2730"/>
      <c r="AJ5" s="2731"/>
    </row>
    <row r="6" spans="1:36" ht="15.75" thickBot="1">
      <c r="A6" s="2733" t="s">
        <v>2773</v>
      </c>
      <c r="B6" s="2734" t="s">
        <v>2774</v>
      </c>
      <c r="C6" s="914">
        <f>SUMIF(L1:L12,G2,M1:M12)</f>
        <v>0</v>
      </c>
      <c r="D6" s="2735" t="s">
        <v>2775</v>
      </c>
      <c r="E6" s="2736"/>
      <c r="F6" s="2736"/>
      <c r="G6" s="2737"/>
      <c r="H6" s="2737"/>
      <c r="I6" s="2737"/>
      <c r="J6" s="2738"/>
      <c r="K6" s="1840"/>
      <c r="L6" s="2720" t="s">
        <v>2776</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9"/>
      <c r="AD6" s="2730"/>
      <c r="AE6" s="2730"/>
      <c r="AF6" s="2730"/>
      <c r="AG6" s="2730"/>
      <c r="AH6" s="2730"/>
      <c r="AI6" s="2730"/>
      <c r="AJ6" s="2731"/>
    </row>
    <row r="7" spans="1:36" ht="24">
      <c r="A7" s="3305" t="str">
        <f>IF(E2="商业",IF(C8="不临58条商业街","",2),"")</f>
        <v/>
      </c>
      <c r="B7" s="2739" t="s">
        <v>2777</v>
      </c>
      <c r="C7" s="915" t="e">
        <f>IF(C8="不临58条商业街",1,ROUND(1+(1.6*E8+1.2*E9+0.8*E10+0.4*E11)*C9,4))</f>
        <v>#DIV/0!</v>
      </c>
      <c r="D7" s="2740" t="s">
        <v>2778</v>
      </c>
      <c r="E7" s="944"/>
      <c r="F7" s="2741"/>
      <c r="G7" s="2742"/>
      <c r="H7" s="2742"/>
      <c r="I7" s="2742"/>
      <c r="J7" s="2743"/>
      <c r="K7" s="1840"/>
      <c r="L7" s="2720" t="s">
        <v>2779</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2780</v>
      </c>
      <c r="X7" s="1602">
        <f>G2</f>
        <v>0</v>
      </c>
      <c r="Y7" s="1602" t="s">
        <v>2781</v>
      </c>
      <c r="Z7" s="1603">
        <f>G3</f>
        <v>1.52</v>
      </c>
      <c r="AA7" s="1604"/>
      <c r="AB7" s="1604"/>
      <c r="AC7" s="1605"/>
      <c r="AD7" s="1606"/>
      <c r="AE7" s="1606"/>
      <c r="AF7" s="1606"/>
      <c r="AG7" s="1606"/>
      <c r="AH7" s="1606"/>
      <c r="AI7" s="1606"/>
      <c r="AJ7" s="1607"/>
    </row>
    <row r="8" spans="1:36" ht="15">
      <c r="A8" s="3306"/>
      <c r="B8" s="197" t="s">
        <v>2782</v>
      </c>
      <c r="C8" s="2744"/>
      <c r="D8" s="916" t="s">
        <v>139</v>
      </c>
      <c r="E8" s="917" t="e">
        <f>ROUND(C11/E7,4)</f>
        <v>#DIV/0!</v>
      </c>
      <c r="F8" s="2745" t="s">
        <v>2783</v>
      </c>
      <c r="G8" s="2746"/>
      <c r="H8" s="2746"/>
      <c r="I8" s="2746"/>
      <c r="J8" s="2747"/>
      <c r="K8" s="1369"/>
      <c r="L8" s="2720" t="s">
        <v>2784</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316" t="s">
        <v>2785</v>
      </c>
      <c r="X8" s="3317"/>
      <c r="Y8" s="1608" t="s">
        <v>2786</v>
      </c>
      <c r="Z8" s="1608" t="s">
        <v>2787</v>
      </c>
      <c r="AA8" s="1608" t="s">
        <v>2788</v>
      </c>
      <c r="AB8" s="1608" t="s">
        <v>2789</v>
      </c>
      <c r="AC8" s="1608" t="s">
        <v>2790</v>
      </c>
      <c r="AD8" s="1608" t="s">
        <v>2791</v>
      </c>
      <c r="AE8" s="1608" t="s">
        <v>2792</v>
      </c>
      <c r="AF8" s="1608" t="s">
        <v>2793</v>
      </c>
      <c r="AG8" s="1608" t="s">
        <v>2794</v>
      </c>
      <c r="AH8" s="1608" t="s">
        <v>2795</v>
      </c>
      <c r="AI8" s="1608" t="s">
        <v>2796</v>
      </c>
      <c r="AJ8" s="1608" t="s">
        <v>2797</v>
      </c>
    </row>
    <row r="9" spans="1:36" ht="15">
      <c r="A9" s="3306"/>
      <c r="B9" s="197" t="s">
        <v>2798</v>
      </c>
      <c r="C9" s="918">
        <f>SUMIF(修正!C59:C119,C8,修正!E59:E119)</f>
        <v>0</v>
      </c>
      <c r="D9" s="199" t="s">
        <v>140</v>
      </c>
      <c r="E9" s="199" t="e">
        <f>ROUND(C11/E7,4)</f>
        <v>#DIV/0!</v>
      </c>
      <c r="F9" s="2745" t="s">
        <v>2799</v>
      </c>
      <c r="G9" s="2746"/>
      <c r="H9" s="2746"/>
      <c r="I9" s="2746"/>
      <c r="J9" s="2747"/>
      <c r="K9" s="1369"/>
      <c r="L9" s="2720" t="s">
        <v>2800</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318" t="s">
        <v>2801</v>
      </c>
      <c r="X9" s="1609" t="s">
        <v>2802</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06"/>
      <c r="B10" s="197" t="s">
        <v>2803</v>
      </c>
      <c r="C10" s="199">
        <f>SUMIF(修正!C59:C119,C8,修正!F59:F119)</f>
        <v>0</v>
      </c>
      <c r="D10" s="199" t="s">
        <v>141</v>
      </c>
      <c r="E10" s="199" t="e">
        <f>ROUND(C11/E7,4)</f>
        <v>#DIV/0!</v>
      </c>
      <c r="F10" s="2745" t="s">
        <v>2804</v>
      </c>
      <c r="G10" s="2746"/>
      <c r="H10" s="2746"/>
      <c r="I10" s="2746"/>
      <c r="J10" s="2747"/>
      <c r="K10" s="1369"/>
      <c r="L10" s="2720" t="s">
        <v>2805</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31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06"/>
      <c r="B11" s="2748" t="s">
        <v>2806</v>
      </c>
      <c r="C11" s="919">
        <f>C10/4</f>
        <v>0</v>
      </c>
      <c r="D11" s="919" t="s">
        <v>142</v>
      </c>
      <c r="E11" s="919" t="e">
        <f>ROUND(C11/E7,4)</f>
        <v>#DIV/0!</v>
      </c>
      <c r="F11" s="2749" t="s">
        <v>2807</v>
      </c>
      <c r="G11" s="2750"/>
      <c r="H11" s="2750"/>
      <c r="I11" s="2750"/>
      <c r="J11" s="2751"/>
      <c r="K11" s="1369"/>
      <c r="L11" s="2720" t="s">
        <v>2808</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318" t="s">
        <v>2809</v>
      </c>
      <c r="X11" s="1612" t="s">
        <v>2810</v>
      </c>
      <c r="Y11" s="1613">
        <f>$G$3</f>
        <v>1.52</v>
      </c>
      <c r="Z11" s="1613">
        <f t="shared" ref="Z11:AJ11" si="3">$G$3</f>
        <v>1.52</v>
      </c>
      <c r="AA11" s="1613">
        <f t="shared" si="3"/>
        <v>1.52</v>
      </c>
      <c r="AB11" s="1613">
        <f t="shared" si="3"/>
        <v>1.52</v>
      </c>
      <c r="AC11" s="1613">
        <f t="shared" si="3"/>
        <v>1.52</v>
      </c>
      <c r="AD11" s="1613">
        <f t="shared" si="3"/>
        <v>1.52</v>
      </c>
      <c r="AE11" s="1613">
        <f t="shared" si="3"/>
        <v>1.52</v>
      </c>
      <c r="AF11" s="1613">
        <f t="shared" si="3"/>
        <v>1.52</v>
      </c>
      <c r="AG11" s="1613">
        <f t="shared" si="3"/>
        <v>1.52</v>
      </c>
      <c r="AH11" s="1613">
        <f t="shared" si="3"/>
        <v>1.52</v>
      </c>
      <c r="AI11" s="1613">
        <f t="shared" si="3"/>
        <v>1.52</v>
      </c>
      <c r="AJ11" s="1613">
        <f t="shared" si="3"/>
        <v>1.52</v>
      </c>
    </row>
    <row r="12" spans="1:36" ht="25.5" thickBot="1">
      <c r="A12" s="3305" t="s">
        <v>2811</v>
      </c>
      <c r="B12" s="2752" t="s">
        <v>2812</v>
      </c>
      <c r="C12" s="915">
        <f>ROUND(C15*D15*E15*F15*G15*H15*I15*J15,4)</f>
        <v>1</v>
      </c>
      <c r="D12" s="2753" t="s">
        <v>2813</v>
      </c>
      <c r="E12" s="2754"/>
      <c r="F12" s="2754"/>
      <c r="G12" s="2755"/>
      <c r="H12" s="2755"/>
      <c r="I12" s="2755"/>
      <c r="J12" s="2756"/>
      <c r="K12" s="1369"/>
      <c r="L12" s="2757" t="s">
        <v>2814</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318"/>
      <c r="X12" s="1614" t="s">
        <v>2815</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23"/>
      <c r="B13" s="2758" t="s">
        <v>2816</v>
      </c>
      <c r="C13" s="2759" t="s">
        <v>2817</v>
      </c>
      <c r="D13" s="1806" t="s">
        <v>2818</v>
      </c>
      <c r="E13" s="1806" t="s">
        <v>2819</v>
      </c>
      <c r="F13" s="30" t="s">
        <v>2820</v>
      </c>
      <c r="G13" s="2760" t="s">
        <v>2821</v>
      </c>
      <c r="H13" s="2760" t="s">
        <v>2821</v>
      </c>
      <c r="I13" s="2760" t="s">
        <v>2821</v>
      </c>
      <c r="J13" s="2761" t="s">
        <v>2821</v>
      </c>
      <c r="K13" s="1369"/>
      <c r="L13" s="1369"/>
      <c r="M13" s="1369"/>
      <c r="N13" s="1369"/>
      <c r="O13" s="1369"/>
      <c r="P13" s="1369"/>
      <c r="Q13" s="1369"/>
      <c r="R13" s="1600">
        <v>12</v>
      </c>
      <c r="S13" s="1601"/>
      <c r="T13" s="1600" t="e">
        <f t="shared" si="0"/>
        <v>#DIV/0!</v>
      </c>
      <c r="U13" s="1601"/>
      <c r="V13" s="1600" t="e">
        <f t="shared" si="1"/>
        <v>#DIV/0!</v>
      </c>
      <c r="W13" s="3318"/>
      <c r="X13" s="1614"/>
      <c r="Y13" s="1611">
        <f>(-0.163*(Y12^2)-0.59*Y12+7617)*(10^(-4))/Y11</f>
        <v>0.5011184210526316</v>
      </c>
      <c r="Z13" s="1611">
        <f t="shared" ref="Z13:AJ13" si="5">(-0.163*(Z12^2)-0.59*Z12+7617)*(10^(-4))/Z11</f>
        <v>0.5011184210526316</v>
      </c>
      <c r="AA13" s="1611">
        <f t="shared" si="5"/>
        <v>0.5011184210526316</v>
      </c>
      <c r="AB13" s="1611">
        <f t="shared" si="5"/>
        <v>0.5011184210526316</v>
      </c>
      <c r="AC13" s="1611">
        <f t="shared" si="5"/>
        <v>0.5011184210526316</v>
      </c>
      <c r="AD13" s="1611">
        <f t="shared" si="5"/>
        <v>0.5011184210526316</v>
      </c>
      <c r="AE13" s="1611">
        <f t="shared" si="5"/>
        <v>0.5011184210526316</v>
      </c>
      <c r="AF13" s="1611">
        <f t="shared" si="5"/>
        <v>0.5011184210526316</v>
      </c>
      <c r="AG13" s="1611">
        <f t="shared" si="5"/>
        <v>0.5011184210526316</v>
      </c>
      <c r="AH13" s="1611">
        <f t="shared" si="5"/>
        <v>0.5011184210526316</v>
      </c>
      <c r="AI13" s="1611">
        <f t="shared" si="5"/>
        <v>0.5011184210526316</v>
      </c>
      <c r="AJ13" s="1611">
        <f t="shared" si="5"/>
        <v>0.5011184210526316</v>
      </c>
    </row>
    <row r="14" spans="1:36" ht="15">
      <c r="A14" s="3323"/>
      <c r="B14" s="2762"/>
      <c r="C14" s="2763"/>
      <c r="D14" s="2764"/>
      <c r="E14" s="2764"/>
      <c r="F14" s="2765"/>
      <c r="G14" s="2766" t="s">
        <v>2822</v>
      </c>
      <c r="H14" s="2767"/>
      <c r="I14" s="2768"/>
      <c r="J14" s="2769"/>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24"/>
      <c r="B15" s="2770" t="s">
        <v>2823</v>
      </c>
      <c r="C15" s="228">
        <f>IF(C14="有",1.1,1)</f>
        <v>1</v>
      </c>
      <c r="D15" s="228">
        <f>IF(D14="有",1.1,1)</f>
        <v>1</v>
      </c>
      <c r="E15" s="228">
        <f>IF(E14="有",1.1,1)</f>
        <v>1</v>
      </c>
      <c r="F15" s="228">
        <f>IF(F14="500米范围内",1.2,IF(F14="500-1000米",1.1,1))</f>
        <v>1</v>
      </c>
      <c r="G15" s="945">
        <v>1</v>
      </c>
      <c r="H15" s="945">
        <v>1</v>
      </c>
      <c r="I15" s="945">
        <v>1</v>
      </c>
      <c r="J15" s="946">
        <v>1</v>
      </c>
      <c r="K15" s="1369"/>
      <c r="L15" s="2771" t="s">
        <v>2759</v>
      </c>
      <c r="M15" s="916" t="s">
        <v>2824</v>
      </c>
      <c r="N15" s="916" t="s">
        <v>2825</v>
      </c>
      <c r="O15" s="916" t="s">
        <v>2826</v>
      </c>
      <c r="P15" s="2772" t="s">
        <v>2827</v>
      </c>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305" t="s">
        <v>2828</v>
      </c>
      <c r="B16" s="2739" t="s">
        <v>2829</v>
      </c>
      <c r="C16" s="1799" t="e">
        <f>ROUND(SUM(G17:J17)/C17,0)</f>
        <v>#DIV/0!</v>
      </c>
      <c r="D16" s="2773" t="s">
        <v>2830</v>
      </c>
      <c r="E16" s="2774"/>
      <c r="F16" s="2775"/>
      <c r="G16" s="2776"/>
      <c r="H16" s="2776"/>
      <c r="I16" s="2776"/>
      <c r="J16" s="2777"/>
      <c r="K16" s="1369"/>
      <c r="L16" s="2778" t="s">
        <v>2831</v>
      </c>
      <c r="M16" s="918">
        <v>0.25</v>
      </c>
      <c r="N16" s="918">
        <v>0.2</v>
      </c>
      <c r="O16" s="918">
        <v>0.15</v>
      </c>
      <c r="P16" s="1368">
        <v>0.1</v>
      </c>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06"/>
      <c r="B17" s="2779" t="s">
        <v>2832</v>
      </c>
      <c r="C17" s="920">
        <f>SUMPRODUCT((修正!A2:A5=E2)*(修正!B1:M1=G2)*(修正!B2:M5))</f>
        <v>0</v>
      </c>
      <c r="D17" s="2780" t="s">
        <v>2833</v>
      </c>
      <c r="E17" s="919" t="str">
        <f>IF(OR(G2="八级",G2="九级",G2="十级",G2="十一级",G2="十二级"),"五通一平","七通一平")</f>
        <v>七通一平</v>
      </c>
      <c r="F17" s="920" t="s">
        <v>2834</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1" t="s">
        <v>2835</v>
      </c>
      <c r="M17" s="210">
        <f ca="1">ROUND($E$20*(1+M16),3)</f>
        <v>5.3999999999999999E-2</v>
      </c>
      <c r="N17" s="210">
        <f ca="1">ROUND($E$20*(1+N16),3)</f>
        <v>5.1999999999999998E-2</v>
      </c>
      <c r="O17" s="210">
        <f ca="1">ROUND($E$20*(1+O16),3)</f>
        <v>0.05</v>
      </c>
      <c r="P17" s="1372">
        <f ca="1">ROUND($E$20*(1+P16),3)</f>
        <v>4.8000000000000001E-2</v>
      </c>
      <c r="Q17" s="1369"/>
      <c r="R17" s="1369"/>
      <c r="S17" s="1369"/>
      <c r="T17" s="1369"/>
      <c r="U17" s="1369"/>
      <c r="V17" s="1369"/>
      <c r="W17" s="1369"/>
      <c r="X17" s="1369"/>
      <c r="Y17" s="1369"/>
      <c r="Z17" s="1370"/>
      <c r="AE17" s="2782"/>
      <c r="AF17" s="2782"/>
      <c r="AG17" s="2714"/>
      <c r="AH17" s="2714"/>
      <c r="AI17" s="2714"/>
      <c r="AJ17" s="2714"/>
    </row>
    <row r="18" spans="1:37" s="2732" customFormat="1" ht="15.75" thickBot="1">
      <c r="A18" s="2783" t="s">
        <v>807</v>
      </c>
      <c r="B18" s="2784" t="s">
        <v>2836</v>
      </c>
      <c r="C18" s="922">
        <f>SUMIF(修正!C18:C39,E3,修正!E18:E39)</f>
        <v>0</v>
      </c>
      <c r="D18" s="2785"/>
      <c r="E18" s="2786"/>
      <c r="F18" s="2787"/>
      <c r="G18" s="2788"/>
      <c r="H18" s="2788"/>
      <c r="I18" s="2788"/>
      <c r="J18" s="2789"/>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32" customFormat="1" ht="27.75" thickBot="1">
      <c r="A19" s="2783" t="s">
        <v>808</v>
      </c>
      <c r="B19" s="2784" t="s">
        <v>2837</v>
      </c>
      <c r="C19" s="923" t="e">
        <f>ROUND(IF(H19="按公示增长率计算",SUMPRODUCT((地价!A3:A24=YEAR(G19)&amp;"-"&amp;ROUNDUP(MONTH(G19)/3,0))*(地价!X2:AB2=E2)*(地价!X3:AB24)),IF(H19="地价指数",M20/M19,(1+I19)^O19)),4)</f>
        <v>#DIV/0!</v>
      </c>
      <c r="D19" s="2791" t="s">
        <v>2838</v>
      </c>
      <c r="E19" s="924">
        <v>41640</v>
      </c>
      <c r="F19" s="2791" t="s">
        <v>2839</v>
      </c>
      <c r="G19" s="925">
        <f>'数据-取费表'!B2</f>
        <v>43452</v>
      </c>
      <c r="H19" s="2792" t="s">
        <v>2840</v>
      </c>
      <c r="I19" s="926" t="str">
        <f>IF(H19="季度增幅（自定义）",SUMIF(N21:N24,E2,O21:O24),"")</f>
        <v/>
      </c>
      <c r="J19" s="2789"/>
      <c r="K19" s="1376"/>
      <c r="L19" s="2793" t="s">
        <v>2841</v>
      </c>
      <c r="M19" s="1732">
        <f>ROUND(SUMIF(地价!B2:F2,E2,地价!B24:F24),0)</f>
        <v>0</v>
      </c>
      <c r="N19" s="2794" t="s">
        <v>2842</v>
      </c>
      <c r="O19" s="927">
        <f>ROUNDDOWN(DATEDIF(E19,G19,"M")/3,0)</f>
        <v>19</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32" customFormat="1" ht="27.75" thickBot="1">
      <c r="A20" s="2798" t="s">
        <v>809</v>
      </c>
      <c r="B20" s="2799" t="s">
        <v>2843</v>
      </c>
      <c r="C20" s="928" t="e">
        <f>ROUND(POWER(1+G20,J20-I20)*(POWER(1+G20,I20)-1)/(POWER(1+G20,J20)-1),4)</f>
        <v>#DIV/0!</v>
      </c>
      <c r="D20" s="2800" t="s">
        <v>2844</v>
      </c>
      <c r="E20" s="1766">
        <f ca="1">存贷款利率!D4/100</f>
        <v>4.3499999999999997E-2</v>
      </c>
      <c r="F20" s="2800" t="s">
        <v>2835</v>
      </c>
      <c r="G20" s="933">
        <f>SUMIF(M15:P15,E2,M17:P17)</f>
        <v>0</v>
      </c>
      <c r="H20" s="2800" t="s">
        <v>2845</v>
      </c>
      <c r="I20" s="934" t="e">
        <f>SUMIF('数据-取费表'!C6:C15,E2,'数据-取费表'!F6:F15)/COUNTIF('数据-取费表'!C6:C15,E2)</f>
        <v>#DIV/0!</v>
      </c>
      <c r="J20" s="935">
        <f>IF(E2="住宅",70,IF(E2="商业",40,50))</f>
        <v>50</v>
      </c>
      <c r="K20" s="1376"/>
      <c r="L20" s="2801" t="s">
        <v>2846</v>
      </c>
      <c r="M20" s="1733">
        <f>ROUND(SUMPRODUCT((地价!A4:A24=YEAR(G19)&amp;"-"&amp;ROUNDUP(MONTH(G19)/3,0))*(地价!B2:F2=E2)*(地价!B4:F24)),0)</f>
        <v>0</v>
      </c>
      <c r="N20" s="2802" t="s">
        <v>2847</v>
      </c>
      <c r="O20" s="2803" t="s">
        <v>2848</v>
      </c>
      <c r="P20" s="2804" t="s">
        <v>2849</v>
      </c>
      <c r="R20" s="1375"/>
      <c r="S20" s="1375"/>
      <c r="T20" s="1370"/>
      <c r="U20" s="1370"/>
      <c r="V20" s="1370"/>
      <c r="W20" s="1369"/>
      <c r="X20" s="1369"/>
      <c r="Y20" s="1369"/>
      <c r="Z20" s="1376"/>
      <c r="AA20" s="1377"/>
      <c r="AB20" s="1377"/>
      <c r="AC20" s="1377"/>
      <c r="AD20" s="1377"/>
      <c r="AE20" s="1377"/>
      <c r="AF20" s="1377"/>
    </row>
    <row r="21" spans="1:37" s="2732" customFormat="1" ht="15">
      <c r="A21" s="2805" t="s">
        <v>810</v>
      </c>
      <c r="B21" s="2806" t="s">
        <v>2850</v>
      </c>
      <c r="C21" s="936">
        <f>IF(B21="容积率修正",IF(G3&lt;=10,D22,J22),C23)</f>
        <v>0</v>
      </c>
      <c r="D21" s="2807"/>
      <c r="E21" s="2807"/>
      <c r="F21" s="2807"/>
      <c r="G21" s="2807"/>
      <c r="H21" s="2807"/>
      <c r="I21" s="2807"/>
      <c r="J21" s="2808"/>
      <c r="K21" s="1376"/>
      <c r="N21" s="2809" t="s">
        <v>2851</v>
      </c>
      <c r="O21" s="1560"/>
      <c r="P21" s="1561">
        <f>SUMPRODUCT((地价!A3:A24=YEAR(G19)&amp;"-"&amp;ROUNDUP(MONTH(G19)/3,0))*(地价!AD2:AH2=N21)*(地价!AD3:AH24))</f>
        <v>1.5299999999999999E-2</v>
      </c>
      <c r="R21" s="1375"/>
      <c r="S21" s="1375"/>
      <c r="T21" s="1370"/>
      <c r="U21" s="1370"/>
      <c r="V21" s="1370"/>
      <c r="W21" s="1369"/>
      <c r="X21" s="1369"/>
      <c r="Y21" s="1369"/>
      <c r="Z21" s="1376"/>
      <c r="AA21" s="1377"/>
      <c r="AB21" s="1377"/>
      <c r="AC21" s="1377"/>
      <c r="AD21" s="1377"/>
      <c r="AE21" s="1377"/>
      <c r="AF21" s="1377"/>
    </row>
    <row r="22" spans="1:37" s="2732" customFormat="1" ht="14.25">
      <c r="A22" s="2658" t="s">
        <v>2852</v>
      </c>
      <c r="B22" s="2810" t="s">
        <v>2853</v>
      </c>
      <c r="C22" s="1808" t="s">
        <v>2854</v>
      </c>
      <c r="D22" s="1808">
        <f>IF(E22=G22,F22,IF(G3&lt;=10,ROUND(F22+(H22-F22)*(G3-E22)/(G22-E22),4),"——"))</f>
        <v>0</v>
      </c>
      <c r="E22" s="912">
        <f>ROUNDDOWN(G3,1)</f>
        <v>1.5</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1.6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6"/>
      <c r="N22" s="2809" t="s">
        <v>2855</v>
      </c>
      <c r="O22" s="1560"/>
      <c r="P22" s="1561">
        <f>SUMPRODUCT((地价!A3:A24=YEAR(G19)&amp;"-"&amp;ROUNDUP(MONTH(G19)/3,0))*(地价!AD2:AH2=N22)*(地价!AD3:AH24))</f>
        <v>1.5299999999999999E-2</v>
      </c>
      <c r="R22" s="1375"/>
      <c r="S22" s="1375"/>
      <c r="T22" s="1370"/>
      <c r="U22" s="1370"/>
      <c r="V22" s="1370"/>
      <c r="W22" s="1369"/>
      <c r="X22" s="1369"/>
      <c r="Y22" s="1369"/>
      <c r="Z22" s="1376"/>
      <c r="AA22" s="1377"/>
      <c r="AB22" s="1377"/>
      <c r="AC22" s="1377"/>
      <c r="AD22" s="1377"/>
      <c r="AE22" s="1377"/>
      <c r="AF22" s="1377"/>
    </row>
    <row r="23" spans="1:37" ht="27.75" thickBot="1">
      <c r="A23" s="2658" t="s">
        <v>2856</v>
      </c>
      <c r="B23" s="2811" t="s">
        <v>2857</v>
      </c>
      <c r="C23" s="1012">
        <f>ROUND(IF(G3&gt;1,IF(I3&lt;7,SUMPRODUCT((B93:B98=I3)*(C92:N92=G2)*(C93:N98)),SUMIF(C92:N92,G2,C100:N100)),IF(I3&lt;7,SUMPRODUCT((B102:B107=I3)*(C92:N92=G2)*(C102:N107)),SUMIF(C92:N92,G2,C109:N109))),4)</f>
        <v>0</v>
      </c>
      <c r="D23" s="2767"/>
      <c r="E23" s="2767"/>
      <c r="F23" s="2812"/>
      <c r="G23" s="2813"/>
      <c r="H23" s="2814"/>
      <c r="I23" s="2815"/>
      <c r="J23" s="2816"/>
      <c r="K23" s="1369"/>
      <c r="N23" s="2809" t="s">
        <v>2858</v>
      </c>
      <c r="O23" s="1560"/>
      <c r="P23" s="1561">
        <f>SUMPRODUCT((地价!A3:A24=YEAR(G19)&amp;"-"&amp;ROUNDUP(MONTH(G19)/3,0))*(地价!AD2:AH2=N23)*(地价!AD3:AH24))</f>
        <v>2.41E-2</v>
      </c>
      <c r="R23" s="1375"/>
      <c r="S23" s="1375"/>
      <c r="T23" s="1370"/>
      <c r="U23" s="1370"/>
      <c r="V23" s="1370"/>
      <c r="W23" s="1369"/>
      <c r="X23" s="1369"/>
      <c r="Y23" s="1369"/>
      <c r="Z23" s="1376"/>
      <c r="AA23" s="1377"/>
      <c r="AB23" s="1377"/>
      <c r="AC23" s="1377"/>
      <c r="AD23" s="1377"/>
      <c r="AK23" s="2790"/>
    </row>
    <row r="24" spans="1:37" s="2732" customFormat="1" ht="15.75" thickBot="1">
      <c r="A24" s="2798" t="s">
        <v>811</v>
      </c>
      <c r="B24" s="2784" t="s">
        <v>2859</v>
      </c>
      <c r="C24" s="923">
        <f>SUMIF(A45:A88,E2,B45:B88)</f>
        <v>0</v>
      </c>
      <c r="D24" s="2787"/>
      <c r="E24" s="2817"/>
      <c r="F24" s="2817"/>
      <c r="G24" s="2817"/>
      <c r="H24" s="2817"/>
      <c r="I24" s="2817"/>
      <c r="J24" s="2818"/>
      <c r="K24" s="1376"/>
      <c r="N24" s="2819" t="s">
        <v>2860</v>
      </c>
      <c r="O24" s="1562"/>
      <c r="P24" s="1563">
        <f>SUMPRODUCT((地价!A3:A24=YEAR(G19)&amp;"-"&amp;ROUNDUP(MONTH(G19)/3,0))*(地价!AD2:AH2=N24)*(地价!AD3:AH24))</f>
        <v>1.4200000000000001E-2</v>
      </c>
      <c r="R24" s="1375"/>
      <c r="S24" s="1375"/>
      <c r="T24" s="1370"/>
      <c r="U24" s="1370"/>
      <c r="V24" s="1370"/>
      <c r="W24" s="1369"/>
      <c r="X24" s="1369"/>
      <c r="Y24" s="1369"/>
      <c r="Z24" s="1376"/>
      <c r="AA24" s="1377"/>
      <c r="AB24" s="1377"/>
      <c r="AC24" s="1377"/>
      <c r="AD24" s="1377"/>
      <c r="AE24" s="1377"/>
      <c r="AF24" s="1377"/>
    </row>
    <row r="25" spans="1:37" ht="15.75" thickBot="1">
      <c r="A25" s="2798" t="s">
        <v>812</v>
      </c>
      <c r="B25" s="2820" t="s">
        <v>2861</v>
      </c>
      <c r="C25" s="929"/>
      <c r="D25" s="2742"/>
      <c r="E25" s="2742"/>
      <c r="F25" s="2821"/>
      <c r="G25" s="2742"/>
      <c r="H25" s="2742"/>
      <c r="I25" s="2742"/>
      <c r="J25" s="2743"/>
      <c r="K25" s="1369"/>
      <c r="N25" s="2822" t="s">
        <v>2862</v>
      </c>
      <c r="O25" s="1564"/>
      <c r="P25" s="1563">
        <f>SUMPRODUCT((地价!A3:A24=YEAR(G19)&amp;"-"&amp;ROUNDUP(MONTH(G19)/3,0))*(地价!AD2:AH2=N25)*(地价!AD3:AH24))</f>
        <v>2.1899999999999999E-2</v>
      </c>
      <c r="R25" s="1375"/>
      <c r="S25" s="1375"/>
      <c r="T25" s="1370"/>
      <c r="U25" s="1370"/>
      <c r="V25" s="1370"/>
      <c r="W25" s="1369"/>
      <c r="X25" s="1369"/>
      <c r="Y25" s="1369"/>
      <c r="Z25" s="1376"/>
      <c r="AA25" s="1377"/>
      <c r="AB25" s="1377"/>
      <c r="AC25" s="1377"/>
      <c r="AD25" s="1377"/>
    </row>
    <row r="26" spans="1:37" ht="15">
      <c r="A26" s="2823"/>
      <c r="B26" s="2810" t="s">
        <v>2863</v>
      </c>
      <c r="C26" s="205" t="e">
        <f>E29+SUM(E33:E39)</f>
        <v>#DIV/0!</v>
      </c>
      <c r="D26" s="2824"/>
      <c r="E26" s="2767"/>
      <c r="F26" s="2825"/>
      <c r="G26" s="2767"/>
      <c r="H26" s="2767"/>
      <c r="I26" s="2767"/>
      <c r="J26" s="2826"/>
      <c r="K26" s="1369"/>
      <c r="R26" s="1375"/>
      <c r="S26" s="1375"/>
      <c r="T26" s="1370"/>
      <c r="U26" s="1370"/>
      <c r="V26" s="1370"/>
      <c r="W26" s="1369"/>
      <c r="X26" s="1369"/>
      <c r="Y26" s="1369"/>
      <c r="Z26" s="1376"/>
      <c r="AA26" s="1377"/>
      <c r="AB26" s="1377"/>
      <c r="AC26" s="1377"/>
      <c r="AD26" s="1377"/>
    </row>
    <row r="27" spans="1:37" ht="15.75" thickBot="1">
      <c r="A27" s="2823"/>
      <c r="B27" s="2827" t="s">
        <v>2864</v>
      </c>
      <c r="C27" s="930" t="e">
        <f>E30+SUM(I33:I39)</f>
        <v>#DIV/0!</v>
      </c>
      <c r="D27" s="2828"/>
      <c r="E27" s="2829"/>
      <c r="F27" s="2830"/>
      <c r="G27" s="2829"/>
      <c r="H27" s="2829"/>
      <c r="I27" s="2829"/>
      <c r="J27" s="2831"/>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2"/>
      <c r="B28" s="2833" t="s">
        <v>2865</v>
      </c>
      <c r="C28" s="2834" t="s">
        <v>2866</v>
      </c>
      <c r="D28" s="2834" t="s">
        <v>2867</v>
      </c>
      <c r="E28" s="2835" t="s">
        <v>2868</v>
      </c>
      <c r="F28" s="2836"/>
      <c r="G28" s="2755"/>
      <c r="H28" s="2755"/>
      <c r="I28" s="2755"/>
      <c r="J28" s="2756"/>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7"/>
      <c r="B29" s="2838" t="s">
        <v>2869</v>
      </c>
      <c r="C29" s="205" t="e">
        <f>ROUND(C5*C18*C19*C20*C21*C24,0)</f>
        <v>#DIV/0!</v>
      </c>
      <c r="D29" s="2839"/>
      <c r="E29" s="941" t="e">
        <f>ROUND(C29*D29/10000,0)</f>
        <v>#DIV/0!</v>
      </c>
      <c r="F29" s="2840" t="s">
        <v>2870</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2"/>
      <c r="AF29" s="2782"/>
      <c r="AG29" s="2714"/>
      <c r="AH29" s="2714"/>
      <c r="AI29" s="2714"/>
      <c r="AJ29" s="2714"/>
    </row>
    <row r="30" spans="1:37" ht="25.5" thickBot="1">
      <c r="A30" s="2843"/>
      <c r="B30" s="2844" t="s">
        <v>2871</v>
      </c>
      <c r="C30" s="228" t="e">
        <f>ROUND(IF(E2="工业",C29*M39,C29*M38),0)</f>
        <v>#DIV/0!</v>
      </c>
      <c r="D30" s="2845"/>
      <c r="E30" s="941" t="e">
        <f>ROUND(C30*D30/10000,0)</f>
        <v>#DIV/0!</v>
      </c>
      <c r="F30" s="2846" t="s">
        <v>2872</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2"/>
      <c r="AF30" s="2782"/>
      <c r="AG30" s="2714"/>
      <c r="AH30" s="2714"/>
      <c r="AI30" s="2714"/>
      <c r="AJ30" s="2714"/>
    </row>
    <row r="31" spans="1:37" ht="14.25">
      <c r="A31" s="2849"/>
      <c r="B31" s="2850" t="s">
        <v>2873</v>
      </c>
      <c r="C31" s="2851" t="s">
        <v>2874</v>
      </c>
      <c r="D31" s="2755"/>
      <c r="E31" s="2851"/>
      <c r="F31" s="2851"/>
      <c r="G31" s="2753" t="s">
        <v>2875</v>
      </c>
      <c r="H31" s="2755"/>
      <c r="I31" s="2852"/>
      <c r="J31" s="2756"/>
      <c r="K31" s="1369"/>
      <c r="L31" s="1369"/>
      <c r="M31" s="1369"/>
      <c r="N31" s="1369"/>
      <c r="O31" s="1374"/>
      <c r="P31" s="1374"/>
      <c r="Q31" s="1375"/>
      <c r="R31" s="1375"/>
      <c r="S31" s="1375"/>
      <c r="T31" s="1370"/>
      <c r="U31" s="1370"/>
      <c r="V31" s="1370"/>
      <c r="W31" s="1369"/>
      <c r="X31" s="1369"/>
      <c r="Y31" s="1369"/>
      <c r="Z31" s="1376"/>
      <c r="AA31" s="1377"/>
      <c r="AB31" s="1377"/>
      <c r="AC31" s="1377"/>
      <c r="AD31" s="1377"/>
      <c r="AE31" s="2782"/>
      <c r="AF31" s="2782"/>
      <c r="AG31" s="2714"/>
      <c r="AH31" s="2714"/>
      <c r="AI31" s="2714"/>
      <c r="AJ31" s="2714"/>
    </row>
    <row r="32" spans="1:37" ht="24">
      <c r="A32" s="2837"/>
      <c r="B32" s="2853"/>
      <c r="C32" s="500" t="s">
        <v>2866</v>
      </c>
      <c r="D32" s="497" t="s">
        <v>2867</v>
      </c>
      <c r="E32" s="497" t="s">
        <v>2868</v>
      </c>
      <c r="F32" s="387" t="s">
        <v>2876</v>
      </c>
      <c r="G32" s="2854" t="s">
        <v>2866</v>
      </c>
      <c r="H32" s="2854" t="s">
        <v>2867</v>
      </c>
      <c r="I32" s="2854" t="s">
        <v>2868</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2"/>
      <c r="AF32" s="2782"/>
      <c r="AG32" s="2714"/>
      <c r="AH32" s="2714"/>
      <c r="AI32" s="2714"/>
      <c r="AJ32" s="2714"/>
    </row>
    <row r="33" spans="1:37" ht="36" customHeight="1">
      <c r="A33" s="3313" t="s">
        <v>2877</v>
      </c>
      <c r="B33" s="2855" t="s">
        <v>2878</v>
      </c>
      <c r="C33" s="205" t="e">
        <f>ROUND(D5*C19*C20*C24*F33,0)</f>
        <v>#DIV/0!</v>
      </c>
      <c r="D33" s="2839"/>
      <c r="E33" s="199" t="e">
        <f>ROUND(C33*D33/10000,0)</f>
        <v>#DIV/0!</v>
      </c>
      <c r="F33" s="199">
        <f>SUMIF(修正!A45:A56,G2,修正!B45:B56)</f>
        <v>0</v>
      </c>
      <c r="G33" s="199" t="e">
        <f t="shared" ref="G33" si="6">ROUND(IF(E2="工业",C33*$M$39,C33*$M$38),0)</f>
        <v>#DIV/0!</v>
      </c>
      <c r="H33" s="199">
        <f>D33</f>
        <v>0</v>
      </c>
      <c r="I33" s="199" t="e">
        <f>ROUND(G33*H33/10000,0)</f>
        <v>#DIV/0!</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14"/>
      <c r="B34" s="2759" t="s">
        <v>2879</v>
      </c>
      <c r="C34" s="205" t="e">
        <f>ROUND(D5*C19*C20*C24*F34,0)</f>
        <v>#DIV/0!</v>
      </c>
      <c r="D34" s="283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4"/>
      <c r="B35" s="2759" t="s">
        <v>2880</v>
      </c>
      <c r="C35" s="205" t="e">
        <f>ROUND(D5*C19*C20*C24*F35,0)</f>
        <v>#DIV/0!</v>
      </c>
      <c r="D35" s="2839"/>
      <c r="E35" s="199" t="e">
        <f t="shared" si="7"/>
        <v>#DIV/0!</v>
      </c>
      <c r="F35" s="199">
        <f>SUMIF(修正!A45:A56,G2,修正!D45:D56)</f>
        <v>0</v>
      </c>
      <c r="G35" s="199" t="e">
        <f>ROUND(IF(E2="工业",C35*$M$39,C35*$M$38),0)</f>
        <v>#DIV/0!</v>
      </c>
      <c r="H35" s="199">
        <f t="shared" si="8"/>
        <v>0</v>
      </c>
      <c r="I35" s="199" t="e">
        <f t="shared" si="9"/>
        <v>#DIV/0!</v>
      </c>
      <c r="J35" s="2856"/>
      <c r="K35" s="1369"/>
      <c r="L35" s="1369"/>
      <c r="M35" s="1369"/>
      <c r="N35" s="1369"/>
      <c r="O35" s="1369"/>
      <c r="P35" s="1369"/>
      <c r="Q35" s="1369"/>
      <c r="R35" s="1369"/>
      <c r="S35" s="1369"/>
      <c r="T35" s="1369"/>
      <c r="U35" s="1369"/>
      <c r="V35" s="1369"/>
      <c r="W35" s="1369"/>
      <c r="X35" s="1369"/>
      <c r="Y35" s="1369"/>
      <c r="Z35" s="1370"/>
    </row>
    <row r="36" spans="1:37" ht="13.5" thickBot="1">
      <c r="A36" s="3315"/>
      <c r="B36" s="2759" t="s">
        <v>2881</v>
      </c>
      <c r="C36" s="205" t="e">
        <f>ROUND(D5*C19*C20*C24*F36,0)</f>
        <v>#DIV/0!</v>
      </c>
      <c r="D36" s="2839"/>
      <c r="E36" s="199" t="e">
        <f t="shared" si="7"/>
        <v>#DIV/0!</v>
      </c>
      <c r="F36" s="199">
        <f>SUMIF(修正!A45:A56,G2,修正!E45:E56)</f>
        <v>0</v>
      </c>
      <c r="G36" s="199" t="e">
        <f>ROUND(IF(E2="工业",C36*$M$39,C36*$M$38),0)</f>
        <v>#DIV/0!</v>
      </c>
      <c r="H36" s="199">
        <f t="shared" si="8"/>
        <v>0</v>
      </c>
      <c r="I36" s="199" t="e">
        <f t="shared" si="9"/>
        <v>#DIV/0!</v>
      </c>
      <c r="J36" s="2856"/>
      <c r="K36" s="1369"/>
      <c r="L36" s="2713"/>
      <c r="M36" s="2713"/>
      <c r="N36" s="1369"/>
      <c r="O36" s="1369"/>
      <c r="P36" s="1369"/>
      <c r="Q36" s="1369"/>
      <c r="R36" s="1369"/>
      <c r="S36" s="1369"/>
      <c r="T36" s="1369"/>
      <c r="U36" s="1369"/>
      <c r="V36" s="1369"/>
      <c r="W36" s="1369"/>
      <c r="X36" s="1369"/>
      <c r="Y36" s="1369"/>
      <c r="Z36" s="1370"/>
    </row>
    <row r="37" spans="1:37">
      <c r="A37" s="2857"/>
      <c r="B37" s="2759" t="s">
        <v>2882</v>
      </c>
      <c r="C37" s="199" t="e">
        <f>ROUND(C5*C19*C20*C24*F37,0)</f>
        <v>#DIV/0!</v>
      </c>
      <c r="D37" s="2839"/>
      <c r="E37" s="199" t="e">
        <f t="shared" si="7"/>
        <v>#DIV/0!</v>
      </c>
      <c r="F37" s="205">
        <f>SUMIF(修正!A45:A56,G2,修正!F45:F56)</f>
        <v>0</v>
      </c>
      <c r="G37" s="199" t="e">
        <f>ROUND(IF(E2="工业",C37*$M$39,C37*$M$38),0)</f>
        <v>#DIV/0!</v>
      </c>
      <c r="H37" s="199">
        <f t="shared" si="8"/>
        <v>0</v>
      </c>
      <c r="I37" s="199" t="e">
        <f t="shared" si="9"/>
        <v>#DIV/0!</v>
      </c>
      <c r="J37" s="2856"/>
      <c r="K37" s="1369"/>
      <c r="L37" s="2858" t="s">
        <v>2883</v>
      </c>
      <c r="M37" s="2859"/>
      <c r="N37" s="1369"/>
      <c r="O37" s="1369"/>
      <c r="P37" s="1369"/>
      <c r="Q37" s="1369"/>
      <c r="R37" s="1369"/>
      <c r="S37" s="1369"/>
      <c r="T37" s="1369"/>
      <c r="U37" s="1369"/>
      <c r="V37" s="1369"/>
      <c r="W37" s="1369"/>
      <c r="X37" s="1369"/>
      <c r="Y37" s="1369"/>
      <c r="Z37" s="1370"/>
    </row>
    <row r="38" spans="1:37">
      <c r="A38" s="2857"/>
      <c r="B38" s="2759" t="s">
        <v>2884</v>
      </c>
      <c r="C38" s="199" t="e">
        <f>ROUND(C5*C19*C20*C24*F38,0)</f>
        <v>#DIV/0!</v>
      </c>
      <c r="D38" s="2839"/>
      <c r="E38" s="199" t="e">
        <f t="shared" si="7"/>
        <v>#DIV/0!</v>
      </c>
      <c r="F38" s="205">
        <f>SUMIF(修正!A45:A56,G2,修正!G45:G56)</f>
        <v>0</v>
      </c>
      <c r="G38" s="199" t="e">
        <f>ROUND(IF(E2="工业",C38*$M$39,C38*$M$38),0)</f>
        <v>#DIV/0!</v>
      </c>
      <c r="H38" s="199">
        <f t="shared" si="8"/>
        <v>0</v>
      </c>
      <c r="I38" s="199" t="e">
        <f t="shared" si="9"/>
        <v>#DIV/0!</v>
      </c>
      <c r="J38" s="2856"/>
      <c r="K38" s="1369"/>
      <c r="L38" s="1885" t="s">
        <v>2885</v>
      </c>
      <c r="M38" s="2860">
        <v>0.25</v>
      </c>
      <c r="N38" s="1369"/>
      <c r="O38" s="1369"/>
      <c r="P38" s="1369"/>
      <c r="Q38" s="1369"/>
      <c r="R38" s="1369"/>
      <c r="S38" s="1369"/>
      <c r="T38" s="1369"/>
      <c r="U38" s="1369"/>
      <c r="V38" s="1369"/>
      <c r="W38" s="1369"/>
      <c r="X38" s="1369"/>
      <c r="Y38" s="1369"/>
      <c r="Z38" s="1370"/>
    </row>
    <row r="39" spans="1:37" ht="13.5" thickBot="1">
      <c r="A39" s="2843"/>
      <c r="B39" s="2861" t="s">
        <v>2886</v>
      </c>
      <c r="C39" s="228" t="e">
        <f>ROUND(C5*C19*C20*C24*F39,0)</f>
        <v>#DIV/0!</v>
      </c>
      <c r="D39" s="2845"/>
      <c r="E39" s="228" t="e">
        <f t="shared" si="7"/>
        <v>#DIV/0!</v>
      </c>
      <c r="F39" s="931">
        <f>SUMIF(修正!A45:A56,G2,修正!H45:H56)</f>
        <v>0</v>
      </c>
      <c r="G39" s="228" t="e">
        <f>ROUND(IF(E2="工业",C39*$M$39,C39*$M$38),0)</f>
        <v>#DIV/0!</v>
      </c>
      <c r="H39" s="228">
        <f t="shared" si="8"/>
        <v>0</v>
      </c>
      <c r="I39" s="228" t="e">
        <f t="shared" si="9"/>
        <v>#DIV/0!</v>
      </c>
      <c r="J39" s="2862"/>
      <c r="K39" s="1369"/>
      <c r="L39" s="2863" t="s">
        <v>2827</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5"/>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2887</v>
      </c>
      <c r="B45" s="2867"/>
      <c r="C45" s="7"/>
      <c r="D45" s="7"/>
      <c r="E45" s="7"/>
      <c r="F45" s="6"/>
      <c r="G45" s="6"/>
      <c r="H45" s="6"/>
      <c r="I45" s="7"/>
      <c r="J45" s="7"/>
      <c r="K45" s="7"/>
      <c r="L45" s="7"/>
      <c r="M45" s="7"/>
      <c r="N45" s="2782"/>
      <c r="Z45" s="1370"/>
      <c r="AA45" s="1370"/>
      <c r="AB45" s="1370"/>
      <c r="AC45" s="1370"/>
      <c r="AD45" s="1370"/>
      <c r="AE45" s="1370"/>
      <c r="AF45" s="1370"/>
      <c r="AG45" s="1370"/>
      <c r="AH45" s="1370"/>
      <c r="AI45" s="1370"/>
      <c r="AJ45" s="1370"/>
    </row>
    <row r="46" spans="1:37" s="1369" customFormat="1" ht="15">
      <c r="A46" s="2868" t="s">
        <v>2888</v>
      </c>
      <c r="B46" s="2869">
        <f>1+E48</f>
        <v>1</v>
      </c>
      <c r="C46" s="2870"/>
      <c r="D46" s="810"/>
      <c r="E46" s="811"/>
      <c r="F46" s="2871"/>
      <c r="G46" s="6"/>
      <c r="H46" s="7"/>
      <c r="I46" s="7"/>
      <c r="J46" s="7"/>
      <c r="K46" s="7"/>
      <c r="L46" s="7"/>
      <c r="M46" s="7"/>
      <c r="N46" s="2782"/>
      <c r="Z46" s="1370"/>
      <c r="AA46" s="1370"/>
      <c r="AB46" s="1370"/>
      <c r="AC46" s="1370"/>
      <c r="AD46" s="1370"/>
      <c r="AE46" s="1370"/>
      <c r="AF46" s="1370"/>
      <c r="AG46" s="1370"/>
      <c r="AH46" s="1370"/>
      <c r="AI46" s="1370"/>
      <c r="AJ46" s="1370"/>
    </row>
    <row r="47" spans="1:37" s="1369" customFormat="1" ht="24.75">
      <c r="A47" s="2872" t="s">
        <v>2889</v>
      </c>
      <c r="B47" s="1807" t="s">
        <v>2890</v>
      </c>
      <c r="C47" s="1807" t="s">
        <v>2891</v>
      </c>
      <c r="D47" s="1807" t="s">
        <v>2892</v>
      </c>
      <c r="E47" s="815" t="s">
        <v>2893</v>
      </c>
      <c r="F47" s="2873" t="s">
        <v>2894</v>
      </c>
      <c r="G47" s="1807" t="s">
        <v>754</v>
      </c>
      <c r="H47" s="2874" t="s">
        <v>2895</v>
      </c>
      <c r="I47" s="1807" t="s">
        <v>2896</v>
      </c>
      <c r="J47" s="602" t="s">
        <v>2544</v>
      </c>
      <c r="K47" s="602" t="s">
        <v>2545</v>
      </c>
      <c r="L47" s="602" t="s">
        <v>2546</v>
      </c>
      <c r="M47" s="602" t="s">
        <v>2547</v>
      </c>
      <c r="N47" s="602" t="s">
        <v>2548</v>
      </c>
      <c r="AA47" s="1370"/>
      <c r="AB47" s="1370"/>
      <c r="AC47" s="1370"/>
      <c r="AD47" s="1370"/>
      <c r="AE47" s="1370"/>
      <c r="AF47" s="1370"/>
      <c r="AG47" s="1370"/>
      <c r="AH47" s="1370"/>
      <c r="AI47" s="1370"/>
      <c r="AJ47" s="1370"/>
      <c r="AK47" s="1370"/>
    </row>
    <row r="48" spans="1:37" s="1369" customFormat="1" ht="24.75">
      <c r="A48" s="2872" t="s">
        <v>2897</v>
      </c>
      <c r="B48" s="2875" t="str">
        <f>估价对象房地状况!C4</f>
        <v>——</v>
      </c>
      <c r="C48" s="2764"/>
      <c r="D48" s="1285">
        <f t="shared" ref="D48:D56" si="10">SUMIF($J$47:$N$47,C48,J48:N48)</f>
        <v>0</v>
      </c>
      <c r="E48" s="817">
        <f>ROUND(SUM(D48:D56),4)</f>
        <v>0</v>
      </c>
      <c r="F48" s="2496"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76.5">
      <c r="A49" s="2872" t="s">
        <v>2898</v>
      </c>
      <c r="B49" s="2876" t="str">
        <f>估价对象房地状况!C18</f>
        <v>估价对象周边道路状况一般、公共交通通达情况一般、停车便捷程度较好，周边有143、300路等公交线路，综合评价交通便捷度一般</v>
      </c>
      <c r="C49" s="2764"/>
      <c r="D49" s="1285">
        <f t="shared" si="10"/>
        <v>0</v>
      </c>
      <c r="E49" s="818"/>
      <c r="F49" s="2496"/>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2" t="s">
        <v>2899</v>
      </c>
      <c r="B50" s="2876" t="str">
        <f>估价对象房地状况!C19</f>
        <v>较一致</v>
      </c>
      <c r="C50" s="2764"/>
      <c r="D50" s="1285">
        <f t="shared" si="10"/>
        <v>0</v>
      </c>
      <c r="E50" s="818"/>
      <c r="F50" s="2496"/>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2" t="s">
        <v>2900</v>
      </c>
      <c r="B51" s="2877" t="s">
        <v>2901</v>
      </c>
      <c r="C51" s="2764"/>
      <c r="D51" s="1285">
        <f t="shared" si="10"/>
        <v>0</v>
      </c>
      <c r="E51" s="818"/>
      <c r="F51" s="2496"/>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2" t="s">
        <v>2902</v>
      </c>
      <c r="B52" s="2876" t="str">
        <f>估价对象房地状况!C24</f>
        <v>城市主干道-合淮路</v>
      </c>
      <c r="C52" s="2764"/>
      <c r="D52" s="1285">
        <f t="shared" si="10"/>
        <v>0</v>
      </c>
      <c r="E52" s="818"/>
      <c r="F52" s="2496"/>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2" t="s">
        <v>2903</v>
      </c>
      <c r="B53" s="2878" t="s">
        <v>2904</v>
      </c>
      <c r="C53" s="2764"/>
      <c r="D53" s="1285">
        <f t="shared" si="10"/>
        <v>0</v>
      </c>
      <c r="E53" s="818"/>
      <c r="F53" s="2496"/>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9" t="s">
        <v>2905</v>
      </c>
      <c r="B54" s="1723" t="str">
        <f>估价对象房地状况!C21</f>
        <v>估价对象所在区域公共配套设施齐备情况一般</v>
      </c>
      <c r="C54" s="2764"/>
      <c r="D54" s="1285">
        <f t="shared" si="10"/>
        <v>0</v>
      </c>
      <c r="E54" s="818"/>
      <c r="F54" s="2496"/>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9" t="s">
        <v>2906</v>
      </c>
      <c r="B55" s="2876" t="str">
        <f>估价对象房地状况!C22</f>
        <v>估价对象所在区域基础设施水平较好</v>
      </c>
      <c r="C55" s="2764"/>
      <c r="D55" s="1285">
        <f t="shared" si="10"/>
        <v>0</v>
      </c>
      <c r="E55" s="818"/>
      <c r="F55" s="2496"/>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64.5" thickBot="1">
      <c r="A56" s="2880" t="s">
        <v>2907</v>
      </c>
      <c r="B56" s="2881" t="str">
        <f>估价对象房地状况!C20</f>
        <v>区域自然环境及人文环境好；周边有合肥半岛花博园、大房郢水库、合肥经济技术职业学院等，综合评价环境状况好</v>
      </c>
      <c r="C56" s="2764"/>
      <c r="D56" s="1285">
        <f t="shared" si="10"/>
        <v>0</v>
      </c>
      <c r="E56" s="821"/>
      <c r="F56" s="2496"/>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8" t="s">
        <v>2908</v>
      </c>
      <c r="B57" s="2869">
        <f>1+E59</f>
        <v>1</v>
      </c>
      <c r="C57" s="810"/>
      <c r="D57" s="810"/>
      <c r="E57" s="811"/>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2889</v>
      </c>
      <c r="B58" s="1807"/>
      <c r="C58" s="1807" t="s">
        <v>2891</v>
      </c>
      <c r="D58" s="1807" t="s">
        <v>2892</v>
      </c>
      <c r="E58" s="815" t="s">
        <v>2893</v>
      </c>
      <c r="F58" s="2873" t="s">
        <v>2909</v>
      </c>
      <c r="G58" s="1807" t="s">
        <v>754</v>
      </c>
      <c r="H58" s="2874" t="s">
        <v>2895</v>
      </c>
      <c r="I58" s="1807" t="s">
        <v>2896</v>
      </c>
      <c r="J58" s="602" t="s">
        <v>2544</v>
      </c>
      <c r="K58" s="602" t="s">
        <v>2545</v>
      </c>
      <c r="L58" s="602" t="s">
        <v>2546</v>
      </c>
      <c r="M58" s="602" t="s">
        <v>2547</v>
      </c>
      <c r="N58" s="602" t="s">
        <v>2548</v>
      </c>
      <c r="AA58" s="1370"/>
      <c r="AB58" s="1370"/>
      <c r="AC58" s="1370"/>
      <c r="AD58" s="1370"/>
      <c r="AE58" s="1370"/>
      <c r="AF58" s="1370"/>
      <c r="AG58" s="1370"/>
      <c r="AH58" s="1370"/>
      <c r="AI58" s="1370"/>
      <c r="AJ58" s="1370"/>
      <c r="AK58" s="1370"/>
    </row>
    <row r="59" spans="1:37" s="1369" customFormat="1" ht="24">
      <c r="A59" s="2872" t="s">
        <v>2910</v>
      </c>
      <c r="B59" s="2875" t="str">
        <f>估价对象房地状况!C17</f>
        <v>——</v>
      </c>
      <c r="C59" s="2764"/>
      <c r="D59" s="1285">
        <f t="shared" ref="D59:D67" si="15">SUMIF($J$58:$N$58,C59,J59:N59)</f>
        <v>0</v>
      </c>
      <c r="E59" s="817">
        <f>ROUND(SUM(D59:D67),4)</f>
        <v>0</v>
      </c>
      <c r="F59" s="2496"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76.5">
      <c r="A60" s="2872" t="s">
        <v>2898</v>
      </c>
      <c r="B60" s="2876" t="str">
        <f>估价对象房地状况!C18</f>
        <v>估价对象周边道路状况一般、公共交通通达情况一般、停车便捷程度较好，周边有143、300路等公交线路，综合评价交通便捷度一般</v>
      </c>
      <c r="C60" s="2764"/>
      <c r="D60" s="1285">
        <f t="shared" si="15"/>
        <v>0</v>
      </c>
      <c r="E60" s="818"/>
      <c r="F60" s="2496"/>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2" t="s">
        <v>2899</v>
      </c>
      <c r="B61" s="2876" t="str">
        <f>估价对象房地状况!C19</f>
        <v>较一致</v>
      </c>
      <c r="C61" s="2764"/>
      <c r="D61" s="1285">
        <f t="shared" si="15"/>
        <v>0</v>
      </c>
      <c r="E61" s="818"/>
      <c r="F61" s="2496"/>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2" t="s">
        <v>2900</v>
      </c>
      <c r="B62" s="2877" t="s">
        <v>2901</v>
      </c>
      <c r="C62" s="2764"/>
      <c r="D62" s="1285">
        <f t="shared" si="15"/>
        <v>0</v>
      </c>
      <c r="E62" s="818"/>
      <c r="F62" s="2496"/>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2" t="s">
        <v>2902</v>
      </c>
      <c r="B63" s="2876" t="str">
        <f>估价对象房地状况!C24</f>
        <v>城市主干道-合淮路</v>
      </c>
      <c r="C63" s="2764"/>
      <c r="D63" s="1285">
        <f t="shared" si="15"/>
        <v>0</v>
      </c>
      <c r="E63" s="818"/>
      <c r="F63" s="2496"/>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2" t="s">
        <v>2903</v>
      </c>
      <c r="B64" s="2878" t="s">
        <v>2904</v>
      </c>
      <c r="C64" s="2764"/>
      <c r="D64" s="1285">
        <f t="shared" si="15"/>
        <v>0</v>
      </c>
      <c r="E64" s="818"/>
      <c r="F64" s="2496"/>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2" t="s">
        <v>2905</v>
      </c>
      <c r="B65" s="1723" t="str">
        <f>估价对象房地状况!C21</f>
        <v>估价对象所在区域公共配套设施齐备情况一般</v>
      </c>
      <c r="C65" s="2764"/>
      <c r="D65" s="1285">
        <f t="shared" si="15"/>
        <v>0</v>
      </c>
      <c r="E65" s="818"/>
      <c r="F65" s="2496"/>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2" t="s">
        <v>2906</v>
      </c>
      <c r="B66" s="1723" t="str">
        <f>估价对象房地状况!C22</f>
        <v>估价对象所在区域基础设施水平较好</v>
      </c>
      <c r="C66" s="2764"/>
      <c r="D66" s="1285">
        <f t="shared" si="15"/>
        <v>0</v>
      </c>
      <c r="E66" s="818"/>
      <c r="F66" s="2496"/>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64.5" thickBot="1">
      <c r="A67" s="2880" t="s">
        <v>2907</v>
      </c>
      <c r="B67" s="2882" t="str">
        <f>估价对象房地状况!C20</f>
        <v>区域自然环境及人文环境好；周边有合肥半岛花博园、大房郢水库、合肥经济技术职业学院等，综合评价环境状况好</v>
      </c>
      <c r="C67" s="2764"/>
      <c r="D67" s="1285">
        <f t="shared" si="15"/>
        <v>0</v>
      </c>
      <c r="E67" s="821"/>
      <c r="F67" s="2496"/>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8" t="s">
        <v>2911</v>
      </c>
      <c r="B68" s="2869">
        <f>1+E70</f>
        <v>1</v>
      </c>
      <c r="C68" s="810"/>
      <c r="D68" s="810"/>
      <c r="E68" s="811"/>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2889</v>
      </c>
      <c r="B69" s="1807"/>
      <c r="C69" s="1807" t="s">
        <v>2891</v>
      </c>
      <c r="D69" s="1807" t="s">
        <v>2892</v>
      </c>
      <c r="E69" s="815" t="s">
        <v>2893</v>
      </c>
      <c r="F69" s="2873" t="s">
        <v>2909</v>
      </c>
      <c r="G69" s="1807" t="s">
        <v>754</v>
      </c>
      <c r="H69" s="2874" t="s">
        <v>2895</v>
      </c>
      <c r="I69" s="1807" t="s">
        <v>2896</v>
      </c>
      <c r="J69" s="602" t="s">
        <v>2544</v>
      </c>
      <c r="K69" s="602" t="s">
        <v>2545</v>
      </c>
      <c r="L69" s="602" t="s">
        <v>2546</v>
      </c>
      <c r="M69" s="602" t="s">
        <v>2547</v>
      </c>
      <c r="N69" s="602" t="s">
        <v>2548</v>
      </c>
      <c r="AA69" s="1370"/>
      <c r="AB69" s="1370"/>
      <c r="AC69" s="1370"/>
      <c r="AD69" s="1370"/>
      <c r="AE69" s="1370"/>
      <c r="AF69" s="1370"/>
      <c r="AG69" s="1370"/>
      <c r="AH69" s="1370"/>
      <c r="AI69" s="1370"/>
      <c r="AJ69" s="1370"/>
      <c r="AK69" s="1370"/>
    </row>
    <row r="70" spans="1:37" s="1369" customFormat="1" ht="76.5">
      <c r="A70" s="2872" t="s">
        <v>2912</v>
      </c>
      <c r="B70" s="2875" t="str">
        <f>估价对象房地状况!C15</f>
        <v>估价对象周边居住用地比例较好、居住小区规模和社区发展完善程度较好，周边有碧桂园时代倾城、江山庐州印等，综合评价居住社区成熟度较好</v>
      </c>
      <c r="C70" s="2764"/>
      <c r="D70" s="1285">
        <f t="shared" ref="D70:D78" si="20">SUMIF($J$69:$N$69,C70,J70:N70)</f>
        <v>0</v>
      </c>
      <c r="E70" s="817">
        <f>ROUND(SUM(D70:D78),4)</f>
        <v>0</v>
      </c>
      <c r="F70" s="2496"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76.5">
      <c r="A71" s="2872" t="s">
        <v>2898</v>
      </c>
      <c r="B71" s="2876" t="str">
        <f>估价对象房地状况!C18</f>
        <v>估价对象周边道路状况一般、公共交通通达情况一般、停车便捷程度较好，周边有143、300路等公交线路，综合评价交通便捷度一般</v>
      </c>
      <c r="C71" s="2764"/>
      <c r="D71" s="1285">
        <f t="shared" si="20"/>
        <v>0</v>
      </c>
      <c r="E71" s="822"/>
      <c r="F71" s="2496"/>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2899</v>
      </c>
      <c r="B72" s="2876" t="str">
        <f>估价对象房地状况!C19</f>
        <v>较一致</v>
      </c>
      <c r="C72" s="2764"/>
      <c r="D72" s="1285">
        <f t="shared" si="20"/>
        <v>0</v>
      </c>
      <c r="E72" s="822"/>
      <c r="F72" s="2496"/>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2" t="s">
        <v>2913</v>
      </c>
      <c r="B73" s="2876" t="str">
        <f>估价对象房地状况!C24</f>
        <v>城市主干道-合淮路</v>
      </c>
      <c r="C73" s="2764"/>
      <c r="D73" s="1285">
        <f t="shared" si="20"/>
        <v>0</v>
      </c>
      <c r="E73" s="822"/>
      <c r="F73" s="2496"/>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2" t="s">
        <v>2905</v>
      </c>
      <c r="B74" s="1723" t="str">
        <f>估价对象房地状况!C21</f>
        <v>估价对象所在区域公共配套设施齐备情况一般</v>
      </c>
      <c r="C74" s="2764"/>
      <c r="D74" s="1285">
        <f t="shared" si="20"/>
        <v>0</v>
      </c>
      <c r="E74" s="822"/>
      <c r="F74" s="2496"/>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2" t="s">
        <v>2906</v>
      </c>
      <c r="B75" s="1723" t="str">
        <f>估价对象房地状况!C22</f>
        <v>估价对象所在区域基础设施水平较好</v>
      </c>
      <c r="C75" s="2764"/>
      <c r="D75" s="1285">
        <f t="shared" si="20"/>
        <v>0</v>
      </c>
      <c r="E75" s="822"/>
      <c r="F75" s="2496"/>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3" customFormat="1" ht="24">
      <c r="A76" s="2872" t="s">
        <v>2903</v>
      </c>
      <c r="B76" s="2878" t="s">
        <v>2904</v>
      </c>
      <c r="C76" s="2764"/>
      <c r="D76" s="1285">
        <f t="shared" si="20"/>
        <v>0</v>
      </c>
      <c r="E76" s="822"/>
      <c r="F76" s="2496"/>
      <c r="G76" s="1283"/>
      <c r="H76" s="1287" t="str">
        <f t="shared" si="21"/>
        <v>——</v>
      </c>
      <c r="I76" s="816">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63.75">
      <c r="A77" s="2872" t="s">
        <v>2907</v>
      </c>
      <c r="B77" s="2875" t="str">
        <f>估价对象房地状况!C20</f>
        <v>区域自然环境及人文环境好；周边有合肥半岛花博园、大房郢水库、合肥经济技术职业学院等，综合评价环境状况好</v>
      </c>
      <c r="C77" s="2764"/>
      <c r="D77" s="1285">
        <f t="shared" si="20"/>
        <v>0</v>
      </c>
      <c r="E77" s="822"/>
      <c r="F77" s="2496"/>
      <c r="G77" s="1283"/>
      <c r="H77" s="1287" t="str">
        <f t="shared" si="21"/>
        <v>——</v>
      </c>
      <c r="I77" s="816">
        <v>0.15</v>
      </c>
      <c r="J77" s="1284">
        <f t="shared" si="22"/>
        <v>0</v>
      </c>
      <c r="K77" s="1284">
        <f t="shared" si="23"/>
        <v>0</v>
      </c>
      <c r="L77" s="1284">
        <v>0</v>
      </c>
      <c r="M77" s="1284">
        <f t="shared" si="24"/>
        <v>0</v>
      </c>
      <c r="N77" s="1284">
        <f t="shared" si="24"/>
        <v>0</v>
      </c>
      <c r="Z77" s="2714"/>
      <c r="AA77" s="2790"/>
      <c r="AG77" s="1371"/>
      <c r="AK77" s="2790"/>
    </row>
    <row r="78" spans="1:37" ht="24.75" thickBot="1">
      <c r="A78" s="2880" t="s">
        <v>2914</v>
      </c>
      <c r="B78" s="2884"/>
      <c r="C78" s="2764"/>
      <c r="D78" s="1285">
        <f t="shared" si="20"/>
        <v>0</v>
      </c>
      <c r="E78" s="823"/>
      <c r="F78" s="2496"/>
      <c r="G78" s="1283"/>
      <c r="H78" s="1287" t="str">
        <f t="shared" si="21"/>
        <v>——</v>
      </c>
      <c r="I78" s="820">
        <v>0.04</v>
      </c>
      <c r="J78" s="1284">
        <f t="shared" si="22"/>
        <v>0</v>
      </c>
      <c r="K78" s="1284">
        <f t="shared" si="23"/>
        <v>0</v>
      </c>
      <c r="L78" s="1284">
        <v>0</v>
      </c>
      <c r="M78" s="1284">
        <f t="shared" si="24"/>
        <v>0</v>
      </c>
      <c r="N78" s="1284">
        <f t="shared" si="24"/>
        <v>0</v>
      </c>
      <c r="Z78" s="2714"/>
      <c r="AA78" s="2790"/>
      <c r="AG78" s="1371"/>
      <c r="AK78" s="2790"/>
    </row>
    <row r="79" spans="1:37" ht="15">
      <c r="A79" s="2868" t="s">
        <v>2915</v>
      </c>
      <c r="B79" s="2869">
        <f>1+E81</f>
        <v>1</v>
      </c>
      <c r="C79" s="810"/>
      <c r="D79" s="810"/>
      <c r="E79" s="811"/>
      <c r="F79" s="2871"/>
      <c r="G79" s="6"/>
      <c r="H79" s="6"/>
      <c r="I79" s="6"/>
      <c r="J79" s="7"/>
      <c r="K79" s="7"/>
      <c r="L79" s="7"/>
      <c r="M79" s="7"/>
      <c r="N79" s="7"/>
      <c r="Z79" s="2714"/>
      <c r="AA79" s="2790"/>
      <c r="AG79" s="1371"/>
      <c r="AK79" s="2790"/>
    </row>
    <row r="80" spans="1:37" ht="24.75">
      <c r="A80" s="2872" t="s">
        <v>2889</v>
      </c>
      <c r="B80" s="1807"/>
      <c r="C80" s="1807" t="s">
        <v>2891</v>
      </c>
      <c r="D80" s="1807" t="s">
        <v>2892</v>
      </c>
      <c r="E80" s="815" t="s">
        <v>2893</v>
      </c>
      <c r="F80" s="2873" t="s">
        <v>2909</v>
      </c>
      <c r="G80" s="1807" t="s">
        <v>754</v>
      </c>
      <c r="H80" s="2874" t="s">
        <v>2895</v>
      </c>
      <c r="I80" s="1807" t="s">
        <v>2896</v>
      </c>
      <c r="J80" s="602" t="s">
        <v>2544</v>
      </c>
      <c r="K80" s="602" t="s">
        <v>2545</v>
      </c>
      <c r="L80" s="602" t="s">
        <v>2546</v>
      </c>
      <c r="M80" s="602" t="s">
        <v>2547</v>
      </c>
      <c r="N80" s="602" t="s">
        <v>2548</v>
      </c>
      <c r="Z80" s="2714"/>
      <c r="AA80" s="2790"/>
      <c r="AG80" s="1371"/>
      <c r="AK80" s="2790"/>
    </row>
    <row r="81" spans="1:37" ht="24">
      <c r="A81" s="2872" t="s">
        <v>2916</v>
      </c>
      <c r="B81" s="2876">
        <f>估价对象房地状况!G15</f>
        <v>0</v>
      </c>
      <c r="C81" s="2764"/>
      <c r="D81" s="1285">
        <f t="shared" ref="D81:D88" si="25">SUMIF($J$80:$N$80,C81,J81:N81)</f>
        <v>0</v>
      </c>
      <c r="E81" s="817">
        <f>ROUND(SUM(D81:D88),4)</f>
        <v>0</v>
      </c>
      <c r="F81" s="2496"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4"/>
      <c r="AA81" s="2790"/>
      <c r="AG81" s="1371"/>
      <c r="AK81" s="2790"/>
    </row>
    <row r="82" spans="1:37" ht="14.25">
      <c r="A82" s="2872" t="s">
        <v>2898</v>
      </c>
      <c r="B82" s="2876">
        <f>估价对象房地状况!G16</f>
        <v>0</v>
      </c>
      <c r="C82" s="2764"/>
      <c r="D82" s="1285">
        <f t="shared" si="25"/>
        <v>0</v>
      </c>
      <c r="E82" s="822"/>
      <c r="F82" s="2496"/>
      <c r="G82" s="1283"/>
      <c r="H82" s="1287" t="str">
        <f t="shared" si="26"/>
        <v>——</v>
      </c>
      <c r="I82" s="816">
        <v>0.33</v>
      </c>
      <c r="J82" s="1284">
        <f t="shared" si="27"/>
        <v>0</v>
      </c>
      <c r="K82" s="1284">
        <f t="shared" si="28"/>
        <v>0</v>
      </c>
      <c r="L82" s="1284">
        <v>0</v>
      </c>
      <c r="M82" s="1284">
        <f t="shared" si="29"/>
        <v>0</v>
      </c>
      <c r="N82" s="1284">
        <f t="shared" si="29"/>
        <v>0</v>
      </c>
      <c r="Z82" s="2714"/>
      <c r="AA82" s="2790"/>
      <c r="AG82" s="1371"/>
      <c r="AK82" s="2790"/>
    </row>
    <row r="83" spans="1:37" ht="24">
      <c r="A83" s="2872" t="s">
        <v>2899</v>
      </c>
      <c r="B83" s="2876">
        <f>估价对象房地状况!G17</f>
        <v>0</v>
      </c>
      <c r="C83" s="2764"/>
      <c r="D83" s="1285">
        <f t="shared" si="25"/>
        <v>0</v>
      </c>
      <c r="E83" s="822"/>
      <c r="F83" s="2496"/>
      <c r="G83" s="1283"/>
      <c r="H83" s="1287" t="str">
        <f t="shared" si="26"/>
        <v>——</v>
      </c>
      <c r="I83" s="816">
        <v>0.05</v>
      </c>
      <c r="J83" s="1284">
        <f t="shared" si="27"/>
        <v>0</v>
      </c>
      <c r="K83" s="1284">
        <f t="shared" si="28"/>
        <v>0</v>
      </c>
      <c r="L83" s="1284">
        <v>0</v>
      </c>
      <c r="M83" s="1284">
        <f t="shared" si="29"/>
        <v>0</v>
      </c>
      <c r="N83" s="1284">
        <f t="shared" si="29"/>
        <v>0</v>
      </c>
      <c r="Z83" s="2714"/>
      <c r="AA83" s="2790"/>
      <c r="AG83" s="1371"/>
      <c r="AK83" s="2790"/>
    </row>
    <row r="84" spans="1:37" ht="14.25">
      <c r="A84" s="2872" t="s">
        <v>2913</v>
      </c>
      <c r="B84" s="2876">
        <f>估价对象房地状况!G22</f>
        <v>0</v>
      </c>
      <c r="C84" s="2764"/>
      <c r="D84" s="1285">
        <f t="shared" si="25"/>
        <v>0</v>
      </c>
      <c r="E84" s="822"/>
      <c r="F84" s="2496"/>
      <c r="G84" s="1283"/>
      <c r="H84" s="1287" t="str">
        <f t="shared" si="26"/>
        <v>——</v>
      </c>
      <c r="I84" s="816">
        <v>0.04</v>
      </c>
      <c r="J84" s="1284">
        <f t="shared" si="27"/>
        <v>0</v>
      </c>
      <c r="K84" s="1284">
        <f t="shared" si="28"/>
        <v>0</v>
      </c>
      <c r="L84" s="1284">
        <v>0</v>
      </c>
      <c r="M84" s="1284">
        <f t="shared" si="29"/>
        <v>0</v>
      </c>
      <c r="N84" s="1284">
        <f t="shared" si="29"/>
        <v>0</v>
      </c>
      <c r="Z84" s="2714"/>
      <c r="AA84" s="2790"/>
      <c r="AG84" s="1371"/>
      <c r="AK84" s="2790"/>
    </row>
    <row r="85" spans="1:37" ht="24">
      <c r="A85" s="2872" t="s">
        <v>2905</v>
      </c>
      <c r="B85" s="1723">
        <f>估价对象房地状况!G19</f>
        <v>0</v>
      </c>
      <c r="C85" s="2764"/>
      <c r="D85" s="1285">
        <f t="shared" si="25"/>
        <v>0</v>
      </c>
      <c r="E85" s="822"/>
      <c r="F85" s="2496"/>
      <c r="G85" s="1283"/>
      <c r="H85" s="1287" t="str">
        <f t="shared" si="26"/>
        <v>——</v>
      </c>
      <c r="I85" s="816">
        <v>0.06</v>
      </c>
      <c r="J85" s="1284">
        <f t="shared" si="27"/>
        <v>0</v>
      </c>
      <c r="K85" s="1284">
        <f t="shared" si="28"/>
        <v>0</v>
      </c>
      <c r="L85" s="1284">
        <v>0</v>
      </c>
      <c r="M85" s="1284">
        <f t="shared" si="29"/>
        <v>0</v>
      </c>
      <c r="N85" s="1284">
        <f t="shared" si="29"/>
        <v>0</v>
      </c>
      <c r="Z85" s="2714"/>
      <c r="AA85" s="2790"/>
      <c r="AG85" s="1371"/>
      <c r="AK85" s="2790"/>
    </row>
    <row r="86" spans="1:37" ht="24">
      <c r="A86" s="2872" t="s">
        <v>2906</v>
      </c>
      <c r="B86" s="1723">
        <f>估价对象房地状况!G20</f>
        <v>0</v>
      </c>
      <c r="C86" s="2764"/>
      <c r="D86" s="1285">
        <f t="shared" si="25"/>
        <v>0</v>
      </c>
      <c r="E86" s="822"/>
      <c r="F86" s="2496"/>
      <c r="G86" s="1283"/>
      <c r="H86" s="1287" t="str">
        <f t="shared" si="26"/>
        <v>——</v>
      </c>
      <c r="I86" s="816">
        <v>0.15</v>
      </c>
      <c r="J86" s="1284">
        <f t="shared" si="27"/>
        <v>0</v>
      </c>
      <c r="K86" s="1284">
        <f t="shared" si="28"/>
        <v>0</v>
      </c>
      <c r="L86" s="1284">
        <v>0</v>
      </c>
      <c r="M86" s="1284">
        <f t="shared" si="29"/>
        <v>0</v>
      </c>
      <c r="N86" s="1284">
        <f t="shared" si="29"/>
        <v>0</v>
      </c>
      <c r="Z86" s="2714"/>
      <c r="AA86" s="2790"/>
      <c r="AG86" s="1371"/>
      <c r="AK86" s="2790"/>
    </row>
    <row r="87" spans="1:37" ht="24">
      <c r="A87" s="2872" t="s">
        <v>2903</v>
      </c>
      <c r="B87" s="2878" t="s">
        <v>2917</v>
      </c>
      <c r="C87" s="2764"/>
      <c r="D87" s="1285">
        <f t="shared" si="25"/>
        <v>0</v>
      </c>
      <c r="E87" s="822"/>
      <c r="F87" s="2496"/>
      <c r="G87" s="1283"/>
      <c r="H87" s="1287" t="str">
        <f t="shared" si="26"/>
        <v>——</v>
      </c>
      <c r="I87" s="816">
        <v>0.05</v>
      </c>
      <c r="J87" s="1284">
        <f t="shared" si="27"/>
        <v>0</v>
      </c>
      <c r="K87" s="1284">
        <f t="shared" si="28"/>
        <v>0</v>
      </c>
      <c r="L87" s="1284">
        <v>0</v>
      </c>
      <c r="M87" s="1284">
        <f t="shared" si="29"/>
        <v>0</v>
      </c>
      <c r="N87" s="1284">
        <f t="shared" si="29"/>
        <v>0</v>
      </c>
      <c r="Z87" s="2714"/>
      <c r="AA87" s="2790"/>
      <c r="AG87" s="1371"/>
      <c r="AK87" s="2790"/>
    </row>
    <row r="88" spans="1:37" ht="15" thickBot="1">
      <c r="A88" s="2880" t="s">
        <v>2918</v>
      </c>
      <c r="B88" s="2885">
        <f>估价对象房地状况!G18</f>
        <v>0</v>
      </c>
      <c r="C88" s="2764"/>
      <c r="D88" s="1285">
        <f t="shared" si="25"/>
        <v>0</v>
      </c>
      <c r="E88" s="823"/>
      <c r="F88" s="2496"/>
      <c r="G88" s="1283"/>
      <c r="H88" s="1287" t="str">
        <f t="shared" si="26"/>
        <v>——</v>
      </c>
      <c r="I88" s="820">
        <v>0.06</v>
      </c>
      <c r="J88" s="1284">
        <f t="shared" si="27"/>
        <v>0</v>
      </c>
      <c r="K88" s="1284">
        <f t="shared" si="28"/>
        <v>0</v>
      </c>
      <c r="L88" s="1284">
        <v>0</v>
      </c>
      <c r="M88" s="1284">
        <f t="shared" si="29"/>
        <v>0</v>
      </c>
      <c r="N88" s="1284">
        <f t="shared" si="29"/>
        <v>0</v>
      </c>
      <c r="Z88" s="2714"/>
      <c r="AA88" s="2790"/>
      <c r="AG88" s="1371"/>
      <c r="AK88" s="2790"/>
    </row>
    <row r="90" spans="1:37">
      <c r="A90" s="3307" t="s">
        <v>2919</v>
      </c>
      <c r="B90" s="3307"/>
      <c r="C90" s="3307"/>
      <c r="D90" s="3307"/>
      <c r="E90" s="3307"/>
      <c r="F90" s="3307"/>
      <c r="G90" s="3307"/>
      <c r="H90" s="3307"/>
      <c r="I90" s="3307"/>
      <c r="J90" s="3307"/>
      <c r="K90" s="2886"/>
      <c r="L90" s="2886"/>
      <c r="M90" s="2886"/>
      <c r="N90" s="2886"/>
    </row>
    <row r="91" spans="1:37">
      <c r="A91" s="3309" t="s">
        <v>2920</v>
      </c>
      <c r="B91" s="3309" t="s">
        <v>2921</v>
      </c>
      <c r="C91" s="2840" t="s">
        <v>2922</v>
      </c>
      <c r="D91" s="2841"/>
      <c r="E91" s="2841"/>
      <c r="F91" s="2841"/>
      <c r="G91" s="2841"/>
      <c r="H91" s="2841"/>
      <c r="I91" s="2841"/>
      <c r="J91" s="2887"/>
      <c r="K91" s="2888"/>
      <c r="L91" s="2888"/>
      <c r="M91" s="2888"/>
      <c r="N91" s="2888"/>
    </row>
    <row r="92" spans="1:37">
      <c r="A92" s="3309"/>
      <c r="B92" s="3309"/>
      <c r="C92" s="941" t="s">
        <v>2786</v>
      </c>
      <c r="D92" s="941" t="s">
        <v>2787</v>
      </c>
      <c r="E92" s="941" t="s">
        <v>2788</v>
      </c>
      <c r="F92" s="941" t="s">
        <v>2789</v>
      </c>
      <c r="G92" s="941" t="s">
        <v>2790</v>
      </c>
      <c r="H92" s="941" t="s">
        <v>2791</v>
      </c>
      <c r="I92" s="941" t="s">
        <v>2792</v>
      </c>
      <c r="J92" s="941" t="s">
        <v>2793</v>
      </c>
      <c r="K92" s="941" t="s">
        <v>2794</v>
      </c>
      <c r="L92" s="941" t="s">
        <v>2795</v>
      </c>
      <c r="M92" s="941" t="s">
        <v>2796</v>
      </c>
      <c r="N92" s="941" t="s">
        <v>2797</v>
      </c>
    </row>
    <row r="93" spans="1:37">
      <c r="A93" s="3310" t="s">
        <v>2923</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11"/>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11"/>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11"/>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11"/>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11"/>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11"/>
      <c r="B99" s="2889" t="s">
        <v>2802</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12"/>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10" t="s">
        <v>2924</v>
      </c>
      <c r="B101" s="2893" t="s">
        <v>2925</v>
      </c>
      <c r="C101" s="2894">
        <f>$G$3</f>
        <v>1.52</v>
      </c>
      <c r="D101" s="2894">
        <f t="shared" ref="D101:N101" si="31">$G$3</f>
        <v>1.52</v>
      </c>
      <c r="E101" s="2894">
        <f t="shared" si="31"/>
        <v>1.52</v>
      </c>
      <c r="F101" s="2894">
        <f t="shared" si="31"/>
        <v>1.52</v>
      </c>
      <c r="G101" s="2894">
        <f t="shared" si="31"/>
        <v>1.52</v>
      </c>
      <c r="H101" s="2894">
        <f t="shared" si="31"/>
        <v>1.52</v>
      </c>
      <c r="I101" s="2894">
        <f t="shared" si="31"/>
        <v>1.52</v>
      </c>
      <c r="J101" s="2894">
        <f t="shared" si="31"/>
        <v>1.52</v>
      </c>
      <c r="K101" s="2894">
        <f t="shared" si="31"/>
        <v>1.52</v>
      </c>
      <c r="L101" s="2894">
        <f t="shared" si="31"/>
        <v>1.52</v>
      </c>
      <c r="M101" s="2894">
        <f t="shared" si="31"/>
        <v>1.52</v>
      </c>
      <c r="N101" s="2894">
        <f t="shared" si="31"/>
        <v>1.52</v>
      </c>
    </row>
    <row r="102" spans="1:14">
      <c r="A102" s="3311"/>
      <c r="B102" s="2889">
        <v>1</v>
      </c>
      <c r="C102" s="2890">
        <f>1.9362/C101</f>
        <v>1.2738157894736841</v>
      </c>
      <c r="D102" s="2890">
        <f>1.9362/D101</f>
        <v>1.2738157894736841</v>
      </c>
      <c r="E102" s="2890">
        <f>1.8629/E101</f>
        <v>1.225592105263158</v>
      </c>
      <c r="F102" s="2890">
        <f>1.8629/F101</f>
        <v>1.225592105263158</v>
      </c>
      <c r="G102" s="2890">
        <f>1.8629/G101</f>
        <v>1.225592105263158</v>
      </c>
      <c r="H102" s="2890">
        <f>1.8629/H101</f>
        <v>1.225592105263158</v>
      </c>
      <c r="I102" s="2890">
        <f>1.8629/I101</f>
        <v>1.225592105263158</v>
      </c>
      <c r="J102" s="2890">
        <f>1.942/J101</f>
        <v>1.2776315789473685</v>
      </c>
      <c r="K102" s="2890">
        <f>1.942/K101</f>
        <v>1.2776315789473685</v>
      </c>
      <c r="L102" s="2890">
        <f>1.942/L101</f>
        <v>1.2776315789473685</v>
      </c>
      <c r="M102" s="2890">
        <f>1.942/M101</f>
        <v>1.2776315789473685</v>
      </c>
      <c r="N102" s="2890">
        <f>1.942/N101</f>
        <v>1.2776315789473685</v>
      </c>
    </row>
    <row r="103" spans="1:14">
      <c r="A103" s="3311"/>
      <c r="B103" s="2889">
        <v>2</v>
      </c>
      <c r="C103" s="2890">
        <f>1.4198/C101</f>
        <v>0.93407894736842101</v>
      </c>
      <c r="D103" s="2890">
        <f>1.4198/D101</f>
        <v>0.93407894736842101</v>
      </c>
      <c r="E103" s="2890">
        <f>1.3372/E101</f>
        <v>0.87973684210526315</v>
      </c>
      <c r="F103" s="2890">
        <f>1.3372/F101</f>
        <v>0.87973684210526315</v>
      </c>
      <c r="G103" s="2890">
        <f>1.3372/G101</f>
        <v>0.87973684210526315</v>
      </c>
      <c r="H103" s="2890">
        <f>1.3372/H101</f>
        <v>0.87973684210526315</v>
      </c>
      <c r="I103" s="2890">
        <f>1.3372/I101</f>
        <v>0.87973684210526315</v>
      </c>
      <c r="J103" s="2890">
        <f>1.2799/J101</f>
        <v>0.8420394736842105</v>
      </c>
      <c r="K103" s="2890">
        <f>1.2799/K101</f>
        <v>0.8420394736842105</v>
      </c>
      <c r="L103" s="2890">
        <f>1.2799/L101</f>
        <v>0.8420394736842105</v>
      </c>
      <c r="M103" s="2890">
        <f>1.2799/M101</f>
        <v>0.8420394736842105</v>
      </c>
      <c r="N103" s="2890">
        <f>1.2799/N101</f>
        <v>0.8420394736842105</v>
      </c>
    </row>
    <row r="104" spans="1:14">
      <c r="A104" s="3311"/>
      <c r="B104" s="2889">
        <v>3</v>
      </c>
      <c r="C104" s="2890">
        <f>1.1594/C101</f>
        <v>0.76276315789473681</v>
      </c>
      <c r="D104" s="2890">
        <f>1.1594/D101</f>
        <v>0.76276315789473681</v>
      </c>
      <c r="E104" s="2890">
        <f>1.0788/E101</f>
        <v>0.70973684210526311</v>
      </c>
      <c r="F104" s="2890">
        <f>1.0788/F101</f>
        <v>0.70973684210526311</v>
      </c>
      <c r="G104" s="2890">
        <f>1.0788/G101</f>
        <v>0.70973684210526311</v>
      </c>
      <c r="H104" s="2890">
        <f>1.0788/H101</f>
        <v>0.70973684210526311</v>
      </c>
      <c r="I104" s="2890">
        <f>1.0788/I101</f>
        <v>0.70973684210526311</v>
      </c>
      <c r="J104" s="2890">
        <f>1.0072/J101</f>
        <v>0.66263157894736846</v>
      </c>
      <c r="K104" s="2890">
        <f>1.0072/K101</f>
        <v>0.66263157894736846</v>
      </c>
      <c r="L104" s="2890">
        <f>1.0072/L101</f>
        <v>0.66263157894736846</v>
      </c>
      <c r="M104" s="2890">
        <f>1.0072/M101</f>
        <v>0.66263157894736846</v>
      </c>
      <c r="N104" s="2890">
        <f>1.0072/N101</f>
        <v>0.66263157894736846</v>
      </c>
    </row>
    <row r="105" spans="1:14">
      <c r="A105" s="3311"/>
      <c r="B105" s="2889">
        <v>4</v>
      </c>
      <c r="C105" s="2890">
        <f>0.9622/C101</f>
        <v>0.63302631578947366</v>
      </c>
      <c r="D105" s="2890">
        <f>0.9622/D101</f>
        <v>0.63302631578947366</v>
      </c>
      <c r="E105" s="2890">
        <f>0.8656/E101</f>
        <v>0.56947368421052635</v>
      </c>
      <c r="F105" s="2890">
        <f>0.8656/F101</f>
        <v>0.56947368421052635</v>
      </c>
      <c r="G105" s="2890">
        <f>0.8656/G101</f>
        <v>0.56947368421052635</v>
      </c>
      <c r="H105" s="2890">
        <f>0.8656/H101</f>
        <v>0.56947368421052635</v>
      </c>
      <c r="I105" s="2890">
        <f>0.8656/I101</f>
        <v>0.56947368421052635</v>
      </c>
      <c r="J105" s="2890">
        <f>0.7525/J101</f>
        <v>0.49506578947368418</v>
      </c>
      <c r="K105" s="2890">
        <f>0.7525/K101</f>
        <v>0.49506578947368418</v>
      </c>
      <c r="L105" s="2890">
        <f>0.7525/L101</f>
        <v>0.49506578947368418</v>
      </c>
      <c r="M105" s="2890">
        <f>0.7525/M101</f>
        <v>0.49506578947368418</v>
      </c>
      <c r="N105" s="2890">
        <f>0.7525/N101</f>
        <v>0.49506578947368418</v>
      </c>
    </row>
    <row r="106" spans="1:14">
      <c r="A106" s="3311"/>
      <c r="B106" s="2889">
        <v>5</v>
      </c>
      <c r="C106" s="2890">
        <f>0.8417/C101</f>
        <v>0.55374999999999996</v>
      </c>
      <c r="D106" s="2890">
        <f>0.8417/D101</f>
        <v>0.55374999999999996</v>
      </c>
      <c r="E106" s="2890">
        <f>0.7371/E101</f>
        <v>0.48493421052631575</v>
      </c>
      <c r="F106" s="2890">
        <f>0.7371/F101</f>
        <v>0.48493421052631575</v>
      </c>
      <c r="G106" s="2890">
        <f>0.7371/G101</f>
        <v>0.48493421052631575</v>
      </c>
      <c r="H106" s="2890">
        <f>0.7371/H101</f>
        <v>0.48493421052631575</v>
      </c>
      <c r="I106" s="2890">
        <f>0.7371/I101</f>
        <v>0.48493421052631575</v>
      </c>
      <c r="J106" s="2890">
        <f>0.5659/J101</f>
        <v>0.37230263157894733</v>
      </c>
      <c r="K106" s="2890">
        <f>0.5659/K101</f>
        <v>0.37230263157894733</v>
      </c>
      <c r="L106" s="2890">
        <f>0.5659/L101</f>
        <v>0.37230263157894733</v>
      </c>
      <c r="M106" s="2890">
        <f>0.5659/M101</f>
        <v>0.37230263157894733</v>
      </c>
      <c r="N106" s="2890">
        <f>0.5659/N101</f>
        <v>0.37230263157894733</v>
      </c>
    </row>
    <row r="107" spans="1:14">
      <c r="A107" s="3311"/>
      <c r="B107" s="2889">
        <v>6</v>
      </c>
      <c r="C107" s="2890">
        <f>0.7608/C101</f>
        <v>0.50052631578947371</v>
      </c>
      <c r="D107" s="2890">
        <f>0.7608/D101</f>
        <v>0.50052631578947371</v>
      </c>
      <c r="E107" s="2890">
        <f>0.6482/E101</f>
        <v>0.42644736842105263</v>
      </c>
      <c r="F107" s="2890">
        <f>0.6482/F101</f>
        <v>0.42644736842105263</v>
      </c>
      <c r="G107" s="2890">
        <f>0.6482/G101</f>
        <v>0.42644736842105263</v>
      </c>
      <c r="H107" s="2890">
        <f>0.6482/H101</f>
        <v>0.42644736842105263</v>
      </c>
      <c r="I107" s="2890">
        <f>0.6482/I101</f>
        <v>0.42644736842105263</v>
      </c>
      <c r="J107" s="2890">
        <f>0.4525/J101</f>
        <v>0.29769736842105265</v>
      </c>
      <c r="K107" s="2890">
        <f>0.4525/K101</f>
        <v>0.29769736842105265</v>
      </c>
      <c r="L107" s="2890">
        <f>0.4525/L101</f>
        <v>0.29769736842105265</v>
      </c>
      <c r="M107" s="2890">
        <f>0.4525/M101</f>
        <v>0.29769736842105265</v>
      </c>
      <c r="N107" s="2890">
        <f>0.4525/N101</f>
        <v>0.29769736842105265</v>
      </c>
    </row>
    <row r="108" spans="1:14">
      <c r="A108" s="3311"/>
      <c r="B108" s="3137" t="s">
        <v>2926</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12"/>
      <c r="B109" s="3138"/>
      <c r="C109" s="2892">
        <f>(-0.163*(C108^2)-0.59*C108+7617)*(10^(-4))/C101</f>
        <v>0.5011184210526316</v>
      </c>
      <c r="D109" s="2892">
        <f>(-0.163*(D108^2)-0.59*D108+7617)*(10^(-4))/D101</f>
        <v>0.5011184210526316</v>
      </c>
      <c r="E109" s="2892">
        <f>(-0.161*(E108^2)-7.509*E108+6533)*(10^(-4))/E101</f>
        <v>0.42980263157894738</v>
      </c>
      <c r="F109" s="2892">
        <f>(-0.161*(F108^2)-7.509*F108+6533)*(10^(-4))/F101</f>
        <v>0.42980263157894738</v>
      </c>
      <c r="G109" s="2892">
        <f>(-0.161*(G108^2)-7.509*G108+6533)*(10^(-4))/G101</f>
        <v>0.42980263157894738</v>
      </c>
      <c r="H109" s="2892">
        <f>(-0.161*(H108^2)-7.509*H108+6533)*(10^(-4))/H101</f>
        <v>0.42980263157894738</v>
      </c>
      <c r="I109" s="2892">
        <f>(-0.161*(I108^2)-7.509*I108+6533)*(10^(-4))/I101</f>
        <v>0.42980263157894738</v>
      </c>
      <c r="J109" s="2892">
        <f>(-0.214*(J108^2)-21.991*J108+4665)*(10^(-4))/J101</f>
        <v>0.3069078947368421</v>
      </c>
      <c r="K109" s="2892">
        <f>(-0.214*(K108^2)-21.991*K108+4665)*(10^(-4))/K101</f>
        <v>0.3069078947368421</v>
      </c>
      <c r="L109" s="2892">
        <f>(-0.214*(L108^2)-21.991*L108+4665)*(10^(-4))/L101</f>
        <v>0.3069078947368421</v>
      </c>
      <c r="M109" s="2892">
        <f>(-0.214*(M108^2)-21.991*M108+4665)*(10^(-4))/M101</f>
        <v>0.3069078947368421</v>
      </c>
      <c r="N109" s="2892">
        <f>(-0.214*(N108^2)-21.991*N108+4665)*(10^(-4))/N101</f>
        <v>0.3069078947368421</v>
      </c>
    </row>
    <row r="110" spans="1:14">
      <c r="A110" s="3308" t="s">
        <v>2927</v>
      </c>
      <c r="B110" s="3308"/>
      <c r="C110" s="3308"/>
      <c r="D110" s="3308"/>
      <c r="E110" s="3308"/>
      <c r="F110" s="3308"/>
      <c r="G110" s="3308"/>
      <c r="H110" s="3308"/>
      <c r="I110" s="3308"/>
      <c r="J110" s="3308"/>
      <c r="K110" s="2895"/>
      <c r="L110" s="2895"/>
      <c r="M110" s="2895"/>
      <c r="N110" s="2895"/>
    </row>
    <row r="112" spans="1:14" ht="13.5" thickBot="1"/>
    <row r="113" spans="1:13" ht="25.5" thickBot="1">
      <c r="A113" s="899" t="s">
        <v>2928</v>
      </c>
      <c r="B113" s="1286">
        <f>G3</f>
        <v>1.52</v>
      </c>
      <c r="C113" s="900" t="s">
        <v>2929</v>
      </c>
      <c r="D113" s="901">
        <f>SUMPRODUCT((A115:A118=F113)*(B114:M114=H113)*B115:M118)</f>
        <v>0</v>
      </c>
      <c r="E113" s="2718" t="s">
        <v>2759</v>
      </c>
      <c r="F113" s="2897">
        <f>E2</f>
        <v>0</v>
      </c>
      <c r="G113" s="2718" t="s">
        <v>2760</v>
      </c>
      <c r="H113" s="2897">
        <f>G2</f>
        <v>0</v>
      </c>
      <c r="I113" s="2718"/>
      <c r="J113" s="2898"/>
      <c r="K113" s="2898"/>
      <c r="L113" s="2898"/>
      <c r="M113" s="2898"/>
    </row>
    <row r="114" spans="1:13">
      <c r="A114" s="904"/>
      <c r="B114" s="2899" t="s">
        <v>2930</v>
      </c>
      <c r="C114" s="2899" t="s">
        <v>2931</v>
      </c>
      <c r="D114" s="2899" t="s">
        <v>2932</v>
      </c>
      <c r="E114" s="2900" t="s">
        <v>2933</v>
      </c>
      <c r="F114" s="2900" t="s">
        <v>2934</v>
      </c>
      <c r="G114" s="2900" t="s">
        <v>2935</v>
      </c>
      <c r="H114" s="2901" t="s">
        <v>2936</v>
      </c>
      <c r="I114" s="2901" t="s">
        <v>2937</v>
      </c>
      <c r="J114" s="2902" t="s">
        <v>2938</v>
      </c>
      <c r="K114" s="2902" t="s">
        <v>2939</v>
      </c>
      <c r="L114" s="2902" t="s">
        <v>2940</v>
      </c>
      <c r="M114" s="2903" t="s">
        <v>2941</v>
      </c>
    </row>
    <row r="115" spans="1:13">
      <c r="A115" s="905" t="s">
        <v>2824</v>
      </c>
      <c r="B115" s="906">
        <f>ROUND(0.9335-0.0094*B113,4)</f>
        <v>0.91920000000000002</v>
      </c>
      <c r="C115" s="906">
        <f>B115</f>
        <v>0.91920000000000002</v>
      </c>
      <c r="D115" s="906">
        <f>ROUND(0.8331-0.0109*B113,4)</f>
        <v>0.8165</v>
      </c>
      <c r="E115" s="906">
        <f>D115</f>
        <v>0.8165</v>
      </c>
      <c r="F115" s="906">
        <f>E115</f>
        <v>0.8165</v>
      </c>
      <c r="G115" s="906">
        <f>F115</f>
        <v>0.8165</v>
      </c>
      <c r="H115" s="906">
        <f>G115</f>
        <v>0.8165</v>
      </c>
      <c r="I115" s="906">
        <f>ROUND(0.689-0.0155*B113,4)</f>
        <v>0.66539999999999999</v>
      </c>
      <c r="J115" s="906">
        <f t="shared" ref="J115:M118" si="33">I115</f>
        <v>0.66539999999999999</v>
      </c>
      <c r="K115" s="906">
        <f t="shared" si="33"/>
        <v>0.66539999999999999</v>
      </c>
      <c r="L115" s="906">
        <f t="shared" si="33"/>
        <v>0.66539999999999999</v>
      </c>
      <c r="M115" s="907">
        <f t="shared" si="33"/>
        <v>0.66539999999999999</v>
      </c>
    </row>
    <row r="116" spans="1:13">
      <c r="A116" s="905" t="s">
        <v>2825</v>
      </c>
      <c r="B116" s="906">
        <f>ROUND(0.949-0.012*B113,4)</f>
        <v>0.93079999999999996</v>
      </c>
      <c r="C116" s="906">
        <f>B116</f>
        <v>0.93079999999999996</v>
      </c>
      <c r="D116" s="906">
        <f>ROUND(0.8567-0.013*B113,4)</f>
        <v>0.83689999999999998</v>
      </c>
      <c r="E116" s="906">
        <f t="shared" ref="E116:H117" si="34">D116</f>
        <v>0.83689999999999998</v>
      </c>
      <c r="F116" s="906">
        <f t="shared" si="34"/>
        <v>0.83689999999999998</v>
      </c>
      <c r="G116" s="906">
        <f t="shared" si="34"/>
        <v>0.83689999999999998</v>
      </c>
      <c r="H116" s="906">
        <f t="shared" si="34"/>
        <v>0.83689999999999998</v>
      </c>
      <c r="I116" s="906">
        <f>ROUND(0.7694-0.014*B113,4)</f>
        <v>0.74809999999999999</v>
      </c>
      <c r="J116" s="906">
        <f t="shared" si="33"/>
        <v>0.74809999999999999</v>
      </c>
      <c r="K116" s="906">
        <f t="shared" si="33"/>
        <v>0.74809999999999999</v>
      </c>
      <c r="L116" s="906">
        <f t="shared" si="33"/>
        <v>0.74809999999999999</v>
      </c>
      <c r="M116" s="907">
        <f t="shared" si="33"/>
        <v>0.74809999999999999</v>
      </c>
    </row>
    <row r="117" spans="1:13">
      <c r="A117" s="905" t="s">
        <v>2826</v>
      </c>
      <c r="B117" s="906">
        <f>ROUND(0.8808-0.006*B113,4)</f>
        <v>0.87170000000000003</v>
      </c>
      <c r="C117" s="906">
        <f>B117</f>
        <v>0.87170000000000003</v>
      </c>
      <c r="D117" s="906">
        <f>ROUND(0.8748-0.008*B113,4)</f>
        <v>0.86260000000000003</v>
      </c>
      <c r="E117" s="906">
        <f t="shared" si="34"/>
        <v>0.86260000000000003</v>
      </c>
      <c r="F117" s="906">
        <f t="shared" si="34"/>
        <v>0.86260000000000003</v>
      </c>
      <c r="G117" s="906">
        <f t="shared" si="34"/>
        <v>0.86260000000000003</v>
      </c>
      <c r="H117" s="906">
        <f t="shared" si="34"/>
        <v>0.86260000000000003</v>
      </c>
      <c r="I117" s="906">
        <f>ROUND(0.7412-0.0095*B113,4)</f>
        <v>0.7268</v>
      </c>
      <c r="J117" s="906">
        <f t="shared" si="33"/>
        <v>0.7268</v>
      </c>
      <c r="K117" s="906">
        <f t="shared" si="33"/>
        <v>0.7268</v>
      </c>
      <c r="L117" s="906">
        <f t="shared" si="33"/>
        <v>0.7268</v>
      </c>
      <c r="M117" s="907">
        <f t="shared" si="33"/>
        <v>0.7268</v>
      </c>
    </row>
    <row r="118" spans="1:13" ht="13.5" thickBot="1">
      <c r="A118" s="713" t="s">
        <v>2827</v>
      </c>
      <c r="B118" s="908">
        <f>ROUND(0.7275-0.01*B113,4)</f>
        <v>0.71230000000000004</v>
      </c>
      <c r="C118" s="908">
        <f>B118</f>
        <v>0.71230000000000004</v>
      </c>
      <c r="D118" s="908">
        <f>ROUND(0.7043-0.012*B113,4)</f>
        <v>0.68610000000000004</v>
      </c>
      <c r="E118" s="908">
        <f>D118</f>
        <v>0.68610000000000004</v>
      </c>
      <c r="F118" s="908">
        <f>E118</f>
        <v>0.68610000000000004</v>
      </c>
      <c r="G118" s="908">
        <f>ROUND(0.6299-0.0122*B113,4)</f>
        <v>0.61140000000000005</v>
      </c>
      <c r="H118" s="908">
        <f>G118</f>
        <v>0.61140000000000005</v>
      </c>
      <c r="I118" s="908">
        <f>ROUND(0.5667-0.0136*B113,4)</f>
        <v>0.54600000000000004</v>
      </c>
      <c r="J118" s="908">
        <f t="shared" si="33"/>
        <v>0.54600000000000004</v>
      </c>
      <c r="K118" s="908">
        <f t="shared" si="33"/>
        <v>0.54600000000000004</v>
      </c>
      <c r="L118" s="908">
        <f t="shared" si="33"/>
        <v>0.54600000000000004</v>
      </c>
      <c r="M118" s="909">
        <f t="shared" si="33"/>
        <v>0.54600000000000004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633" priority="5" stopIfTrue="1" operator="notEqual">
      <formula>"——"</formula>
    </cfRule>
  </conditionalFormatting>
  <conditionalFormatting sqref="F59">
    <cfRule type="cellIs" dxfId="632" priority="4" stopIfTrue="1" operator="notEqual">
      <formula>"——"</formula>
    </cfRule>
  </conditionalFormatting>
  <conditionalFormatting sqref="F70">
    <cfRule type="cellIs" dxfId="631" priority="3" stopIfTrue="1" operator="notEqual">
      <formula>"——"</formula>
    </cfRule>
  </conditionalFormatting>
  <conditionalFormatting sqref="F81">
    <cfRule type="cellIs" dxfId="630" priority="2" stopIfTrue="1" operator="notEqual">
      <formula>"——"</formula>
    </cfRule>
  </conditionalFormatting>
  <conditionalFormatting sqref="H48:H56 H59:H67 H70:H78 H81:H88">
    <cfRule type="cellIs" dxfId="62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757</v>
      </c>
      <c r="D17" s="876"/>
      <c r="E17" s="814" t="s">
        <v>559</v>
      </c>
      <c r="F17" s="877"/>
      <c r="G17" s="877"/>
    </row>
    <row r="18" spans="1:9" s="883" customFormat="1" ht="19.5" customHeight="1">
      <c r="A18" s="3325" t="s">
        <v>183</v>
      </c>
      <c r="B18" s="878" t="s">
        <v>560</v>
      </c>
      <c r="C18" s="879" t="s">
        <v>561</v>
      </c>
      <c r="D18" s="880"/>
      <c r="E18" s="878">
        <v>1</v>
      </c>
      <c r="F18" s="881" t="s">
        <v>562</v>
      </c>
      <c r="G18" s="882"/>
      <c r="H18" s="874"/>
      <c r="I18" s="874"/>
    </row>
    <row r="19" spans="1:9" s="883" customFormat="1" ht="19.5" customHeight="1">
      <c r="A19" s="3325"/>
      <c r="B19" s="3325" t="s">
        <v>563</v>
      </c>
      <c r="C19" s="879" t="s">
        <v>564</v>
      </c>
      <c r="D19" s="880"/>
      <c r="E19" s="878">
        <v>0.9</v>
      </c>
      <c r="F19" s="881" t="s">
        <v>565</v>
      </c>
      <c r="G19" s="882"/>
      <c r="H19" s="874"/>
      <c r="I19" s="874"/>
    </row>
    <row r="20" spans="1:9" s="883" customFormat="1" ht="19.5" customHeight="1">
      <c r="A20" s="3325"/>
      <c r="B20" s="3325"/>
      <c r="C20" s="879" t="s">
        <v>566</v>
      </c>
      <c r="D20" s="880"/>
      <c r="E20" s="878">
        <v>1.1000000000000001</v>
      </c>
      <c r="F20" s="881" t="s">
        <v>567</v>
      </c>
      <c r="G20" s="882"/>
      <c r="H20" s="874"/>
      <c r="I20" s="874"/>
    </row>
    <row r="21" spans="1:9" s="883" customFormat="1" ht="19.5" customHeight="1">
      <c r="A21" s="3325"/>
      <c r="B21" s="3325"/>
      <c r="C21" s="879" t="s">
        <v>568</v>
      </c>
      <c r="D21" s="880"/>
      <c r="E21" s="878">
        <v>0.8</v>
      </c>
      <c r="F21" s="881" t="s">
        <v>569</v>
      </c>
      <c r="G21" s="882"/>
      <c r="H21" s="874"/>
      <c r="I21" s="874"/>
    </row>
    <row r="22" spans="1:9" s="883" customFormat="1" ht="19.5" customHeight="1">
      <c r="A22" s="3325"/>
      <c r="B22" s="3325"/>
      <c r="C22" s="879" t="s">
        <v>570</v>
      </c>
      <c r="D22" s="880"/>
      <c r="E22" s="878">
        <v>0.5</v>
      </c>
      <c r="F22" s="881"/>
      <c r="G22" s="882"/>
      <c r="H22" s="874"/>
      <c r="I22" s="874"/>
    </row>
    <row r="23" spans="1:9" s="883" customFormat="1" ht="19.5" customHeight="1">
      <c r="A23" s="3325" t="s">
        <v>184</v>
      </c>
      <c r="B23" s="878" t="s">
        <v>560</v>
      </c>
      <c r="C23" s="879" t="s">
        <v>571</v>
      </c>
      <c r="D23" s="880"/>
      <c r="E23" s="878">
        <v>1</v>
      </c>
      <c r="F23" s="881" t="s">
        <v>572</v>
      </c>
      <c r="G23" s="882"/>
      <c r="H23" s="874"/>
      <c r="I23" s="874"/>
    </row>
    <row r="24" spans="1:9" s="883" customFormat="1" ht="19.5" customHeight="1">
      <c r="A24" s="3325"/>
      <c r="B24" s="3325" t="s">
        <v>563</v>
      </c>
      <c r="C24" s="879" t="s">
        <v>573</v>
      </c>
      <c r="D24" s="880"/>
      <c r="E24" s="878">
        <v>0.5</v>
      </c>
      <c r="F24" s="881"/>
      <c r="G24" s="882"/>
      <c r="H24" s="874"/>
      <c r="I24" s="874"/>
    </row>
    <row r="25" spans="1:9" s="883" customFormat="1" ht="19.5" customHeight="1">
      <c r="A25" s="3325"/>
      <c r="B25" s="3325"/>
      <c r="C25" s="879" t="s">
        <v>574</v>
      </c>
      <c r="D25" s="880"/>
      <c r="E25" s="878">
        <v>1.1000000000000001</v>
      </c>
      <c r="F25" s="881"/>
      <c r="G25" s="882"/>
      <c r="H25" s="874"/>
      <c r="I25" s="874"/>
    </row>
    <row r="26" spans="1:9" s="883" customFormat="1" ht="19.5" customHeight="1">
      <c r="A26" s="3325"/>
      <c r="B26" s="3325"/>
      <c r="C26" s="879" t="s">
        <v>575</v>
      </c>
      <c r="D26" s="880"/>
      <c r="E26" s="878">
        <v>1.1000000000000001</v>
      </c>
      <c r="F26" s="881"/>
      <c r="G26" s="882"/>
      <c r="H26" s="874"/>
      <c r="I26" s="874"/>
    </row>
    <row r="27" spans="1:9" s="883" customFormat="1" ht="19.5" customHeight="1">
      <c r="A27" s="3325"/>
      <c r="B27" s="3325"/>
      <c r="C27" s="879" t="s">
        <v>576</v>
      </c>
      <c r="D27" s="880"/>
      <c r="E27" s="878">
        <v>0.9</v>
      </c>
      <c r="F27" s="881" t="s">
        <v>577</v>
      </c>
      <c r="G27" s="882"/>
      <c r="H27" s="874"/>
      <c r="I27" s="874"/>
    </row>
    <row r="28" spans="1:9" s="883" customFormat="1" ht="19.5" customHeight="1">
      <c r="A28" s="3325"/>
      <c r="B28" s="3325"/>
      <c r="C28" s="879" t="s">
        <v>578</v>
      </c>
      <c r="D28" s="880"/>
      <c r="E28" s="878">
        <v>0.9</v>
      </c>
      <c r="F28" s="881" t="s">
        <v>579</v>
      </c>
      <c r="G28" s="882"/>
      <c r="H28" s="874"/>
      <c r="I28" s="874"/>
    </row>
    <row r="29" spans="1:9" s="883" customFormat="1" ht="19.5" customHeight="1">
      <c r="A29" s="3325"/>
      <c r="B29" s="3325"/>
      <c r="C29" s="879" t="s">
        <v>580</v>
      </c>
      <c r="D29" s="880"/>
      <c r="E29" s="878">
        <v>0.9</v>
      </c>
      <c r="F29" s="881" t="s">
        <v>581</v>
      </c>
      <c r="G29" s="882"/>
      <c r="H29" s="874"/>
      <c r="I29" s="874"/>
    </row>
    <row r="30" spans="1:9" s="883" customFormat="1" ht="19.5" customHeight="1">
      <c r="A30" s="3325"/>
      <c r="B30" s="3325"/>
      <c r="C30" s="879" t="s">
        <v>582</v>
      </c>
      <c r="D30" s="880"/>
      <c r="E30" s="878">
        <v>0.9</v>
      </c>
      <c r="F30" s="881" t="s">
        <v>583</v>
      </c>
      <c r="G30" s="882"/>
      <c r="H30" s="874"/>
      <c r="I30" s="874"/>
    </row>
    <row r="31" spans="1:9" s="883" customFormat="1" ht="19.5" customHeight="1">
      <c r="A31" s="3325"/>
      <c r="B31" s="3325"/>
      <c r="C31" s="879" t="s">
        <v>584</v>
      </c>
      <c r="D31" s="880"/>
      <c r="E31" s="878">
        <v>0.8</v>
      </c>
      <c r="F31" s="881" t="s">
        <v>585</v>
      </c>
      <c r="G31" s="882"/>
      <c r="H31" s="874"/>
      <c r="I31" s="874"/>
    </row>
    <row r="32" spans="1:9" s="883" customFormat="1" ht="19.5" customHeight="1">
      <c r="A32" s="3325"/>
      <c r="B32" s="3325"/>
      <c r="C32" s="879" t="s">
        <v>586</v>
      </c>
      <c r="D32" s="880"/>
      <c r="E32" s="878">
        <v>0.8</v>
      </c>
      <c r="F32" s="881" t="s">
        <v>587</v>
      </c>
      <c r="G32" s="882"/>
      <c r="H32" s="874"/>
      <c r="I32" s="874"/>
    </row>
    <row r="33" spans="1:9" s="883" customFormat="1" ht="19.5" customHeight="1">
      <c r="A33" s="3325" t="s">
        <v>185</v>
      </c>
      <c r="B33" s="878" t="s">
        <v>560</v>
      </c>
      <c r="C33" s="879" t="s">
        <v>588</v>
      </c>
      <c r="D33" s="880"/>
      <c r="E33" s="878">
        <v>1</v>
      </c>
      <c r="F33" s="881" t="s">
        <v>589</v>
      </c>
      <c r="G33" s="882"/>
      <c r="H33" s="874"/>
      <c r="I33" s="874"/>
    </row>
    <row r="34" spans="1:9" s="883" customFormat="1" ht="19.5" customHeight="1">
      <c r="A34" s="3325"/>
      <c r="B34" s="878" t="s">
        <v>563</v>
      </c>
      <c r="C34" s="879" t="s">
        <v>590</v>
      </c>
      <c r="D34" s="880"/>
      <c r="E34" s="878">
        <v>1.5</v>
      </c>
      <c r="F34" s="881" t="s">
        <v>591</v>
      </c>
      <c r="G34" s="882"/>
      <c r="H34" s="874"/>
      <c r="I34" s="874"/>
    </row>
    <row r="35" spans="1:9" s="883" customFormat="1" ht="19.5" customHeight="1">
      <c r="A35" s="3325" t="s">
        <v>186</v>
      </c>
      <c r="B35" s="878" t="s">
        <v>560</v>
      </c>
      <c r="C35" s="879" t="s">
        <v>592</v>
      </c>
      <c r="D35" s="880"/>
      <c r="E35" s="878">
        <v>1</v>
      </c>
      <c r="F35" s="881" t="s">
        <v>593</v>
      </c>
      <c r="G35" s="882"/>
      <c r="H35" s="874"/>
      <c r="I35" s="874"/>
    </row>
    <row r="36" spans="1:9" s="883" customFormat="1" ht="19.5" customHeight="1">
      <c r="A36" s="3325"/>
      <c r="B36" s="3325" t="s">
        <v>563</v>
      </c>
      <c r="C36" s="879" t="s">
        <v>594</v>
      </c>
      <c r="D36" s="880"/>
      <c r="E36" s="878">
        <v>1</v>
      </c>
      <c r="F36" s="881" t="s">
        <v>595</v>
      </c>
      <c r="G36" s="882"/>
      <c r="H36" s="874"/>
      <c r="I36" s="874"/>
    </row>
    <row r="37" spans="1:9" s="883" customFormat="1" ht="19.5" customHeight="1">
      <c r="A37" s="3325"/>
      <c r="B37" s="3325"/>
      <c r="C37" s="879" t="s">
        <v>596</v>
      </c>
      <c r="D37" s="880"/>
      <c r="E37" s="878">
        <v>1.5</v>
      </c>
      <c r="F37" s="881" t="s">
        <v>597</v>
      </c>
      <c r="G37" s="882"/>
      <c r="H37" s="874"/>
      <c r="I37" s="874"/>
    </row>
    <row r="38" spans="1:9" s="883" customFormat="1" ht="19.5" customHeight="1">
      <c r="A38" s="3325"/>
      <c r="B38" s="3325"/>
      <c r="C38" s="879" t="s">
        <v>598</v>
      </c>
      <c r="D38" s="880"/>
      <c r="E38" s="878">
        <v>1</v>
      </c>
      <c r="F38" s="881" t="s">
        <v>599</v>
      </c>
      <c r="G38" s="882"/>
      <c r="H38" s="874"/>
      <c r="I38" s="874"/>
    </row>
    <row r="39" spans="1:9" s="883" customFormat="1" ht="19.5" customHeight="1">
      <c r="A39" s="3325"/>
      <c r="B39" s="3325"/>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25" t="s">
        <v>614</v>
      </c>
      <c r="C61" s="814" t="s">
        <v>615</v>
      </c>
      <c r="D61" s="814" t="s">
        <v>616</v>
      </c>
      <c r="E61" s="891">
        <v>0.5</v>
      </c>
      <c r="F61" s="878">
        <v>80</v>
      </c>
    </row>
    <row r="62" spans="1:8" s="874" customFormat="1" ht="24">
      <c r="A62" s="878">
        <v>2</v>
      </c>
      <c r="B62" s="3325"/>
      <c r="C62" s="814" t="s">
        <v>617</v>
      </c>
      <c r="D62" s="814" t="s">
        <v>618</v>
      </c>
      <c r="E62" s="891">
        <v>0.5</v>
      </c>
      <c r="F62" s="878">
        <v>80</v>
      </c>
    </row>
    <row r="63" spans="1:8" s="874" customFormat="1" ht="36">
      <c r="A63" s="878">
        <v>3</v>
      </c>
      <c r="B63" s="3325"/>
      <c r="C63" s="814" t="s">
        <v>619</v>
      </c>
      <c r="D63" s="814" t="s">
        <v>620</v>
      </c>
      <c r="E63" s="891">
        <v>0.5</v>
      </c>
      <c r="F63" s="878">
        <v>80</v>
      </c>
    </row>
    <row r="64" spans="1:8" s="874" customFormat="1" ht="36">
      <c r="A64" s="878">
        <v>4</v>
      </c>
      <c r="B64" s="3325"/>
      <c r="C64" s="814" t="s">
        <v>621</v>
      </c>
      <c r="D64" s="814" t="s">
        <v>622</v>
      </c>
      <c r="E64" s="891">
        <v>0.4</v>
      </c>
      <c r="F64" s="878">
        <v>60</v>
      </c>
    </row>
    <row r="65" spans="1:6" s="874" customFormat="1" ht="36">
      <c r="A65" s="878">
        <v>5</v>
      </c>
      <c r="B65" s="3325"/>
      <c r="C65" s="814" t="s">
        <v>623</v>
      </c>
      <c r="D65" s="814" t="s">
        <v>624</v>
      </c>
      <c r="E65" s="891">
        <v>0.2</v>
      </c>
      <c r="F65" s="878">
        <v>30</v>
      </c>
    </row>
    <row r="66" spans="1:6" s="874" customFormat="1" ht="36">
      <c r="A66" s="878">
        <v>6</v>
      </c>
      <c r="B66" s="3325"/>
      <c r="C66" s="814" t="s">
        <v>625</v>
      </c>
      <c r="D66" s="814" t="s">
        <v>626</v>
      </c>
      <c r="E66" s="891">
        <v>0.3</v>
      </c>
      <c r="F66" s="878">
        <v>50</v>
      </c>
    </row>
    <row r="67" spans="1:6" s="874" customFormat="1" ht="36">
      <c r="A67" s="878">
        <v>7</v>
      </c>
      <c r="B67" s="3325"/>
      <c r="C67" s="814" t="s">
        <v>627</v>
      </c>
      <c r="D67" s="814" t="s">
        <v>628</v>
      </c>
      <c r="E67" s="891">
        <v>0.2</v>
      </c>
      <c r="F67" s="878">
        <v>30</v>
      </c>
    </row>
    <row r="68" spans="1:6" s="874" customFormat="1" ht="36">
      <c r="A68" s="878">
        <v>8</v>
      </c>
      <c r="B68" s="3325"/>
      <c r="C68" s="814" t="s">
        <v>629</v>
      </c>
      <c r="D68" s="814" t="s">
        <v>630</v>
      </c>
      <c r="E68" s="891">
        <v>0.2</v>
      </c>
      <c r="F68" s="878">
        <v>30</v>
      </c>
    </row>
    <row r="69" spans="1:6" s="874" customFormat="1" ht="36">
      <c r="A69" s="878">
        <v>9</v>
      </c>
      <c r="B69" s="3325"/>
      <c r="C69" s="814" t="s">
        <v>631</v>
      </c>
      <c r="D69" s="814" t="s">
        <v>632</v>
      </c>
      <c r="E69" s="891">
        <v>0.2</v>
      </c>
      <c r="F69" s="878">
        <v>30</v>
      </c>
    </row>
    <row r="70" spans="1:6" s="874" customFormat="1" ht="48">
      <c r="A70" s="878">
        <v>10</v>
      </c>
      <c r="B70" s="3325"/>
      <c r="C70" s="814" t="s">
        <v>633</v>
      </c>
      <c r="D70" s="814" t="s">
        <v>634</v>
      </c>
      <c r="E70" s="891">
        <v>0.2</v>
      </c>
      <c r="F70" s="878">
        <v>30</v>
      </c>
    </row>
    <row r="71" spans="1:6" s="874" customFormat="1" ht="48">
      <c r="A71" s="878">
        <v>11</v>
      </c>
      <c r="B71" s="3325"/>
      <c r="C71" s="814" t="s">
        <v>635</v>
      </c>
      <c r="D71" s="814" t="s">
        <v>636</v>
      </c>
      <c r="E71" s="891">
        <v>0.2</v>
      </c>
      <c r="F71" s="878">
        <v>30</v>
      </c>
    </row>
    <row r="72" spans="1:6" s="874" customFormat="1" ht="36">
      <c r="A72" s="878">
        <v>12</v>
      </c>
      <c r="B72" s="3325"/>
      <c r="C72" s="814" t="s">
        <v>637</v>
      </c>
      <c r="D72" s="814" t="s">
        <v>638</v>
      </c>
      <c r="E72" s="891">
        <v>0.5</v>
      </c>
      <c r="F72" s="878">
        <v>80</v>
      </c>
    </row>
    <row r="73" spans="1:6" s="874" customFormat="1" ht="24">
      <c r="A73" s="878">
        <v>13</v>
      </c>
      <c r="B73" s="3325"/>
      <c r="C73" s="814" t="s">
        <v>639</v>
      </c>
      <c r="D73" s="814" t="s">
        <v>640</v>
      </c>
      <c r="E73" s="891">
        <v>0.4</v>
      </c>
      <c r="F73" s="878">
        <v>60</v>
      </c>
    </row>
    <row r="74" spans="1:6" s="874" customFormat="1" ht="24">
      <c r="A74" s="878">
        <v>14</v>
      </c>
      <c r="B74" s="3325"/>
      <c r="C74" s="814" t="s">
        <v>641</v>
      </c>
      <c r="D74" s="814" t="s">
        <v>642</v>
      </c>
      <c r="E74" s="891">
        <v>0.2</v>
      </c>
      <c r="F74" s="878">
        <v>30</v>
      </c>
    </row>
    <row r="75" spans="1:6" s="874" customFormat="1" ht="24">
      <c r="A75" s="878">
        <v>15</v>
      </c>
      <c r="B75" s="3325"/>
      <c r="C75" s="814" t="s">
        <v>643</v>
      </c>
      <c r="D75" s="814" t="s">
        <v>644</v>
      </c>
      <c r="E75" s="891">
        <v>0.2</v>
      </c>
      <c r="F75" s="878">
        <v>30</v>
      </c>
    </row>
    <row r="76" spans="1:6" s="874" customFormat="1" ht="24">
      <c r="A76" s="878">
        <v>16</v>
      </c>
      <c r="B76" s="3325" t="s">
        <v>645</v>
      </c>
      <c r="C76" s="814" t="s">
        <v>646</v>
      </c>
      <c r="D76" s="814" t="s">
        <v>647</v>
      </c>
      <c r="E76" s="891">
        <v>0.5</v>
      </c>
      <c r="F76" s="878">
        <v>80</v>
      </c>
    </row>
    <row r="77" spans="1:6" s="874" customFormat="1" ht="24">
      <c r="A77" s="878">
        <v>17</v>
      </c>
      <c r="B77" s="3325"/>
      <c r="C77" s="814" t="s">
        <v>648</v>
      </c>
      <c r="D77" s="814" t="s">
        <v>649</v>
      </c>
      <c r="E77" s="891">
        <v>0.5</v>
      </c>
      <c r="F77" s="878">
        <v>80</v>
      </c>
    </row>
    <row r="78" spans="1:6" s="874" customFormat="1" ht="24">
      <c r="A78" s="878">
        <v>18</v>
      </c>
      <c r="B78" s="3325"/>
      <c r="C78" s="814" t="s">
        <v>650</v>
      </c>
      <c r="D78" s="814" t="s">
        <v>651</v>
      </c>
      <c r="E78" s="891">
        <v>0.2</v>
      </c>
      <c r="F78" s="878">
        <v>30</v>
      </c>
    </row>
    <row r="79" spans="1:6" s="874" customFormat="1" ht="24">
      <c r="A79" s="878">
        <v>19</v>
      </c>
      <c r="B79" s="3325"/>
      <c r="C79" s="814" t="s">
        <v>652</v>
      </c>
      <c r="D79" s="814" t="s">
        <v>653</v>
      </c>
      <c r="E79" s="891">
        <v>0.5</v>
      </c>
      <c r="F79" s="878">
        <v>80</v>
      </c>
    </row>
    <row r="80" spans="1:6" s="874" customFormat="1" ht="36">
      <c r="A80" s="878">
        <v>20</v>
      </c>
      <c r="B80" s="3325"/>
      <c r="C80" s="814" t="s">
        <v>654</v>
      </c>
      <c r="D80" s="814" t="s">
        <v>655</v>
      </c>
      <c r="E80" s="891">
        <v>0.2</v>
      </c>
      <c r="F80" s="878">
        <v>30</v>
      </c>
    </row>
    <row r="81" spans="1:6" s="874" customFormat="1" ht="36">
      <c r="A81" s="878">
        <v>21</v>
      </c>
      <c r="B81" s="3325"/>
      <c r="C81" s="814" t="s">
        <v>656</v>
      </c>
      <c r="D81" s="814" t="s">
        <v>657</v>
      </c>
      <c r="E81" s="891">
        <v>0.2</v>
      </c>
      <c r="F81" s="878">
        <v>30</v>
      </c>
    </row>
    <row r="82" spans="1:6" s="874" customFormat="1" ht="48">
      <c r="A82" s="878">
        <v>22</v>
      </c>
      <c r="B82" s="3325"/>
      <c r="C82" s="814" t="s">
        <v>658</v>
      </c>
      <c r="D82" s="814" t="s">
        <v>659</v>
      </c>
      <c r="E82" s="891">
        <v>0.2</v>
      </c>
      <c r="F82" s="878">
        <v>30</v>
      </c>
    </row>
    <row r="83" spans="1:6" s="874" customFormat="1" ht="48">
      <c r="A83" s="878">
        <v>23</v>
      </c>
      <c r="B83" s="3325"/>
      <c r="C83" s="814" t="s">
        <v>660</v>
      </c>
      <c r="D83" s="814" t="s">
        <v>661</v>
      </c>
      <c r="E83" s="891">
        <v>0.2</v>
      </c>
      <c r="F83" s="878">
        <v>30</v>
      </c>
    </row>
    <row r="84" spans="1:6" s="874" customFormat="1" ht="36">
      <c r="A84" s="878">
        <v>24</v>
      </c>
      <c r="B84" s="3325"/>
      <c r="C84" s="814" t="s">
        <v>662</v>
      </c>
      <c r="D84" s="814" t="s">
        <v>663</v>
      </c>
      <c r="E84" s="891">
        <v>0.2</v>
      </c>
      <c r="F84" s="878">
        <v>30</v>
      </c>
    </row>
    <row r="85" spans="1:6" s="874" customFormat="1" ht="36">
      <c r="A85" s="878">
        <v>25</v>
      </c>
      <c r="B85" s="3325"/>
      <c r="C85" s="814" t="s">
        <v>664</v>
      </c>
      <c r="D85" s="814" t="s">
        <v>665</v>
      </c>
      <c r="E85" s="891">
        <v>0.5</v>
      </c>
      <c r="F85" s="878">
        <v>80</v>
      </c>
    </row>
    <row r="86" spans="1:6" s="874" customFormat="1" ht="36">
      <c r="A86" s="878">
        <v>26</v>
      </c>
      <c r="B86" s="3325"/>
      <c r="C86" s="814" t="s">
        <v>666</v>
      </c>
      <c r="D86" s="814" t="s">
        <v>667</v>
      </c>
      <c r="E86" s="891">
        <v>0.2</v>
      </c>
      <c r="F86" s="878">
        <v>30</v>
      </c>
    </row>
    <row r="87" spans="1:6" s="874" customFormat="1" ht="36">
      <c r="A87" s="878">
        <v>27</v>
      </c>
      <c r="B87" s="3325"/>
      <c r="C87" s="814" t="s">
        <v>668</v>
      </c>
      <c r="D87" s="814" t="s">
        <v>669</v>
      </c>
      <c r="E87" s="891">
        <v>0.2</v>
      </c>
      <c r="F87" s="878">
        <v>30</v>
      </c>
    </row>
    <row r="88" spans="1:6" s="874" customFormat="1" ht="36">
      <c r="A88" s="878">
        <v>28</v>
      </c>
      <c r="B88" s="3325"/>
      <c r="C88" s="814" t="s">
        <v>670</v>
      </c>
      <c r="D88" s="814" t="s">
        <v>671</v>
      </c>
      <c r="E88" s="891">
        <v>0.2</v>
      </c>
      <c r="F88" s="878">
        <v>30</v>
      </c>
    </row>
    <row r="89" spans="1:6" s="874" customFormat="1" ht="24">
      <c r="A89" s="878">
        <v>29</v>
      </c>
      <c r="B89" s="3325"/>
      <c r="C89" s="814" t="s">
        <v>672</v>
      </c>
      <c r="D89" s="814" t="s">
        <v>673</v>
      </c>
      <c r="E89" s="891">
        <v>0.2</v>
      </c>
      <c r="F89" s="878">
        <v>30</v>
      </c>
    </row>
    <row r="90" spans="1:6" s="874" customFormat="1" ht="24">
      <c r="A90" s="878">
        <v>30</v>
      </c>
      <c r="B90" s="3325"/>
      <c r="C90" s="814" t="s">
        <v>674</v>
      </c>
      <c r="D90" s="814" t="s">
        <v>675</v>
      </c>
      <c r="E90" s="891">
        <v>0.2</v>
      </c>
      <c r="F90" s="878">
        <v>30</v>
      </c>
    </row>
    <row r="91" spans="1:6" s="874" customFormat="1" ht="36">
      <c r="A91" s="878">
        <v>31</v>
      </c>
      <c r="B91" s="3325"/>
      <c r="C91" s="814" t="s">
        <v>676</v>
      </c>
      <c r="D91" s="814" t="s">
        <v>677</v>
      </c>
      <c r="E91" s="891">
        <v>0.2</v>
      </c>
      <c r="F91" s="878">
        <v>30</v>
      </c>
    </row>
    <row r="92" spans="1:6" s="874" customFormat="1" ht="24">
      <c r="A92" s="878">
        <v>32</v>
      </c>
      <c r="B92" s="3325" t="s">
        <v>678</v>
      </c>
      <c r="C92" s="878" t="s">
        <v>679</v>
      </c>
      <c r="D92" s="814" t="s">
        <v>680</v>
      </c>
      <c r="E92" s="891">
        <v>0.2</v>
      </c>
      <c r="F92" s="878">
        <v>30</v>
      </c>
    </row>
    <row r="93" spans="1:6" s="874" customFormat="1" ht="36">
      <c r="A93" s="878">
        <v>33</v>
      </c>
      <c r="B93" s="3325"/>
      <c r="C93" s="878" t="s">
        <v>681</v>
      </c>
      <c r="D93" s="814" t="s">
        <v>682</v>
      </c>
      <c r="E93" s="891">
        <v>0.2</v>
      </c>
      <c r="F93" s="878">
        <v>30</v>
      </c>
    </row>
    <row r="94" spans="1:6" s="874" customFormat="1" ht="48">
      <c r="A94" s="878">
        <v>34</v>
      </c>
      <c r="B94" s="3325"/>
      <c r="C94" s="878" t="s">
        <v>683</v>
      </c>
      <c r="D94" s="814" t="s">
        <v>684</v>
      </c>
      <c r="E94" s="891">
        <v>0.2</v>
      </c>
      <c r="F94" s="878">
        <v>30</v>
      </c>
    </row>
    <row r="95" spans="1:6" s="874" customFormat="1" ht="36">
      <c r="A95" s="878">
        <v>35</v>
      </c>
      <c r="B95" s="3325"/>
      <c r="C95" s="878" t="s">
        <v>685</v>
      </c>
      <c r="D95" s="814" t="s">
        <v>686</v>
      </c>
      <c r="E95" s="891">
        <v>0.2</v>
      </c>
      <c r="F95" s="878">
        <v>30</v>
      </c>
    </row>
    <row r="96" spans="1:6" s="874" customFormat="1" ht="48">
      <c r="A96" s="878">
        <v>36</v>
      </c>
      <c r="B96" s="3325"/>
      <c r="C96" s="814" t="s">
        <v>687</v>
      </c>
      <c r="D96" s="814" t="s">
        <v>688</v>
      </c>
      <c r="E96" s="891">
        <v>0.2</v>
      </c>
      <c r="F96" s="878">
        <v>30</v>
      </c>
    </row>
    <row r="97" spans="1:6" s="874" customFormat="1" ht="36">
      <c r="A97" s="878">
        <v>37</v>
      </c>
      <c r="B97" s="3325"/>
      <c r="C97" s="878" t="s">
        <v>689</v>
      </c>
      <c r="D97" s="814" t="s">
        <v>690</v>
      </c>
      <c r="E97" s="891">
        <v>0.2</v>
      </c>
      <c r="F97" s="878">
        <v>30</v>
      </c>
    </row>
    <row r="98" spans="1:6" s="874" customFormat="1" ht="36">
      <c r="A98" s="878">
        <v>38</v>
      </c>
      <c r="B98" s="3325"/>
      <c r="C98" s="878" t="s">
        <v>691</v>
      </c>
      <c r="D98" s="814" t="s">
        <v>692</v>
      </c>
      <c r="E98" s="891">
        <v>0.2</v>
      </c>
      <c r="F98" s="878">
        <v>30</v>
      </c>
    </row>
    <row r="99" spans="1:6" s="874" customFormat="1" ht="36">
      <c r="A99" s="878">
        <v>39</v>
      </c>
      <c r="B99" s="3325" t="s">
        <v>693</v>
      </c>
      <c r="C99" s="878" t="s">
        <v>694</v>
      </c>
      <c r="D99" s="814" t="s">
        <v>695</v>
      </c>
      <c r="E99" s="891">
        <v>0.3</v>
      </c>
      <c r="F99" s="878">
        <v>50</v>
      </c>
    </row>
    <row r="100" spans="1:6" s="874" customFormat="1" ht="24">
      <c r="A100" s="878">
        <v>40</v>
      </c>
      <c r="B100" s="3325"/>
      <c r="C100" s="878" t="s">
        <v>696</v>
      </c>
      <c r="D100" s="814" t="s">
        <v>697</v>
      </c>
      <c r="E100" s="891">
        <v>0.2</v>
      </c>
      <c r="F100" s="878">
        <v>30</v>
      </c>
    </row>
    <row r="101" spans="1:6" s="874" customFormat="1" ht="36">
      <c r="A101" s="878">
        <v>41</v>
      </c>
      <c r="B101" s="3325"/>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25" t="s">
        <v>708</v>
      </c>
      <c r="C105" s="878" t="s">
        <v>709</v>
      </c>
      <c r="D105" s="814" t="s">
        <v>710</v>
      </c>
      <c r="E105" s="891">
        <v>0.2</v>
      </c>
      <c r="F105" s="878">
        <v>30</v>
      </c>
    </row>
    <row r="106" spans="1:6" s="874" customFormat="1" ht="36">
      <c r="A106" s="878">
        <v>46</v>
      </c>
      <c r="B106" s="3325"/>
      <c r="C106" s="878" t="s">
        <v>711</v>
      </c>
      <c r="D106" s="814" t="s">
        <v>712</v>
      </c>
      <c r="E106" s="891">
        <v>0.2</v>
      </c>
      <c r="F106" s="878">
        <v>30</v>
      </c>
    </row>
    <row r="107" spans="1:6" s="874" customFormat="1" ht="36">
      <c r="A107" s="878">
        <v>47</v>
      </c>
      <c r="B107" s="3325" t="s">
        <v>713</v>
      </c>
      <c r="C107" s="878" t="s">
        <v>714</v>
      </c>
      <c r="D107" s="814" t="s">
        <v>715</v>
      </c>
      <c r="E107" s="891">
        <v>0.3</v>
      </c>
      <c r="F107" s="878">
        <v>50</v>
      </c>
    </row>
    <row r="108" spans="1:6" s="874" customFormat="1" ht="36">
      <c r="A108" s="878">
        <v>48</v>
      </c>
      <c r="B108" s="3325"/>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25" t="s">
        <v>724</v>
      </c>
      <c r="C111" s="878" t="s">
        <v>725</v>
      </c>
      <c r="D111" s="814" t="s">
        <v>726</v>
      </c>
      <c r="E111" s="891">
        <v>0.2</v>
      </c>
      <c r="F111" s="878">
        <v>30</v>
      </c>
    </row>
    <row r="112" spans="1:6" s="874" customFormat="1" ht="24">
      <c r="A112" s="878">
        <v>52</v>
      </c>
      <c r="B112" s="3325"/>
      <c r="C112" s="878" t="s">
        <v>727</v>
      </c>
      <c r="D112" s="814" t="s">
        <v>728</v>
      </c>
      <c r="E112" s="891">
        <v>0.2</v>
      </c>
      <c r="F112" s="878">
        <v>30</v>
      </c>
    </row>
    <row r="113" spans="1:6" s="874" customFormat="1" ht="24">
      <c r="A113" s="878">
        <v>53</v>
      </c>
      <c r="B113" s="3325"/>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25" t="s">
        <v>737</v>
      </c>
      <c r="C116" s="878" t="s">
        <v>738</v>
      </c>
      <c r="D116" s="814" t="s">
        <v>739</v>
      </c>
      <c r="E116" s="891">
        <v>0.2</v>
      </c>
      <c r="F116" s="878">
        <v>30</v>
      </c>
    </row>
    <row r="117" spans="1:6" ht="36">
      <c r="A117" s="878">
        <v>57</v>
      </c>
      <c r="B117" s="3325"/>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6" t="s">
        <v>2950</v>
      </c>
    </row>
    <row r="2" spans="1:5" ht="15.75">
      <c r="A2" s="2904" t="s">
        <v>2942</v>
      </c>
      <c r="B2" s="2905" t="e">
        <f ca="1">SUMIF(B6:B13,"&lt;&gt;#ref!",B6:B13)</f>
        <v>#DIV/0!</v>
      </c>
      <c r="C2" s="2904" t="s">
        <v>2943</v>
      </c>
      <c r="D2" s="2904" t="s">
        <v>2944</v>
      </c>
      <c r="E2" s="2905">
        <f ca="1">SUMIF(E6:E13,"&lt;&gt;#ref!",E6:E13)</f>
        <v>0</v>
      </c>
    </row>
    <row r="3" spans="1:5" ht="15.75">
      <c r="A3" s="2904" t="s">
        <v>2945</v>
      </c>
      <c r="B3" s="2905" t="e">
        <f ca="1">ROUND(B2*10000/E2,0)</f>
        <v>#DIV/0!</v>
      </c>
      <c r="C3" s="2904" t="s">
        <v>2951</v>
      </c>
      <c r="D3" s="2906"/>
      <c r="E3" s="2906"/>
    </row>
    <row r="4" spans="1:5" ht="15.75">
      <c r="A4" s="2907"/>
      <c r="B4" s="2906"/>
      <c r="C4" s="2906"/>
      <c r="D4" s="2906"/>
      <c r="E4" s="2906"/>
    </row>
    <row r="5" spans="1:5" ht="28.5">
      <c r="A5" s="2908" t="s">
        <v>2946</v>
      </c>
      <c r="B5" s="2904" t="s">
        <v>2947</v>
      </c>
      <c r="C5" s="2905"/>
      <c r="D5" s="2906"/>
      <c r="E5" s="2904" t="s">
        <v>2948</v>
      </c>
    </row>
    <row r="6" spans="1:5" ht="15.75">
      <c r="A6" s="2909" t="s">
        <v>2949</v>
      </c>
      <c r="B6" s="2905" t="e">
        <f ca="1">SUMIF(INDIRECT("'"&amp;A6&amp;"'"&amp;"!A:A"),"总价",INDIRECT("'"&amp;A6&amp;"'"&amp;"!B:B"))</f>
        <v>#DIV/0!</v>
      </c>
      <c r="C6" s="2904" t="s">
        <v>2943</v>
      </c>
      <c r="D6" s="2906"/>
      <c r="E6" s="2570">
        <f ca="1">SUMIF(INDIRECT("'"&amp;A6&amp;"'"&amp;"!C:C"),"建筑面积",INDIRECT("'"&amp;A6&amp;"'"&amp;"!D:D"))</f>
        <v>0</v>
      </c>
    </row>
    <row r="7" spans="1:5" ht="15.75">
      <c r="A7" s="2909"/>
      <c r="B7" s="2905" t="e">
        <f ca="1">SUMIF(INDIRECT("'"&amp;A7&amp;"'"&amp;"!A:A"),"总价",INDIRECT("'"&amp;A7&amp;"'"&amp;"!B:B"))</f>
        <v>#REF!</v>
      </c>
      <c r="C7" s="2904" t="s">
        <v>2943</v>
      </c>
      <c r="D7" s="2906"/>
      <c r="E7" s="2570" t="e">
        <f t="shared" ref="E7:E13" ca="1" si="0">SUMIF(INDIRECT("'"&amp;A7&amp;"'"&amp;"!C:C"),"建筑面积",INDIRECT("'"&amp;A7&amp;"'"&amp;"!D:D"))</f>
        <v>#REF!</v>
      </c>
    </row>
    <row r="8" spans="1:5" ht="15.75">
      <c r="A8" s="2909"/>
      <c r="B8" s="2905" t="e">
        <f t="shared" ref="B8:B13" ca="1" si="1">SUMIF(INDIRECT("'"&amp;A8&amp;"'"&amp;"!A:A"),"总价",INDIRECT("'"&amp;A8&amp;"'"&amp;"!B:B"))</f>
        <v>#REF!</v>
      </c>
      <c r="C8" s="2904" t="s">
        <v>2943</v>
      </c>
      <c r="D8" s="2906"/>
      <c r="E8" s="2570" t="e">
        <f t="shared" ca="1" si="0"/>
        <v>#REF!</v>
      </c>
    </row>
    <row r="9" spans="1:5" ht="15.75">
      <c r="A9" s="2909"/>
      <c r="B9" s="2905" t="e">
        <f t="shared" ca="1" si="1"/>
        <v>#REF!</v>
      </c>
      <c r="C9" s="2904" t="s">
        <v>2943</v>
      </c>
      <c r="D9" s="2906"/>
      <c r="E9" s="2570" t="e">
        <f t="shared" ca="1" si="0"/>
        <v>#REF!</v>
      </c>
    </row>
    <row r="10" spans="1:5" ht="15.75">
      <c r="A10" s="2909"/>
      <c r="B10" s="2905" t="e">
        <f t="shared" ca="1" si="1"/>
        <v>#REF!</v>
      </c>
      <c r="C10" s="2904" t="s">
        <v>2943</v>
      </c>
      <c r="D10" s="2906"/>
      <c r="E10" s="2570" t="e">
        <f t="shared" ca="1" si="0"/>
        <v>#REF!</v>
      </c>
    </row>
    <row r="11" spans="1:5" ht="15.75">
      <c r="A11" s="2909"/>
      <c r="B11" s="2905" t="e">
        <f t="shared" ca="1" si="1"/>
        <v>#REF!</v>
      </c>
      <c r="C11" s="2904" t="s">
        <v>2943</v>
      </c>
      <c r="D11" s="2906"/>
      <c r="E11" s="2570" t="e">
        <f t="shared" ca="1" si="0"/>
        <v>#REF!</v>
      </c>
    </row>
    <row r="12" spans="1:5" ht="15.75">
      <c r="A12" s="2909"/>
      <c r="B12" s="2905" t="e">
        <f t="shared" ca="1" si="1"/>
        <v>#REF!</v>
      </c>
      <c r="C12" s="2904" t="s">
        <v>2943</v>
      </c>
      <c r="D12" s="2906"/>
      <c r="E12" s="2570" t="e">
        <f t="shared" ca="1" si="0"/>
        <v>#REF!</v>
      </c>
    </row>
    <row r="13" spans="1:5" ht="15.75">
      <c r="A13" s="2909"/>
      <c r="B13" s="2905" t="e">
        <f t="shared" ca="1" si="1"/>
        <v>#REF!</v>
      </c>
      <c r="C13" s="2904" t="s">
        <v>2943</v>
      </c>
      <c r="D13" s="2906"/>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38" sqref="C38"/>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1" t="s">
        <v>1142</v>
      </c>
      <c r="C1" s="3331"/>
      <c r="D1" s="3331"/>
      <c r="E1" s="3331"/>
      <c r="F1" s="3331"/>
      <c r="G1" s="3327" t="s">
        <v>1143</v>
      </c>
      <c r="H1" s="3327"/>
      <c r="I1" s="3327"/>
      <c r="J1" s="3327"/>
      <c r="K1" s="3327"/>
      <c r="L1" s="3327"/>
      <c r="N1" s="3327" t="s">
        <v>1144</v>
      </c>
      <c r="O1" s="3327"/>
      <c r="P1" s="3327"/>
      <c r="Q1" s="3327"/>
      <c r="R1" s="1445"/>
      <c r="S1" s="3327" t="s">
        <v>1145</v>
      </c>
      <c r="T1" s="3327"/>
      <c r="U1" s="3327"/>
      <c r="V1" s="3327"/>
      <c r="X1" s="3326" t="s">
        <v>1146</v>
      </c>
      <c r="Y1" s="3327"/>
      <c r="Z1" s="3327"/>
      <c r="AA1" s="3327"/>
      <c r="AB1" s="3327"/>
      <c r="AD1" s="3326" t="s">
        <v>1147</v>
      </c>
      <c r="AE1" s="3327"/>
      <c r="AF1" s="3327"/>
      <c r="AG1" s="3327"/>
      <c r="AH1" s="3327"/>
    </row>
    <row r="2" spans="1:34" s="1446" customFormat="1" ht="14.25" thickBot="1">
      <c r="B2" s="1447" t="s">
        <v>1148</v>
      </c>
      <c r="C2" s="1447" t="s">
        <v>1149</v>
      </c>
      <c r="D2" s="1448" t="s">
        <v>1150</v>
      </c>
      <c r="E2" s="1448" t="s">
        <v>1151</v>
      </c>
      <c r="F2" s="1447" t="s">
        <v>1152</v>
      </c>
      <c r="G2" s="1449"/>
      <c r="H2" s="1450"/>
      <c r="I2" s="1447" t="s">
        <v>1148</v>
      </c>
      <c r="J2" s="1448" t="s">
        <v>1377</v>
      </c>
      <c r="K2" s="1448" t="s">
        <v>751</v>
      </c>
      <c r="L2" s="1447" t="s">
        <v>1152</v>
      </c>
      <c r="N2" s="1447" t="s">
        <v>1148</v>
      </c>
      <c r="O2" s="1448" t="s">
        <v>1377</v>
      </c>
      <c r="P2" s="1448" t="s">
        <v>751</v>
      </c>
      <c r="Q2" s="1447" t="s">
        <v>1152</v>
      </c>
      <c r="R2" s="1451"/>
      <c r="S2" s="1447" t="s">
        <v>1148</v>
      </c>
      <c r="T2" s="1448" t="s">
        <v>1377</v>
      </c>
      <c r="U2" s="1448" t="s">
        <v>751</v>
      </c>
      <c r="V2" s="1447" t="s">
        <v>1152</v>
      </c>
      <c r="X2" s="1447" t="s">
        <v>1148</v>
      </c>
      <c r="Y2" s="1447" t="s">
        <v>1149</v>
      </c>
      <c r="Z2" s="1448" t="s">
        <v>1150</v>
      </c>
      <c r="AA2" s="1448" t="s">
        <v>1151</v>
      </c>
      <c r="AB2" s="1447" t="s">
        <v>1152</v>
      </c>
      <c r="AD2" s="1447" t="s">
        <v>1148</v>
      </c>
      <c r="AE2" s="1447" t="s">
        <v>1149</v>
      </c>
      <c r="AF2" s="1448" t="s">
        <v>1150</v>
      </c>
      <c r="AG2" s="1448" t="s">
        <v>1151</v>
      </c>
      <c r="AH2" s="1447" t="s">
        <v>1152</v>
      </c>
    </row>
    <row r="3" spans="1:34" s="2923" customFormat="1" ht="14.25">
      <c r="A3" s="2932" t="s">
        <v>2985</v>
      </c>
      <c r="B3" s="2924"/>
      <c r="C3" s="2924"/>
      <c r="D3" s="2925"/>
      <c r="E3" s="2925"/>
      <c r="F3" s="2924"/>
      <c r="G3" s="2926"/>
      <c r="H3" s="2927"/>
      <c r="I3" s="2928">
        <f>ROUND(AVERAGE($I4:$I24),2)</f>
        <v>2.19</v>
      </c>
      <c r="J3" s="2928">
        <f>ROUND(AVERAGE($J4:$J24),2)</f>
        <v>1.53</v>
      </c>
      <c r="K3" s="2928">
        <f>ROUND(AVERAGE($K4:$K24),2)</f>
        <v>2.41</v>
      </c>
      <c r="L3" s="2928">
        <f>ROUND(AVERAGE($L4:$L24),2)</f>
        <v>1.42</v>
      </c>
      <c r="N3" s="2926"/>
      <c r="O3" s="2929"/>
      <c r="P3" s="2929"/>
      <c r="Q3" s="2929"/>
      <c r="R3" s="2929"/>
      <c r="S3" s="2926"/>
      <c r="T3" s="2929"/>
      <c r="U3" s="2929"/>
      <c r="V3" s="2929"/>
      <c r="W3" s="2921"/>
      <c r="X3" s="2930">
        <f>ROUND(SUMPRODUCT(PRODUCT(1+N3:N$23)),4)</f>
        <v>1.4956</v>
      </c>
      <c r="Y3" s="2930">
        <f>ROUND(SUMPRODUCT(PRODUCT(1+O3:O$23)),4)</f>
        <v>1.3237000000000001</v>
      </c>
      <c r="Z3" s="2930">
        <f t="shared" ref="Z3:Z21" si="0">Y3</f>
        <v>1.3237000000000001</v>
      </c>
      <c r="AA3" s="2930">
        <f>ROUND(SUMPRODUCT(PRODUCT(1+P3:P$23)),4)</f>
        <v>1.554</v>
      </c>
      <c r="AB3" s="2930">
        <f>ROUND(SUMPRODUCT(PRODUCT(1+Q3:Q$23)),4)</f>
        <v>1.3087</v>
      </c>
      <c r="AD3" s="2931">
        <f>ROUND(AVERAGE(I3:I$24)/100,4)</f>
        <v>2.1899999999999999E-2</v>
      </c>
      <c r="AE3" s="2931">
        <f>ROUND(AVERAGE(J3:J$24)/100,4)</f>
        <v>1.5299999999999999E-2</v>
      </c>
      <c r="AF3" s="2931">
        <f t="shared" ref="AF3:AF22" si="1">AE3</f>
        <v>1.5299999999999999E-2</v>
      </c>
      <c r="AG3" s="2931">
        <f>ROUND(AVERAGE(K3:K$24)/100,4)</f>
        <v>2.41E-2</v>
      </c>
      <c r="AH3" s="2931">
        <f>ROUND(AVERAGE(L3:L$24)/100,4)</f>
        <v>1.4200000000000001E-2</v>
      </c>
    </row>
    <row r="4" spans="1:34" s="1452" customFormat="1" ht="14.25">
      <c r="B4" s="1453"/>
      <c r="C4" s="1453"/>
      <c r="D4" s="1454"/>
      <c r="E4" s="1454"/>
      <c r="F4" s="1453"/>
      <c r="G4" s="1455"/>
      <c r="H4" s="1456"/>
      <c r="I4" s="2917"/>
      <c r="J4" s="2917"/>
      <c r="K4" s="2917"/>
      <c r="L4" s="2917"/>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2992</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35">
        <v>2018</v>
      </c>
      <c r="H5" s="1728">
        <v>4</v>
      </c>
      <c r="I5" s="2918">
        <v>0</v>
      </c>
      <c r="J5" s="2918">
        <v>0</v>
      </c>
      <c r="K5" s="2918">
        <v>0</v>
      </c>
      <c r="L5" s="2918">
        <v>0</v>
      </c>
      <c r="N5" s="1466">
        <f>I5/100</f>
        <v>0</v>
      </c>
      <c r="O5" s="1466">
        <f t="shared" ref="O5" si="7">J5/100</f>
        <v>0</v>
      </c>
      <c r="P5" s="1466">
        <f t="shared" ref="P5" si="8">K5/100</f>
        <v>0</v>
      </c>
      <c r="Q5" s="1466">
        <f t="shared" ref="Q5" si="9">L5/100</f>
        <v>0</v>
      </c>
      <c r="R5" s="1730"/>
      <c r="S5" s="1731"/>
      <c r="T5" s="1730"/>
      <c r="U5" s="1730"/>
      <c r="V5" s="1730"/>
      <c r="W5" s="2922" t="s">
        <v>2986</v>
      </c>
      <c r="X5" s="1724">
        <f>ROUND(SUMPRODUCT(PRODUCT(1+N5:N$23)),4)</f>
        <v>1.4956</v>
      </c>
      <c r="Y5" s="1724">
        <f>ROUND(SUMPRODUCT(PRODUCT(1+O5:O$23)),4)</f>
        <v>1.3237000000000001</v>
      </c>
      <c r="Z5" s="1724">
        <f t="shared" ref="Z5" si="10">Y5</f>
        <v>1.3237000000000001</v>
      </c>
      <c r="AA5" s="1724">
        <f>ROUND(SUMPRODUCT(PRODUCT(1+P5:P$23)),4)</f>
        <v>1.554</v>
      </c>
      <c r="AB5" s="1724">
        <f>ROUND(SUMPRODUCT(PRODUCT(1+Q5:Q$23)),4)</f>
        <v>1.3087</v>
      </c>
      <c r="AD5" s="1467">
        <f>ROUND(AVERAGE(I5:I$24)/100,4)</f>
        <v>2.1899999999999999E-2</v>
      </c>
      <c r="AE5" s="1467">
        <f>ROUND(AVERAGE(J5:J$24)/100,4)</f>
        <v>1.5299999999999999E-2</v>
      </c>
      <c r="AF5" s="1467">
        <f t="shared" ref="AF5" si="11">AE5</f>
        <v>1.5299999999999999E-2</v>
      </c>
      <c r="AG5" s="1467">
        <f>ROUND(AVERAGE(K5:K$24)/100,4)</f>
        <v>2.41E-2</v>
      </c>
      <c r="AH5" s="1467">
        <f>ROUND(AVERAGE(L5:L$24)/100,4)</f>
        <v>1.4200000000000001E-2</v>
      </c>
    </row>
    <row r="6" spans="1:34" s="1465" customFormat="1" ht="13.5" thickBot="1">
      <c r="A6" s="1460" t="s">
        <v>2993</v>
      </c>
      <c r="B6" s="1476">
        <f t="shared" ref="B6" si="12">B7*(1+N6)</f>
        <v>459.95733971036987</v>
      </c>
      <c r="C6" s="1476">
        <f t="shared" ref="C6" si="13">C7*(1+O6)</f>
        <v>341.22221064422405</v>
      </c>
      <c r="D6" s="1476">
        <f t="shared" ref="D6" si="14">C6</f>
        <v>341.22221064422405</v>
      </c>
      <c r="E6" s="1476">
        <f t="shared" ref="E6" si="15">E7*(1+P6)</f>
        <v>657.19161663724799</v>
      </c>
      <c r="F6" s="1476">
        <f t="shared" ref="F6" si="16">F7*(1+Q6)</f>
        <v>300.87803644464805</v>
      </c>
      <c r="G6" s="2933"/>
      <c r="H6" s="1463">
        <v>3</v>
      </c>
      <c r="I6" s="1463">
        <v>1.51</v>
      </c>
      <c r="J6" s="1463">
        <v>1.41</v>
      </c>
      <c r="K6" s="1463">
        <v>1.52</v>
      </c>
      <c r="L6" s="1477">
        <v>1.74</v>
      </c>
      <c r="M6" s="1470"/>
      <c r="N6" s="1471">
        <f>I6/100</f>
        <v>1.5100000000000001E-2</v>
      </c>
      <c r="O6" s="1472">
        <f t="shared" ref="O6" si="17">J6/100</f>
        <v>1.41E-2</v>
      </c>
      <c r="P6" s="1472">
        <f t="shared" ref="P6" si="18">K6/100</f>
        <v>1.52E-2</v>
      </c>
      <c r="Q6" s="1472">
        <f t="shared" ref="Q6" si="19">L6/100</f>
        <v>1.7399999999999999E-2</v>
      </c>
      <c r="R6" s="1473"/>
      <c r="S6" s="1471"/>
      <c r="T6" s="1472"/>
      <c r="U6" s="1472"/>
      <c r="V6" s="1472"/>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5" customFormat="1" ht="13.5" thickBot="1">
      <c r="A7" s="1460" t="s">
        <v>2991</v>
      </c>
      <c r="B7" s="1476">
        <f t="shared" ref="B7" si="22">B8*(1+N7)</f>
        <v>453.11529869999993</v>
      </c>
      <c r="C7" s="1476">
        <f t="shared" ref="C7" si="23">C8*(1+O7)</f>
        <v>336.47787264000004</v>
      </c>
      <c r="D7" s="1476">
        <f t="shared" ref="D7" si="24">C7</f>
        <v>336.47787264000004</v>
      </c>
      <c r="E7" s="1476">
        <f t="shared" ref="E7" si="25">E8*(1+P7)</f>
        <v>647.35186823999993</v>
      </c>
      <c r="F7" s="1476">
        <f t="shared" ref="F7" si="26">F8*(1+Q7)</f>
        <v>295.73229452000004</v>
      </c>
      <c r="G7" s="2933"/>
      <c r="H7" s="1463">
        <v>2</v>
      </c>
      <c r="I7" s="1463">
        <v>1.49</v>
      </c>
      <c r="J7" s="1463">
        <v>0.96</v>
      </c>
      <c r="K7" s="1463">
        <v>1.58</v>
      </c>
      <c r="L7" s="1477">
        <v>2.44</v>
      </c>
      <c r="M7" s="1470"/>
      <c r="N7" s="1471">
        <f t="shared" ref="N7" si="27">I7/100</f>
        <v>1.49E-2</v>
      </c>
      <c r="O7" s="1472">
        <f t="shared" ref="O7" si="28">J7/100</f>
        <v>9.5999999999999992E-3</v>
      </c>
      <c r="P7" s="1472">
        <f t="shared" ref="P7" si="29">K7/100</f>
        <v>1.5800000000000002E-2</v>
      </c>
      <c r="Q7" s="1472">
        <f t="shared" ref="Q7" si="30">L7/100</f>
        <v>2.4399999999999998E-2</v>
      </c>
      <c r="R7" s="1473"/>
      <c r="S7" s="1471"/>
      <c r="T7" s="1472"/>
      <c r="U7" s="1472"/>
      <c r="V7" s="1472"/>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5" customFormat="1" ht="13.5" thickBot="1">
      <c r="A8" s="1460" t="s">
        <v>2984</v>
      </c>
      <c r="B8" s="1476">
        <f t="shared" ref="B8" si="33">B9*(1+N8)</f>
        <v>446.46299999999997</v>
      </c>
      <c r="C8" s="1476">
        <f t="shared" ref="C8" si="34">C9*(1+O8)</f>
        <v>333.27840000000003</v>
      </c>
      <c r="D8" s="1476">
        <f t="shared" ref="D8" si="35">C8</f>
        <v>333.27840000000003</v>
      </c>
      <c r="E8" s="1476">
        <f t="shared" ref="E8" si="36">E9*(1+P8)</f>
        <v>637.28279999999995</v>
      </c>
      <c r="F8" s="1476">
        <f t="shared" ref="F8" si="37">F9*(1+Q8)</f>
        <v>288.68830000000003</v>
      </c>
      <c r="G8" s="2933"/>
      <c r="H8" s="1463">
        <v>1</v>
      </c>
      <c r="I8" s="1463">
        <v>1.7</v>
      </c>
      <c r="J8" s="1463">
        <v>1.92</v>
      </c>
      <c r="K8" s="1463">
        <v>1.64</v>
      </c>
      <c r="L8" s="1477">
        <v>2.0099999999999998</v>
      </c>
      <c r="M8" s="1470"/>
      <c r="N8" s="1471">
        <f t="shared" ref="N8:N13" si="38">I8/100</f>
        <v>1.7000000000000001E-2</v>
      </c>
      <c r="O8" s="1472">
        <f t="shared" ref="O8" si="39">J8/100</f>
        <v>1.9199999999999998E-2</v>
      </c>
      <c r="P8" s="1472">
        <f t="shared" ref="P8" si="40">K8/100</f>
        <v>1.6399999999999998E-2</v>
      </c>
      <c r="Q8" s="1472">
        <f t="shared" ref="Q8" si="41">L8/100</f>
        <v>2.0099999999999996E-2</v>
      </c>
      <c r="R8" s="1473"/>
      <c r="S8" s="1471">
        <f>B8/B9-1</f>
        <v>1.6999999999999904E-2</v>
      </c>
      <c r="T8" s="1472">
        <f t="shared" ref="T8" si="42">C8/C9-1</f>
        <v>1.9200000000000106E-2</v>
      </c>
      <c r="U8" s="1472">
        <f t="shared" ref="U8" si="43">D8/D9-1</f>
        <v>1.9200000000000106E-2</v>
      </c>
      <c r="V8" s="1472">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60" t="s">
        <v>2981</v>
      </c>
      <c r="B9" s="1468">
        <v>439</v>
      </c>
      <c r="C9" s="1468">
        <v>327</v>
      </c>
      <c r="D9" s="1468">
        <f>C9</f>
        <v>327</v>
      </c>
      <c r="E9" s="1468">
        <v>627</v>
      </c>
      <c r="F9" s="1469">
        <v>283</v>
      </c>
      <c r="G9" s="2920">
        <v>2017</v>
      </c>
      <c r="H9" s="1461">
        <v>4</v>
      </c>
      <c r="I9" s="1461">
        <v>1.71</v>
      </c>
      <c r="J9" s="1461">
        <v>1.78</v>
      </c>
      <c r="K9" s="1461">
        <v>1.71</v>
      </c>
      <c r="L9" s="1462">
        <v>1.43</v>
      </c>
      <c r="N9" s="1471">
        <f t="shared" si="38"/>
        <v>1.7100000000000001E-2</v>
      </c>
      <c r="O9" s="1472">
        <f t="shared" ref="O9" si="47">J9/100</f>
        <v>1.78E-2</v>
      </c>
      <c r="P9" s="1472">
        <f t="shared" ref="P9" si="48">K9/100</f>
        <v>1.7100000000000001E-2</v>
      </c>
      <c r="Q9" s="1472">
        <f t="shared" ref="Q9" si="49">L9/100</f>
        <v>1.43E-2</v>
      </c>
      <c r="R9" s="1473"/>
      <c r="S9" s="1474"/>
      <c r="T9" s="1475"/>
      <c r="U9" s="1475"/>
      <c r="V9" s="1475"/>
      <c r="X9" s="1458">
        <f>ROUND(SUMPRODUCT(PRODUCT(1+N9:N$23)),4)</f>
        <v>1.4274</v>
      </c>
      <c r="Y9" s="1458">
        <f>ROUND(SUMPRODUCT(PRODUCT(1+O9:O$23)),4)</f>
        <v>1.2685</v>
      </c>
      <c r="Z9" s="1458">
        <f t="shared" si="0"/>
        <v>1.2685</v>
      </c>
      <c r="AA9" s="1458">
        <f>ROUND(SUMPRODUCT(PRODUCT(1+P9:P$23)),4)</f>
        <v>1.4825999999999999</v>
      </c>
      <c r="AB9" s="1458">
        <f>ROUND(SUMPRODUCT(PRODUCT(1+Q9:Q$23)),4)</f>
        <v>1.2309000000000001</v>
      </c>
      <c r="AD9" s="1459">
        <f>ROUND(AVERAGE(I9:I$24)/100,4)</f>
        <v>2.4500000000000001E-2</v>
      </c>
      <c r="AE9" s="1459">
        <f>ROUND(AVERAGE(J9:J$24)/100,4)</f>
        <v>1.6500000000000001E-2</v>
      </c>
      <c r="AF9" s="1459">
        <f t="shared" si="1"/>
        <v>1.6500000000000001E-2</v>
      </c>
      <c r="AG9" s="1459">
        <f>ROUND(AVERAGE(K9:K$24)/100,4)</f>
        <v>2.7099999999999999E-2</v>
      </c>
      <c r="AH9" s="1459">
        <f>ROUND(AVERAGE(L9:L$24)/100,4)</f>
        <v>1.3899999999999999E-2</v>
      </c>
    </row>
    <row r="10" spans="1:34" s="1465" customFormat="1" ht="13.5" thickBot="1">
      <c r="A10" s="1460" t="s">
        <v>2982</v>
      </c>
      <c r="B10" s="1476">
        <f t="shared" ref="B10:B11" si="50">B11*(1+N10)</f>
        <v>431.80730811680002</v>
      </c>
      <c r="C10" s="1476">
        <f t="shared" ref="C10:C11" si="51">C11*(1+O10)</f>
        <v>320.57880516480003</v>
      </c>
      <c r="D10" s="1476">
        <f t="shared" ref="D10:D11" si="52">C10</f>
        <v>320.57880516480003</v>
      </c>
      <c r="E10" s="1476">
        <f t="shared" ref="E10:E11" si="53">E11*(1+P10)</f>
        <v>615.96110553196797</v>
      </c>
      <c r="F10" s="1476">
        <f t="shared" ref="F10:F11" si="54">F11*(1+Q10)</f>
        <v>279.46777300108801</v>
      </c>
      <c r="G10" s="2916"/>
      <c r="H10" s="1463">
        <v>3</v>
      </c>
      <c r="I10" s="1463">
        <v>2.98</v>
      </c>
      <c r="J10" s="1463">
        <v>2.11</v>
      </c>
      <c r="K10" s="1463">
        <v>3.24</v>
      </c>
      <c r="L10" s="1477">
        <v>1.72</v>
      </c>
      <c r="M10" s="1470"/>
      <c r="N10" s="1471">
        <f t="shared" si="38"/>
        <v>2.98E-2</v>
      </c>
      <c r="O10" s="1472">
        <f t="shared" ref="O10" si="55">J10/100</f>
        <v>2.1099999999999997E-2</v>
      </c>
      <c r="P10" s="1472">
        <f t="shared" ref="P10" si="56">K10/100</f>
        <v>3.2400000000000005E-2</v>
      </c>
      <c r="Q10" s="1472">
        <f t="shared" ref="Q10" si="57">L10/100</f>
        <v>1.72E-2</v>
      </c>
      <c r="R10" s="1473"/>
      <c r="S10" s="1471"/>
      <c r="T10" s="1472"/>
      <c r="U10" s="1472"/>
      <c r="V10" s="1472"/>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29" customFormat="1">
      <c r="A11" s="1460" t="s">
        <v>1378</v>
      </c>
      <c r="B11" s="1476">
        <f t="shared" si="50"/>
        <v>419.31181600000002</v>
      </c>
      <c r="C11" s="1476">
        <f t="shared" si="51"/>
        <v>313.95436800000004</v>
      </c>
      <c r="D11" s="1476">
        <f t="shared" si="52"/>
        <v>313.95436800000004</v>
      </c>
      <c r="E11" s="1476">
        <f t="shared" si="53"/>
        <v>596.63028431999999</v>
      </c>
      <c r="F11" s="1476">
        <f t="shared" si="54"/>
        <v>274.74220703999998</v>
      </c>
      <c r="G11" s="2915"/>
      <c r="H11" s="1464">
        <v>2</v>
      </c>
      <c r="I11" s="1464">
        <v>3.4</v>
      </c>
      <c r="J11" s="1464">
        <v>2</v>
      </c>
      <c r="K11" s="1464">
        <v>3.82</v>
      </c>
      <c r="L11" s="1478">
        <v>1.68</v>
      </c>
      <c r="M11" s="1470"/>
      <c r="N11" s="1471">
        <f t="shared" si="38"/>
        <v>3.4000000000000002E-2</v>
      </c>
      <c r="O11" s="1472">
        <f t="shared" ref="O11" si="58">J11/100</f>
        <v>0.02</v>
      </c>
      <c r="P11" s="1472">
        <f t="shared" ref="P11" si="59">K11/100</f>
        <v>3.8199999999999998E-2</v>
      </c>
      <c r="Q11" s="1472">
        <f t="shared" ref="Q11" si="60">L11/100</f>
        <v>1.6799999999999999E-2</v>
      </c>
      <c r="R11" s="1473"/>
      <c r="S11" s="1474"/>
      <c r="T11" s="1475"/>
      <c r="U11" s="1475"/>
      <c r="V11" s="1475"/>
      <c r="W11" s="1452"/>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2"/>
      <c r="AD11" s="1787">
        <f>ROUND(AVERAGE(I11:I$24)/100,4)</f>
        <v>2.46E-2</v>
      </c>
      <c r="AE11" s="1787">
        <f>ROUND(AVERAGE(J11:J$24)/100,4)</f>
        <v>1.6E-2</v>
      </c>
      <c r="AF11" s="1787">
        <f t="shared" si="1"/>
        <v>1.6E-2</v>
      </c>
      <c r="AG11" s="1787">
        <f>ROUND(AVERAGE(K11:K$24)/100,4)</f>
        <v>2.75E-2</v>
      </c>
      <c r="AH11" s="1787">
        <f>ROUND(AVERAGE(L11:L$24)/100,4)</f>
        <v>1.37E-2</v>
      </c>
    </row>
    <row r="12" spans="1:34" s="1465" customFormat="1" ht="13.5" thickBot="1">
      <c r="A12" s="1460" t="s">
        <v>1153</v>
      </c>
      <c r="B12" s="1476">
        <f>B13*(1+N12)</f>
        <v>405.524</v>
      </c>
      <c r="C12" s="1476">
        <f>C13*(1+O12)</f>
        <v>307.79840000000002</v>
      </c>
      <c r="D12" s="1476">
        <f>C12</f>
        <v>307.79840000000002</v>
      </c>
      <c r="E12" s="1476">
        <f>E13*(1+P12)</f>
        <v>574.67759999999998</v>
      </c>
      <c r="F12" s="1476">
        <f>F13*(1+Q12)</f>
        <v>270.20280000000002</v>
      </c>
      <c r="G12" s="2916"/>
      <c r="H12" s="1463">
        <v>1</v>
      </c>
      <c r="I12" s="1463">
        <v>3.45</v>
      </c>
      <c r="J12" s="1463">
        <v>1.92</v>
      </c>
      <c r="K12" s="1463">
        <v>3.92</v>
      </c>
      <c r="L12" s="1477">
        <v>1.58</v>
      </c>
      <c r="M12" s="1470"/>
      <c r="N12" s="1471">
        <f t="shared" si="38"/>
        <v>3.4500000000000003E-2</v>
      </c>
      <c r="O12" s="1472">
        <f t="shared" ref="O12:Q27" si="61">J12/100</f>
        <v>1.9199999999999998E-2</v>
      </c>
      <c r="P12" s="1472">
        <f t="shared" si="61"/>
        <v>3.9199999999999999E-2</v>
      </c>
      <c r="Q12" s="1472">
        <f t="shared" si="61"/>
        <v>1.5800000000000002E-2</v>
      </c>
      <c r="R12" s="1473"/>
      <c r="S12" s="1471">
        <f>B12/B13-1</f>
        <v>3.4499999999999975E-2</v>
      </c>
      <c r="T12" s="1472">
        <f t="shared" ref="T12:V12" si="62">C12/C13-1</f>
        <v>1.9200000000000106E-2</v>
      </c>
      <c r="U12" s="1472">
        <f t="shared" si="62"/>
        <v>1.9200000000000106E-2</v>
      </c>
      <c r="V12" s="1472">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60" t="s">
        <v>154</v>
      </c>
      <c r="B13" s="1468">
        <v>392</v>
      </c>
      <c r="C13" s="1468">
        <v>302</v>
      </c>
      <c r="D13" s="1468">
        <f>C13</f>
        <v>302</v>
      </c>
      <c r="E13" s="1468">
        <v>553</v>
      </c>
      <c r="F13" s="1469">
        <v>266</v>
      </c>
      <c r="G13" s="3332">
        <v>2016</v>
      </c>
      <c r="H13" s="1461">
        <v>4</v>
      </c>
      <c r="I13" s="1461">
        <v>4.5599999999999996</v>
      </c>
      <c r="J13" s="1461">
        <v>2.15</v>
      </c>
      <c r="K13" s="1461">
        <v>5.32</v>
      </c>
      <c r="L13" s="1462">
        <v>1.57</v>
      </c>
      <c r="N13" s="1471">
        <f t="shared" si="38"/>
        <v>4.5599999999999995E-2</v>
      </c>
      <c r="O13" s="1472">
        <f t="shared" si="61"/>
        <v>2.1499999999999998E-2</v>
      </c>
      <c r="P13" s="1472">
        <f t="shared" si="61"/>
        <v>5.3200000000000004E-2</v>
      </c>
      <c r="Q13" s="1472">
        <f t="shared" si="61"/>
        <v>1.5700000000000002E-2</v>
      </c>
      <c r="R13" s="1473"/>
      <c r="S13" s="1474"/>
      <c r="T13" s="1475"/>
      <c r="U13" s="1475"/>
      <c r="V13" s="1475"/>
      <c r="X13" s="1458">
        <f>ROUND(SUMPRODUCT(PRODUCT(1+N13:N$23)),4)</f>
        <v>1.274</v>
      </c>
      <c r="Y13" s="1458">
        <f>ROUND(SUMPRODUCT(PRODUCT(1+O13:O$23)),4)</f>
        <v>1.1740999999999999</v>
      </c>
      <c r="Z13" s="1458">
        <f t="shared" si="0"/>
        <v>1.1740999999999999</v>
      </c>
      <c r="AA13" s="1458">
        <f>ROUND(SUMPRODUCT(PRODUCT(1+P13:P$23)),4)</f>
        <v>1.3087</v>
      </c>
      <c r="AB13" s="1458">
        <f>ROUND(SUMPRODUCT(PRODUCT(1+Q13:Q$23)),4)</f>
        <v>1.1551</v>
      </c>
      <c r="AD13" s="1459">
        <f>ROUND(AVERAGE(I13:I$24)/100,4)</f>
        <v>2.3E-2</v>
      </c>
      <c r="AE13" s="1459">
        <f>ROUND(AVERAGE(J13:J$24)/100,4)</f>
        <v>1.55E-2</v>
      </c>
      <c r="AF13" s="1459">
        <f t="shared" si="1"/>
        <v>1.55E-2</v>
      </c>
      <c r="AG13" s="1459">
        <f>ROUND(AVERAGE(K13:K$24)/100,4)</f>
        <v>2.5600000000000001E-2</v>
      </c>
      <c r="AH13" s="1459">
        <f>ROUND(AVERAGE(L13:L$24)/100,4)</f>
        <v>1.32E-2</v>
      </c>
    </row>
    <row r="14" spans="1:34">
      <c r="A14" s="1460" t="s">
        <v>153</v>
      </c>
      <c r="B14" s="1476">
        <f t="shared" ref="B14:C16" si="63">B13/(1+N13)</f>
        <v>374.90436113236416</v>
      </c>
      <c r="C14" s="1476">
        <f t="shared" si="63"/>
        <v>295.64366128242779</v>
      </c>
      <c r="D14" s="1476">
        <f t="shared" ref="D14:D73" si="64">C14</f>
        <v>295.64366128242779</v>
      </c>
      <c r="E14" s="1476">
        <f t="shared" ref="E14:F16" si="65">E13/(1+P13)</f>
        <v>525.06646410938095</v>
      </c>
      <c r="F14" s="1476">
        <f t="shared" si="65"/>
        <v>261.88835286009646</v>
      </c>
      <c r="G14" s="3329"/>
      <c r="H14" s="1463">
        <v>3</v>
      </c>
      <c r="I14" s="1463">
        <v>4.12</v>
      </c>
      <c r="J14" s="1463">
        <v>2</v>
      </c>
      <c r="K14" s="1463">
        <v>4.79</v>
      </c>
      <c r="L14" s="1477">
        <v>1.97</v>
      </c>
      <c r="N14" s="1471">
        <f t="shared" ref="N14:Q48" si="66">I14/100</f>
        <v>4.1200000000000001E-2</v>
      </c>
      <c r="O14" s="1472">
        <f t="shared" si="61"/>
        <v>0.02</v>
      </c>
      <c r="P14" s="1472">
        <f t="shared" si="61"/>
        <v>4.7899999999999998E-2</v>
      </c>
      <c r="Q14" s="1472">
        <f t="shared" si="61"/>
        <v>1.9699999999999999E-2</v>
      </c>
      <c r="R14" s="1473"/>
      <c r="S14" s="1471"/>
      <c r="T14" s="1472"/>
      <c r="U14" s="1472"/>
      <c r="V14" s="1472"/>
      <c r="X14" s="1458">
        <f>ROUND(SUMPRODUCT(PRODUCT(1+N14:N$23)),4)</f>
        <v>1.2184999999999999</v>
      </c>
      <c r="Y14" s="1458">
        <f>ROUND(SUMPRODUCT(PRODUCT(1+O14:O$23)),4)</f>
        <v>1.1494</v>
      </c>
      <c r="Z14" s="1458">
        <f t="shared" si="0"/>
        <v>1.1494</v>
      </c>
      <c r="AA14" s="1458">
        <f>ROUND(SUMPRODUCT(PRODUCT(1+P14:P$23)),4)</f>
        <v>1.2425999999999999</v>
      </c>
      <c r="AB14" s="1458">
        <f>ROUND(SUMPRODUCT(PRODUCT(1+Q14:Q$23)),4)</f>
        <v>1.1372</v>
      </c>
      <c r="AD14" s="1459">
        <f>ROUND(AVERAGE(I14:I$24)/100,4)</f>
        <v>2.0899999999999998E-2</v>
      </c>
      <c r="AE14" s="1459">
        <f>ROUND(AVERAGE(J14:J$24)/100,4)</f>
        <v>1.49E-2</v>
      </c>
      <c r="AF14" s="1459">
        <f t="shared" si="1"/>
        <v>1.49E-2</v>
      </c>
      <c r="AG14" s="1459">
        <f>ROUND(AVERAGE(K14:K$24)/100,4)</f>
        <v>2.3099999999999999E-2</v>
      </c>
      <c r="AH14" s="1459">
        <f>ROUND(AVERAGE(L14:L$24)/100,4)</f>
        <v>1.2999999999999999E-2</v>
      </c>
    </row>
    <row r="15" spans="1:34">
      <c r="A15" s="1460" t="s">
        <v>143</v>
      </c>
      <c r="B15" s="1476">
        <f t="shared" si="63"/>
        <v>360.06949782209392</v>
      </c>
      <c r="C15" s="1476">
        <f t="shared" si="63"/>
        <v>289.84672674747821</v>
      </c>
      <c r="D15" s="1476">
        <f t="shared" si="64"/>
        <v>289.84672674747821</v>
      </c>
      <c r="E15" s="1476">
        <f t="shared" si="65"/>
        <v>501.06543001181495</v>
      </c>
      <c r="F15" s="1476">
        <f t="shared" si="65"/>
        <v>256.82882500744967</v>
      </c>
      <c r="G15" s="3329"/>
      <c r="H15" s="1464">
        <v>2</v>
      </c>
      <c r="I15" s="1464">
        <v>3.85</v>
      </c>
      <c r="J15" s="1464">
        <v>1.95</v>
      </c>
      <c r="K15" s="1464">
        <v>4.4800000000000004</v>
      </c>
      <c r="L15" s="1478">
        <v>1.41</v>
      </c>
      <c r="N15" s="1471">
        <f t="shared" si="66"/>
        <v>3.85E-2</v>
      </c>
      <c r="O15" s="1472">
        <f t="shared" si="61"/>
        <v>1.95E-2</v>
      </c>
      <c r="P15" s="1472">
        <f t="shared" si="61"/>
        <v>4.4800000000000006E-2</v>
      </c>
      <c r="Q15" s="1472">
        <f t="shared" si="61"/>
        <v>1.41E-2</v>
      </c>
      <c r="R15" s="1473"/>
      <c r="S15" s="1471"/>
      <c r="T15" s="1472"/>
      <c r="U15" s="1472"/>
      <c r="V15" s="1472"/>
      <c r="X15" s="1458">
        <f>ROUND(SUMPRODUCT(PRODUCT(1+N15:N$23)),4)</f>
        <v>1.1702999999999999</v>
      </c>
      <c r="Y15" s="1458">
        <f>ROUND(SUMPRODUCT(PRODUCT(1+O15:O$23)),4)</f>
        <v>1.1269</v>
      </c>
      <c r="Z15" s="1458">
        <f t="shared" si="0"/>
        <v>1.1269</v>
      </c>
      <c r="AA15" s="1458">
        <f>ROUND(SUMPRODUCT(PRODUCT(1+P15:P$23)),4)</f>
        <v>1.1858</v>
      </c>
      <c r="AB15" s="1458">
        <f>ROUND(SUMPRODUCT(PRODUCT(1+Q15:Q$23)),4)</f>
        <v>1.1152</v>
      </c>
      <c r="AD15" s="1459">
        <f>ROUND(AVERAGE(I15:I$24)/100,4)</f>
        <v>1.89E-2</v>
      </c>
      <c r="AE15" s="1459">
        <f>ROUND(AVERAGE(J15:J$24)/100,4)</f>
        <v>1.44E-2</v>
      </c>
      <c r="AF15" s="1459">
        <f t="shared" si="1"/>
        <v>1.44E-2</v>
      </c>
      <c r="AG15" s="1459">
        <f>ROUND(AVERAGE(K15:K$24)/100,4)</f>
        <v>2.06E-2</v>
      </c>
      <c r="AH15" s="1459">
        <f>ROUND(AVERAGE(L15:L$24)/100,4)</f>
        <v>1.23E-2</v>
      </c>
    </row>
    <row r="16" spans="1:34" ht="13.5" thickBot="1">
      <c r="A16" s="1460" t="s">
        <v>152</v>
      </c>
      <c r="B16" s="1476">
        <f t="shared" si="63"/>
        <v>346.720748986128</v>
      </c>
      <c r="C16" s="1476">
        <f t="shared" si="63"/>
        <v>284.30282172386285</v>
      </c>
      <c r="D16" s="1476">
        <f t="shared" si="64"/>
        <v>284.30282172386285</v>
      </c>
      <c r="E16" s="1476">
        <f t="shared" si="65"/>
        <v>479.58023546306947</v>
      </c>
      <c r="F16" s="1476">
        <f t="shared" si="65"/>
        <v>253.25788877571213</v>
      </c>
      <c r="G16" s="3330"/>
      <c r="H16" s="1463">
        <v>1</v>
      </c>
      <c r="I16" s="1463">
        <v>4.09</v>
      </c>
      <c r="J16" s="1463">
        <v>2.93</v>
      </c>
      <c r="K16" s="1463">
        <v>4.54</v>
      </c>
      <c r="L16" s="1477">
        <v>1.48</v>
      </c>
      <c r="N16" s="1471">
        <f t="shared" si="66"/>
        <v>4.0899999999999999E-2</v>
      </c>
      <c r="O16" s="1472">
        <f t="shared" si="61"/>
        <v>2.9300000000000003E-2</v>
      </c>
      <c r="P16" s="1472">
        <f t="shared" si="61"/>
        <v>4.5400000000000003E-2</v>
      </c>
      <c r="Q16" s="1472">
        <f t="shared" si="61"/>
        <v>1.4800000000000001E-2</v>
      </c>
      <c r="R16" s="1473"/>
      <c r="S16" s="1479">
        <f>B16/B17-1</f>
        <v>4.1203450408792808E-2</v>
      </c>
      <c r="T16" s="1480">
        <f>C16/C17-1</f>
        <v>2.6363977342465095E-2</v>
      </c>
      <c r="U16" s="1480">
        <f>E16/E17-1</f>
        <v>4.4837114298626357E-2</v>
      </c>
      <c r="V16" s="1480">
        <f>F16/F17-1</f>
        <v>1.7099954922538574E-2</v>
      </c>
      <c r="X16" s="1458">
        <f>ROUND(SUMPRODUCT(PRODUCT(1+N16:N$23)),4)</f>
        <v>1.1269</v>
      </c>
      <c r="Y16" s="1458">
        <f>ROUND(SUMPRODUCT(PRODUCT(1+O16:O$23)),4)</f>
        <v>1.1052999999999999</v>
      </c>
      <c r="Z16" s="1458">
        <f t="shared" si="0"/>
        <v>1.1052999999999999</v>
      </c>
      <c r="AA16" s="1458">
        <f>ROUND(SUMPRODUCT(PRODUCT(1+P16:P$23)),4)</f>
        <v>1.1349</v>
      </c>
      <c r="AB16" s="1458">
        <f>ROUND(SUMPRODUCT(PRODUCT(1+Q16:Q$23)),4)</f>
        <v>1.0996999999999999</v>
      </c>
      <c r="AD16" s="1459">
        <f>ROUND(AVERAGE(I16:I$24)/100,4)</f>
        <v>1.67E-2</v>
      </c>
      <c r="AE16" s="1459">
        <f>ROUND(AVERAGE(J16:J$24)/100,4)</f>
        <v>1.38E-2</v>
      </c>
      <c r="AF16" s="1459">
        <f t="shared" si="1"/>
        <v>1.38E-2</v>
      </c>
      <c r="AG16" s="1459">
        <f>ROUND(AVERAGE(K16:K$24)/100,4)</f>
        <v>1.7899999999999999E-2</v>
      </c>
      <c r="AH16" s="1459">
        <f>ROUND(AVERAGE(L16:L$24)/100,4)</f>
        <v>1.21E-2</v>
      </c>
    </row>
    <row r="17" spans="1:34" ht="13.5" thickBot="1">
      <c r="A17" s="1460" t="s">
        <v>151</v>
      </c>
      <c r="B17" s="1468">
        <v>333</v>
      </c>
      <c r="C17" s="1468">
        <v>277</v>
      </c>
      <c r="D17" s="1468">
        <f t="shared" si="64"/>
        <v>277</v>
      </c>
      <c r="E17" s="1468">
        <v>459</v>
      </c>
      <c r="F17" s="1469">
        <v>249</v>
      </c>
      <c r="G17" s="3328">
        <v>2015</v>
      </c>
      <c r="H17" s="1481">
        <v>4</v>
      </c>
      <c r="I17" s="1481">
        <v>1.63</v>
      </c>
      <c r="J17" s="1481">
        <v>1.1100000000000001</v>
      </c>
      <c r="K17" s="1481">
        <v>1.77</v>
      </c>
      <c r="L17" s="1482">
        <v>1.89</v>
      </c>
      <c r="N17" s="1483">
        <f t="shared" si="66"/>
        <v>1.6299999999999999E-2</v>
      </c>
      <c r="O17" s="1484">
        <f t="shared" si="61"/>
        <v>1.11E-2</v>
      </c>
      <c r="P17" s="1484">
        <f t="shared" si="61"/>
        <v>1.77E-2</v>
      </c>
      <c r="Q17" s="1484">
        <f t="shared" si="61"/>
        <v>1.89E-2</v>
      </c>
      <c r="R17" s="1473"/>
      <c r="X17" s="1458">
        <f>ROUND(SUMPRODUCT(PRODUCT(1+N17:N$23)),4)</f>
        <v>1.0826</v>
      </c>
      <c r="Y17" s="1458">
        <f>ROUND(SUMPRODUCT(PRODUCT(1+O17:O$23)),4)</f>
        <v>1.0738000000000001</v>
      </c>
      <c r="Z17" s="1458">
        <f t="shared" si="0"/>
        <v>1.0738000000000001</v>
      </c>
      <c r="AA17" s="1458">
        <f>ROUND(SUMPRODUCT(PRODUCT(1+P17:P$23)),4)</f>
        <v>1.0855999999999999</v>
      </c>
      <c r="AB17" s="1458">
        <f>ROUND(SUMPRODUCT(PRODUCT(1+Q17:Q$23)),4)</f>
        <v>1.0837000000000001</v>
      </c>
      <c r="AD17" s="1459">
        <f>ROUND(AVERAGE(I17:I$24)/100,4)</f>
        <v>1.37E-2</v>
      </c>
      <c r="AE17" s="1459">
        <f>ROUND(AVERAGE(J17:J$24)/100,4)</f>
        <v>1.1900000000000001E-2</v>
      </c>
      <c r="AF17" s="1459">
        <f t="shared" si="1"/>
        <v>1.1900000000000001E-2</v>
      </c>
      <c r="AG17" s="1459">
        <f>ROUND(AVERAGE(K17:K$24)/100,4)</f>
        <v>1.4500000000000001E-2</v>
      </c>
      <c r="AH17" s="1459">
        <f>ROUND(AVERAGE(L17:L$24)/100,4)</f>
        <v>1.18E-2</v>
      </c>
    </row>
    <row r="18" spans="1:34">
      <c r="A18" s="1460" t="s">
        <v>150</v>
      </c>
      <c r="B18" s="1476">
        <f t="shared" ref="B18:C20" si="67">B17/(1+N17)</f>
        <v>327.65915576109415</v>
      </c>
      <c r="C18" s="1476">
        <f t="shared" si="67"/>
        <v>273.95905449510434</v>
      </c>
      <c r="D18" s="1476">
        <f t="shared" si="64"/>
        <v>273.95905449510434</v>
      </c>
      <c r="E18" s="1476">
        <f t="shared" ref="E18:F20" si="68">E17/(1+P17)</f>
        <v>451.01699911565294</v>
      </c>
      <c r="F18" s="1476">
        <f t="shared" si="68"/>
        <v>244.38119540681129</v>
      </c>
      <c r="G18" s="3329"/>
      <c r="H18" s="1486">
        <v>3</v>
      </c>
      <c r="I18" s="1486">
        <v>1.65</v>
      </c>
      <c r="J18" s="1486">
        <v>0.92</v>
      </c>
      <c r="K18" s="1486">
        <v>1.88</v>
      </c>
      <c r="L18" s="1487">
        <v>1.26</v>
      </c>
      <c r="N18" s="1471">
        <f t="shared" si="66"/>
        <v>1.6500000000000001E-2</v>
      </c>
      <c r="O18" s="1488">
        <f t="shared" si="61"/>
        <v>9.1999999999999998E-3</v>
      </c>
      <c r="P18" s="1488">
        <f t="shared" si="61"/>
        <v>1.8799999999999997E-2</v>
      </c>
      <c r="Q18" s="1488">
        <f t="shared" si="61"/>
        <v>1.26E-2</v>
      </c>
      <c r="R18" s="1473"/>
      <c r="S18" s="1471"/>
      <c r="T18" s="1472"/>
      <c r="U18" s="1472"/>
      <c r="V18" s="1472"/>
      <c r="X18" s="1458">
        <f>ROUND(SUMPRODUCT(PRODUCT(1+N18:N$23)),4)</f>
        <v>1.0651999999999999</v>
      </c>
      <c r="Y18" s="1458">
        <f>ROUND(SUMPRODUCT(PRODUCT(1+O18:O$23)),4)</f>
        <v>1.0621</v>
      </c>
      <c r="Z18" s="1458">
        <f t="shared" si="0"/>
        <v>1.0621</v>
      </c>
      <c r="AA18" s="1458">
        <f>ROUND(SUMPRODUCT(PRODUCT(1+P18:P$23)),4)</f>
        <v>1.0668</v>
      </c>
      <c r="AB18" s="1458">
        <f>ROUND(SUMPRODUCT(PRODUCT(1+Q18:Q$23)),4)</f>
        <v>1.0636000000000001</v>
      </c>
      <c r="AD18" s="1459">
        <f>ROUND(AVERAGE(I18:I$24)/100,4)</f>
        <v>1.3299999999999999E-2</v>
      </c>
      <c r="AE18" s="1459">
        <f>ROUND(AVERAGE(J18:J$24)/100,4)</f>
        <v>1.2E-2</v>
      </c>
      <c r="AF18" s="1459">
        <f t="shared" si="1"/>
        <v>1.2E-2</v>
      </c>
      <c r="AG18" s="1459">
        <f>ROUND(AVERAGE(K18:K$24)/100,4)</f>
        <v>1.4E-2</v>
      </c>
      <c r="AH18" s="1459">
        <f>ROUND(AVERAGE(L18:L$24)/100,4)</f>
        <v>1.0800000000000001E-2</v>
      </c>
    </row>
    <row r="19" spans="1:34">
      <c r="A19" s="1460" t="s">
        <v>149</v>
      </c>
      <c r="B19" s="1476">
        <f t="shared" si="67"/>
        <v>322.34053690220776</v>
      </c>
      <c r="C19" s="1476">
        <f t="shared" si="67"/>
        <v>271.46160770422546</v>
      </c>
      <c r="D19" s="1476">
        <f t="shared" si="64"/>
        <v>271.46160770422546</v>
      </c>
      <c r="E19" s="1476">
        <f t="shared" si="68"/>
        <v>442.69434542172456</v>
      </c>
      <c r="F19" s="1476">
        <f t="shared" si="68"/>
        <v>241.34030753190925</v>
      </c>
      <c r="G19" s="3329"/>
      <c r="H19" s="1464">
        <v>2</v>
      </c>
      <c r="I19" s="1464">
        <v>0.77</v>
      </c>
      <c r="J19" s="1464">
        <v>0.69</v>
      </c>
      <c r="K19" s="1464">
        <v>0.8</v>
      </c>
      <c r="L19" s="1478">
        <v>0.88</v>
      </c>
      <c r="N19" s="1471">
        <f t="shared" si="66"/>
        <v>7.7000000000000002E-3</v>
      </c>
      <c r="O19" s="1488">
        <f t="shared" si="61"/>
        <v>6.8999999999999999E-3</v>
      </c>
      <c r="P19" s="1488">
        <f t="shared" si="61"/>
        <v>8.0000000000000002E-3</v>
      </c>
      <c r="Q19" s="1488">
        <f t="shared" si="61"/>
        <v>8.8000000000000005E-3</v>
      </c>
      <c r="R19" s="1473"/>
      <c r="S19" s="1471"/>
      <c r="T19" s="1472"/>
      <c r="U19" s="1472"/>
      <c r="V19" s="1472"/>
      <c r="X19" s="1458">
        <f>ROUND(SUMPRODUCT(PRODUCT(1+N19:N$23)),4)</f>
        <v>1.048</v>
      </c>
      <c r="Y19" s="1458">
        <f>ROUND(SUMPRODUCT(PRODUCT(1+O19:O$23)),4)</f>
        <v>1.0524</v>
      </c>
      <c r="Z19" s="1458">
        <f t="shared" si="0"/>
        <v>1.0524</v>
      </c>
      <c r="AA19" s="1458">
        <f>ROUND(SUMPRODUCT(PRODUCT(1+P19:P$23)),4)</f>
        <v>1.0470999999999999</v>
      </c>
      <c r="AB19" s="1458">
        <f>ROUND(SUMPRODUCT(PRODUCT(1+Q19:Q$23)),4)</f>
        <v>1.0504</v>
      </c>
      <c r="AD19" s="1459">
        <f>ROUND(AVERAGE(I19:I$24)/100,4)</f>
        <v>1.2800000000000001E-2</v>
      </c>
      <c r="AE19" s="1459">
        <f>ROUND(AVERAGE(J19:J$24)/100,4)</f>
        <v>1.2500000000000001E-2</v>
      </c>
      <c r="AF19" s="1459">
        <f t="shared" si="1"/>
        <v>1.2500000000000001E-2</v>
      </c>
      <c r="AG19" s="1459">
        <f>ROUND(AVERAGE(K19:K$24)/100,4)</f>
        <v>1.32E-2</v>
      </c>
      <c r="AH19" s="1459">
        <f>ROUND(AVERAGE(L19:L$24)/100,4)</f>
        <v>1.0500000000000001E-2</v>
      </c>
    </row>
    <row r="20" spans="1:34">
      <c r="A20" s="1460" t="s">
        <v>148</v>
      </c>
      <c r="B20" s="1476">
        <f t="shared" si="67"/>
        <v>319.87748030386797</v>
      </c>
      <c r="C20" s="1476">
        <f t="shared" si="67"/>
        <v>269.60135833173649</v>
      </c>
      <c r="D20" s="1476">
        <f t="shared" si="64"/>
        <v>269.60135833173649</v>
      </c>
      <c r="E20" s="1476">
        <f t="shared" si="68"/>
        <v>439.18089823583784</v>
      </c>
      <c r="F20" s="1476">
        <f t="shared" si="68"/>
        <v>239.23503918706311</v>
      </c>
      <c r="G20" s="3330"/>
      <c r="H20" s="1463">
        <v>1</v>
      </c>
      <c r="I20" s="1463">
        <v>0.51</v>
      </c>
      <c r="J20" s="1463">
        <v>0.54</v>
      </c>
      <c r="K20" s="1463">
        <v>0.48</v>
      </c>
      <c r="L20" s="1477">
        <v>0.93</v>
      </c>
      <c r="N20" s="1479">
        <f t="shared" si="66"/>
        <v>5.1000000000000004E-3</v>
      </c>
      <c r="O20" s="1480">
        <f t="shared" si="61"/>
        <v>5.4000000000000003E-3</v>
      </c>
      <c r="P20" s="1480">
        <f t="shared" si="61"/>
        <v>4.7999999999999996E-3</v>
      </c>
      <c r="Q20" s="1480">
        <f t="shared" si="61"/>
        <v>9.300000000000001E-3</v>
      </c>
      <c r="R20" s="1473"/>
      <c r="S20" s="1479">
        <f>B20/B21-1</f>
        <v>5.9040261127922822E-3</v>
      </c>
      <c r="T20" s="1480">
        <f>C20/C21-1</f>
        <v>5.9752176557332781E-3</v>
      </c>
      <c r="U20" s="1480">
        <f>E20/E21-1</f>
        <v>4.9906138119859556E-3</v>
      </c>
      <c r="V20" s="1480">
        <f>F20/F21-1</f>
        <v>9.4305450930933787E-3</v>
      </c>
      <c r="X20" s="1458">
        <f>ROUND(SUMPRODUCT(PRODUCT(1+N20:N$23)),4)</f>
        <v>1.0399</v>
      </c>
      <c r="Y20" s="1458">
        <f>ROUND(SUMPRODUCT(PRODUCT(1+O20:O$23)),4)</f>
        <v>1.0451999999999999</v>
      </c>
      <c r="Z20" s="1458">
        <f t="shared" si="0"/>
        <v>1.0451999999999999</v>
      </c>
      <c r="AA20" s="1458">
        <f>ROUND(SUMPRODUCT(PRODUCT(1+P20:P$23)),4)</f>
        <v>1.0387999999999999</v>
      </c>
      <c r="AB20" s="1458">
        <f>ROUND(SUMPRODUCT(PRODUCT(1+Q20:Q$23)),4)</f>
        <v>1.0411999999999999</v>
      </c>
      <c r="AD20" s="1459">
        <f>ROUND(AVERAGE(I20:I$24)/100,4)</f>
        <v>1.38E-2</v>
      </c>
      <c r="AE20" s="1459">
        <f>ROUND(AVERAGE(J20:J$24)/100,4)</f>
        <v>1.3599999999999999E-2</v>
      </c>
      <c r="AF20" s="1459">
        <f t="shared" si="1"/>
        <v>1.3599999999999999E-2</v>
      </c>
      <c r="AG20" s="1459">
        <f>ROUND(AVERAGE(K20:K$24)/100,4)</f>
        <v>1.4200000000000001E-2</v>
      </c>
      <c r="AH20" s="1459">
        <f>ROUND(AVERAGE(L20:L$24)/100,4)</f>
        <v>1.0800000000000001E-2</v>
      </c>
    </row>
    <row r="21" spans="1:34" ht="13.5" thickBot="1">
      <c r="A21" s="1460" t="s">
        <v>147</v>
      </c>
      <c r="B21" s="1489">
        <v>318</v>
      </c>
      <c r="C21" s="1489">
        <v>268</v>
      </c>
      <c r="D21" s="1489">
        <f t="shared" si="64"/>
        <v>268</v>
      </c>
      <c r="E21" s="1489">
        <v>437</v>
      </c>
      <c r="F21" s="1490">
        <v>237</v>
      </c>
      <c r="G21" s="3328">
        <v>2014</v>
      </c>
      <c r="H21" s="1481">
        <v>4</v>
      </c>
      <c r="I21" s="1481">
        <v>0.21</v>
      </c>
      <c r="J21" s="1481">
        <v>0.41</v>
      </c>
      <c r="K21" s="1481">
        <v>0.12</v>
      </c>
      <c r="L21" s="1482">
        <v>0.89</v>
      </c>
      <c r="N21" s="1471">
        <f t="shared" si="66"/>
        <v>2.0999999999999999E-3</v>
      </c>
      <c r="O21" s="1472">
        <f t="shared" si="61"/>
        <v>4.0999999999999995E-3</v>
      </c>
      <c r="P21" s="1472">
        <f t="shared" si="61"/>
        <v>1.1999999999999999E-3</v>
      </c>
      <c r="Q21" s="1472">
        <f t="shared" si="61"/>
        <v>8.8999999999999999E-3</v>
      </c>
      <c r="R21" s="1473"/>
      <c r="S21" s="1474"/>
      <c r="T21" s="1475"/>
      <c r="U21" s="1475"/>
      <c r="V21" s="1475"/>
      <c r="X21" s="1458">
        <f>ROUND(SUMPRODUCT(PRODUCT(1+N21:N$23)),4)</f>
        <v>1.0347</v>
      </c>
      <c r="Y21" s="1458">
        <f>ROUND(SUMPRODUCT(PRODUCT(1+O21:O$23)),4)</f>
        <v>1.0395000000000001</v>
      </c>
      <c r="Z21" s="1458">
        <f t="shared" si="0"/>
        <v>1.0395000000000001</v>
      </c>
      <c r="AA21" s="1458">
        <f>ROUND(SUMPRODUCT(PRODUCT(1+P21:P$23)),4)</f>
        <v>1.0338000000000001</v>
      </c>
      <c r="AB21" s="1458">
        <f>ROUND(SUMPRODUCT(PRODUCT(1+Q21:Q$23)),4)</f>
        <v>1.0316000000000001</v>
      </c>
      <c r="AD21" s="1459">
        <f>ROUND(AVERAGE(I21:I$24)/100,4)</f>
        <v>1.6E-2</v>
      </c>
      <c r="AE21" s="1459">
        <f>ROUND(AVERAGE(J21:J$24)/100,4)</f>
        <v>1.5599999999999999E-2</v>
      </c>
      <c r="AF21" s="1459">
        <f t="shared" si="1"/>
        <v>1.5599999999999999E-2</v>
      </c>
      <c r="AG21" s="1459">
        <f>ROUND(AVERAGE(K21:K$24)/100,4)</f>
        <v>1.66E-2</v>
      </c>
      <c r="AH21" s="1459">
        <f>ROUND(AVERAGE(L21:L$24)/100,4)</f>
        <v>1.12E-2</v>
      </c>
    </row>
    <row r="22" spans="1:34">
      <c r="A22" s="1460" t="s">
        <v>146</v>
      </c>
      <c r="B22" s="1476">
        <f t="shared" ref="B22:C24" si="69">B21/(1+N21)</f>
        <v>317.33359944117353</v>
      </c>
      <c r="C22" s="1476">
        <f t="shared" si="69"/>
        <v>266.90568668459315</v>
      </c>
      <c r="D22" s="1476">
        <f t="shared" si="64"/>
        <v>266.90568668459315</v>
      </c>
      <c r="E22" s="1476">
        <f t="shared" ref="E22:F24" si="70">E21/(1+P21)</f>
        <v>436.47622852576905</v>
      </c>
      <c r="F22" s="1476">
        <f t="shared" si="70"/>
        <v>234.90930716622066</v>
      </c>
      <c r="G22" s="3329"/>
      <c r="H22" s="1491">
        <v>3</v>
      </c>
      <c r="I22" s="1491">
        <v>0.83</v>
      </c>
      <c r="J22" s="1491">
        <v>1.47</v>
      </c>
      <c r="K22" s="1491">
        <v>0.65</v>
      </c>
      <c r="L22" s="1492">
        <v>0.72</v>
      </c>
      <c r="N22" s="1471">
        <f t="shared" si="66"/>
        <v>8.3000000000000001E-3</v>
      </c>
      <c r="O22" s="1472">
        <f t="shared" si="61"/>
        <v>1.47E-2</v>
      </c>
      <c r="P22" s="1472">
        <f t="shared" si="61"/>
        <v>6.5000000000000006E-3</v>
      </c>
      <c r="Q22" s="1472">
        <f t="shared" si="61"/>
        <v>7.1999999999999998E-3</v>
      </c>
      <c r="R22" s="1473"/>
      <c r="S22" s="1471"/>
      <c r="T22" s="1472"/>
      <c r="U22" s="1472"/>
      <c r="V22" s="1472"/>
      <c r="X22" s="1458">
        <f>ROUND(SUMPRODUCT(PRODUCT(1+N22:N$23)),4)</f>
        <v>1.0325</v>
      </c>
      <c r="Y22" s="1458">
        <f>ROUND(SUMPRODUCT(PRODUCT(1+O22:O$23)),4)</f>
        <v>1.0353000000000001</v>
      </c>
      <c r="Z22" s="1458">
        <f t="shared" ref="Z22:Z23" si="71">Y22</f>
        <v>1.0353000000000001</v>
      </c>
      <c r="AA22" s="1458">
        <f>ROUND(SUMPRODUCT(PRODUCT(1+P22:P$23)),4)</f>
        <v>1.0326</v>
      </c>
      <c r="AB22" s="1458">
        <f>ROUND(SUMPRODUCT(PRODUCT(1+Q22:Q$23)),4)</f>
        <v>1.0225</v>
      </c>
      <c r="AD22" s="1459">
        <f>ROUND(AVERAGE(I22:I$24)/100,4)</f>
        <v>2.07E-2</v>
      </c>
      <c r="AE22" s="1459">
        <f>ROUND(AVERAGE(J22:J$24)/100,4)</f>
        <v>1.95E-2</v>
      </c>
      <c r="AF22" s="1459">
        <f t="shared" si="1"/>
        <v>1.95E-2</v>
      </c>
      <c r="AG22" s="1459">
        <f>ROUND(AVERAGE(K22:K$24)/100,4)</f>
        <v>2.1700000000000001E-2</v>
      </c>
      <c r="AH22" s="1459">
        <f>ROUND(AVERAGE(L22:L$24)/100,4)</f>
        <v>1.2E-2</v>
      </c>
    </row>
    <row r="23" spans="1:34" ht="13.5" thickBot="1">
      <c r="A23" s="1460" t="s">
        <v>145</v>
      </c>
      <c r="B23" s="1476">
        <f t="shared" si="69"/>
        <v>314.72141172386546</v>
      </c>
      <c r="C23" s="1476">
        <f t="shared" si="69"/>
        <v>263.03901319069001</v>
      </c>
      <c r="D23" s="1476">
        <f t="shared" si="64"/>
        <v>263.03901319069001</v>
      </c>
      <c r="E23" s="1476">
        <f t="shared" si="70"/>
        <v>433.65745506782821</v>
      </c>
      <c r="F23" s="1476">
        <f t="shared" si="70"/>
        <v>233.23005080045735</v>
      </c>
      <c r="G23" s="3329"/>
      <c r="H23" s="1481">
        <v>2</v>
      </c>
      <c r="I23" s="1481">
        <v>2.4</v>
      </c>
      <c r="J23" s="1481">
        <v>2.0299999999999998</v>
      </c>
      <c r="K23" s="1481">
        <v>2.59</v>
      </c>
      <c r="L23" s="1482">
        <v>1.52</v>
      </c>
      <c r="N23" s="1471">
        <f t="shared" si="66"/>
        <v>2.4E-2</v>
      </c>
      <c r="O23" s="1472">
        <f t="shared" si="61"/>
        <v>2.0299999999999999E-2</v>
      </c>
      <c r="P23" s="1472">
        <f t="shared" si="61"/>
        <v>2.5899999999999999E-2</v>
      </c>
      <c r="Q23" s="1472">
        <f t="shared" si="61"/>
        <v>1.52E-2</v>
      </c>
      <c r="R23" s="1473"/>
      <c r="S23" s="1471"/>
      <c r="T23" s="1472"/>
      <c r="U23" s="1472"/>
      <c r="V23" s="1472"/>
      <c r="X23" s="1458">
        <f>1+N23</f>
        <v>1.024</v>
      </c>
      <c r="Y23" s="1458">
        <f>1+O23</f>
        <v>1.0203</v>
      </c>
      <c r="Z23" s="1458">
        <f t="shared" si="71"/>
        <v>1.0203</v>
      </c>
      <c r="AA23" s="1458">
        <f>1+P23</f>
        <v>1.0259</v>
      </c>
      <c r="AB23" s="1458">
        <f>1+Q23</f>
        <v>1.0152000000000001</v>
      </c>
      <c r="AD23" s="1459">
        <f>ROUND(AVERAGE(I23:I$24)/100,4)</f>
        <v>2.69E-2</v>
      </c>
      <c r="AE23" s="1459">
        <f>ROUND(AVERAGE(J23:J$24)/100,4)</f>
        <v>2.1899999999999999E-2</v>
      </c>
      <c r="AF23" s="1459">
        <f t="shared" ref="AF23" si="72">AE23</f>
        <v>2.1899999999999999E-2</v>
      </c>
      <c r="AG23" s="1459">
        <f>ROUND(AVERAGE(K23:K$24)/100,4)</f>
        <v>2.9399999999999999E-2</v>
      </c>
      <c r="AH23" s="1459">
        <f>ROUND(AVERAGE(L23:L$24)/100,4)</f>
        <v>1.44E-2</v>
      </c>
    </row>
    <row r="24" spans="1:34" s="1497" customFormat="1" ht="13.5" thickBot="1">
      <c r="A24" s="1493" t="s">
        <v>144</v>
      </c>
      <c r="B24" s="1494">
        <f t="shared" si="69"/>
        <v>307.34512863658733</v>
      </c>
      <c r="C24" s="1494">
        <f t="shared" si="69"/>
        <v>257.80556031626975</v>
      </c>
      <c r="D24" s="1494">
        <f t="shared" si="64"/>
        <v>257.80556031626975</v>
      </c>
      <c r="E24" s="1494">
        <f t="shared" si="70"/>
        <v>422.70928459677179</v>
      </c>
      <c r="F24" s="1494">
        <f t="shared" si="70"/>
        <v>229.73803270336617</v>
      </c>
      <c r="G24" s="3330"/>
      <c r="H24" s="1495">
        <v>1</v>
      </c>
      <c r="I24" s="1495">
        <v>2.97</v>
      </c>
      <c r="J24" s="1495">
        <v>2.34</v>
      </c>
      <c r="K24" s="1495">
        <v>3.28</v>
      </c>
      <c r="L24" s="1496">
        <v>1.36</v>
      </c>
      <c r="N24" s="1498">
        <f t="shared" si="66"/>
        <v>2.9700000000000001E-2</v>
      </c>
      <c r="O24" s="1499">
        <f t="shared" si="61"/>
        <v>2.3399999999999997E-2</v>
      </c>
      <c r="P24" s="1499">
        <f t="shared" si="61"/>
        <v>3.2799999999999996E-2</v>
      </c>
      <c r="Q24" s="1499">
        <f t="shared" si="61"/>
        <v>1.3600000000000001E-2</v>
      </c>
      <c r="R24" s="1500"/>
      <c r="S24" s="1501">
        <f>B24/B25-1</f>
        <v>2.7910129219355539E-2</v>
      </c>
      <c r="T24" s="1502">
        <f>C24/C25-1</f>
        <v>2.3037937762975247E-2</v>
      </c>
      <c r="U24" s="1502">
        <f>E24/E25-1</f>
        <v>3.3519033243940788E-2</v>
      </c>
      <c r="V24" s="1502">
        <f>F24/F25-1</f>
        <v>1.2061818076502862E-2</v>
      </c>
      <c r="W24" s="1503" t="s">
        <v>1154</v>
      </c>
      <c r="X24" s="1504">
        <v>1</v>
      </c>
      <c r="Y24" s="1504">
        <v>1</v>
      </c>
      <c r="Z24" s="1504">
        <v>1</v>
      </c>
      <c r="AA24" s="1504">
        <v>1</v>
      </c>
      <c r="AB24" s="1504">
        <v>1</v>
      </c>
      <c r="AD24" s="1725">
        <f>I24/100</f>
        <v>2.9700000000000001E-2</v>
      </c>
      <c r="AE24" s="1725">
        <f>J24/100</f>
        <v>2.3399999999999997E-2</v>
      </c>
      <c r="AF24" s="1725">
        <f>AE24</f>
        <v>2.3399999999999997E-2</v>
      </c>
      <c r="AG24" s="1725">
        <f>K24/100</f>
        <v>3.2799999999999996E-2</v>
      </c>
      <c r="AH24" s="1725">
        <f>L24/100</f>
        <v>1.3600000000000001E-2</v>
      </c>
    </row>
    <row r="25" spans="1:34" ht="13.5" thickBot="1">
      <c r="A25" s="1460" t="s">
        <v>1155</v>
      </c>
      <c r="B25" s="1468">
        <v>299</v>
      </c>
      <c r="C25" s="1468">
        <v>252</v>
      </c>
      <c r="D25" s="1468">
        <f t="shared" si="64"/>
        <v>252</v>
      </c>
      <c r="E25" s="1468">
        <v>409</v>
      </c>
      <c r="F25" s="1469">
        <v>227</v>
      </c>
      <c r="G25" s="3333">
        <v>2013</v>
      </c>
      <c r="H25" s="1505">
        <v>4</v>
      </c>
      <c r="I25" s="1505">
        <v>1.83</v>
      </c>
      <c r="J25" s="1505">
        <v>1.68</v>
      </c>
      <c r="K25" s="1505">
        <v>1.97</v>
      </c>
      <c r="L25" s="1506">
        <v>0.87</v>
      </c>
      <c r="N25" s="1483">
        <f t="shared" si="66"/>
        <v>1.83E-2</v>
      </c>
      <c r="O25" s="1484">
        <f t="shared" si="61"/>
        <v>1.6799999999999999E-2</v>
      </c>
      <c r="P25" s="1484">
        <f t="shared" si="61"/>
        <v>1.9699999999999999E-2</v>
      </c>
      <c r="Q25" s="1484">
        <f t="shared" si="61"/>
        <v>8.6999999999999994E-3</v>
      </c>
      <c r="R25" s="1473"/>
      <c r="S25" s="1474"/>
      <c r="T25" s="1475"/>
      <c r="U25" s="1475"/>
      <c r="V25" s="1475"/>
      <c r="X25" s="1475"/>
      <c r="Y25" s="1475"/>
      <c r="Z25" s="1475"/>
    </row>
    <row r="26" spans="1:34">
      <c r="A26" s="1460" t="s">
        <v>1156</v>
      </c>
      <c r="B26" s="1476">
        <f t="shared" ref="B26:C28" si="73">B25/(1+N25)</f>
        <v>293.62663262299913</v>
      </c>
      <c r="C26" s="1476">
        <f t="shared" si="73"/>
        <v>247.83634933123525</v>
      </c>
      <c r="D26" s="1476">
        <f t="shared" si="64"/>
        <v>247.83634933123525</v>
      </c>
      <c r="E26" s="1476">
        <f t="shared" ref="E26:F28" si="74">E25/(1+P25)</f>
        <v>401.09836226341076</v>
      </c>
      <c r="F26" s="1476">
        <f t="shared" si="74"/>
        <v>225.04213343908003</v>
      </c>
      <c r="G26" s="3334"/>
      <c r="H26" s="1486">
        <v>3</v>
      </c>
      <c r="I26" s="1486">
        <v>1.86</v>
      </c>
      <c r="J26" s="1486">
        <v>1.72</v>
      </c>
      <c r="K26" s="1486">
        <v>1.98</v>
      </c>
      <c r="L26" s="1487">
        <v>0.88</v>
      </c>
      <c r="N26" s="1471">
        <f t="shared" si="66"/>
        <v>1.8600000000000002E-2</v>
      </c>
      <c r="O26" s="1488">
        <f t="shared" si="61"/>
        <v>1.72E-2</v>
      </c>
      <c r="P26" s="1488">
        <f t="shared" si="61"/>
        <v>1.9799999999999998E-2</v>
      </c>
      <c r="Q26" s="1488">
        <f t="shared" si="61"/>
        <v>8.8000000000000005E-3</v>
      </c>
      <c r="R26" s="1473"/>
      <c r="S26" s="1471"/>
      <c r="T26" s="1472"/>
      <c r="U26" s="1472"/>
      <c r="V26" s="1472"/>
    </row>
    <row r="27" spans="1:34">
      <c r="A27" s="1460" t="s">
        <v>1157</v>
      </c>
      <c r="B27" s="1476">
        <f t="shared" si="73"/>
        <v>288.2649053828776</v>
      </c>
      <c r="C27" s="1476">
        <f t="shared" si="73"/>
        <v>243.64564425013293</v>
      </c>
      <c r="D27" s="1476">
        <f t="shared" si="64"/>
        <v>243.64564425013293</v>
      </c>
      <c r="E27" s="1476">
        <f t="shared" si="74"/>
        <v>393.31080825986544</v>
      </c>
      <c r="F27" s="1476">
        <f t="shared" si="74"/>
        <v>223.07903790551154</v>
      </c>
      <c r="G27" s="3334"/>
      <c r="H27" s="1464">
        <v>2</v>
      </c>
      <c r="I27" s="1464">
        <v>2.04</v>
      </c>
      <c r="J27" s="1464">
        <v>2.33</v>
      </c>
      <c r="K27" s="1464">
        <v>2.0699999999999998</v>
      </c>
      <c r="L27" s="1478">
        <v>0.69</v>
      </c>
      <c r="N27" s="1471">
        <f t="shared" si="66"/>
        <v>2.0400000000000001E-2</v>
      </c>
      <c r="O27" s="1488">
        <f t="shared" si="61"/>
        <v>2.3300000000000001E-2</v>
      </c>
      <c r="P27" s="1488">
        <f t="shared" si="61"/>
        <v>2.07E-2</v>
      </c>
      <c r="Q27" s="1488">
        <f t="shared" si="61"/>
        <v>6.8999999999999999E-3</v>
      </c>
      <c r="R27" s="1473"/>
      <c r="S27" s="1471"/>
      <c r="T27" s="1472"/>
      <c r="U27" s="1472"/>
      <c r="V27" s="1472"/>
      <c r="X27" s="1507"/>
      <c r="Y27" s="1508"/>
    </row>
    <row r="28" spans="1:34">
      <c r="A28" s="1460" t="s">
        <v>1158</v>
      </c>
      <c r="B28" s="1476">
        <f t="shared" si="73"/>
        <v>282.50186729015837</v>
      </c>
      <c r="C28" s="1476">
        <f t="shared" si="73"/>
        <v>238.09796174155468</v>
      </c>
      <c r="D28" s="1476">
        <f t="shared" si="64"/>
        <v>238.09796174155468</v>
      </c>
      <c r="E28" s="1476">
        <f t="shared" si="74"/>
        <v>385.33438646014054</v>
      </c>
      <c r="F28" s="1476">
        <f t="shared" si="74"/>
        <v>221.55034055567739</v>
      </c>
      <c r="G28" s="3335"/>
      <c r="H28" s="1463">
        <v>1</v>
      </c>
      <c r="I28" s="1463">
        <v>1.67</v>
      </c>
      <c r="J28" s="1463">
        <v>1.31</v>
      </c>
      <c r="K28" s="1463">
        <v>1.85</v>
      </c>
      <c r="L28" s="1477">
        <v>0.96</v>
      </c>
      <c r="N28" s="1479">
        <f t="shared" si="66"/>
        <v>1.67E-2</v>
      </c>
      <c r="O28" s="1480">
        <f t="shared" si="66"/>
        <v>1.3100000000000001E-2</v>
      </c>
      <c r="P28" s="1480">
        <f t="shared" si="66"/>
        <v>1.8500000000000003E-2</v>
      </c>
      <c r="Q28" s="1480">
        <f t="shared" si="66"/>
        <v>9.5999999999999992E-3</v>
      </c>
      <c r="R28" s="1473"/>
      <c r="S28" s="1479">
        <f>B28/B29-1</f>
        <v>1.6193767230785472E-2</v>
      </c>
      <c r="T28" s="1480">
        <f>C28/C29-1</f>
        <v>1.7512657015190891E-2</v>
      </c>
      <c r="U28" s="1480">
        <f>E28/E29-1</f>
        <v>1.6713420739157048E-2</v>
      </c>
      <c r="V28" s="1480">
        <f>F28/F29-1</f>
        <v>7.0470025258062563E-3</v>
      </c>
      <c r="X28" s="1509"/>
      <c r="Y28" s="1459"/>
      <c r="Z28" s="1459"/>
    </row>
    <row r="29" spans="1:34" ht="13.5" thickBot="1">
      <c r="A29" s="1460" t="s">
        <v>1159</v>
      </c>
      <c r="B29" s="1510">
        <v>278</v>
      </c>
      <c r="C29" s="1510">
        <v>234</v>
      </c>
      <c r="D29" s="1510">
        <f t="shared" si="64"/>
        <v>234</v>
      </c>
      <c r="E29" s="1510">
        <v>379</v>
      </c>
      <c r="F29" s="1511">
        <v>220</v>
      </c>
      <c r="G29" s="3328">
        <v>2012</v>
      </c>
      <c r="H29" s="1481">
        <v>4</v>
      </c>
      <c r="I29" s="1481">
        <v>0.91</v>
      </c>
      <c r="J29" s="1481">
        <v>0.68</v>
      </c>
      <c r="K29" s="1481">
        <v>0.98</v>
      </c>
      <c r="L29" s="1482">
        <v>0.9</v>
      </c>
      <c r="N29" s="1471">
        <f t="shared" si="66"/>
        <v>9.1000000000000004E-3</v>
      </c>
      <c r="O29" s="1472">
        <f t="shared" si="66"/>
        <v>6.8000000000000005E-3</v>
      </c>
      <c r="P29" s="1472">
        <f t="shared" si="66"/>
        <v>9.7999999999999997E-3</v>
      </c>
      <c r="Q29" s="1472">
        <f t="shared" si="66"/>
        <v>9.0000000000000011E-3</v>
      </c>
      <c r="R29" s="1473"/>
      <c r="S29" s="1474"/>
      <c r="T29" s="1475"/>
      <c r="U29" s="1475"/>
      <c r="V29" s="1475"/>
      <c r="X29" s="1475"/>
      <c r="Y29" s="1475"/>
      <c r="Z29" s="1475"/>
    </row>
    <row r="30" spans="1:34">
      <c r="A30" s="1460" t="s">
        <v>1160</v>
      </c>
      <c r="B30" s="1476">
        <f>B29/(1+N29)</f>
        <v>275.49301357645425</v>
      </c>
      <c r="C30" s="1476">
        <f>C29/(1+O29)</f>
        <v>232.41954707985698</v>
      </c>
      <c r="D30" s="1476">
        <f t="shared" si="64"/>
        <v>232.41954707985698</v>
      </c>
      <c r="E30" s="1476">
        <f t="shared" ref="E30:F32" si="75">E29/(1+P29)</f>
        <v>375.32184591008121</v>
      </c>
      <c r="F30" s="1476">
        <f t="shared" si="75"/>
        <v>218.03766105054513</v>
      </c>
      <c r="G30" s="3329"/>
      <c r="H30" s="1486">
        <v>3</v>
      </c>
      <c r="I30" s="1486">
        <v>0.09</v>
      </c>
      <c r="J30" s="1486">
        <v>0.28999999999999998</v>
      </c>
      <c r="K30" s="1486">
        <v>-0.01</v>
      </c>
      <c r="L30" s="1487">
        <v>0.57999999999999996</v>
      </c>
      <c r="N30" s="1471">
        <f t="shared" si="66"/>
        <v>8.9999999999999998E-4</v>
      </c>
      <c r="O30" s="1472">
        <f t="shared" si="66"/>
        <v>2.8999999999999998E-3</v>
      </c>
      <c r="P30" s="1472">
        <f t="shared" si="66"/>
        <v>-1E-4</v>
      </c>
      <c r="Q30" s="1472">
        <f t="shared" si="66"/>
        <v>5.7999999999999996E-3</v>
      </c>
      <c r="R30" s="1473"/>
      <c r="S30" s="1471"/>
      <c r="T30" s="1472"/>
      <c r="U30" s="1472"/>
      <c r="V30" s="1472"/>
    </row>
    <row r="31" spans="1:34">
      <c r="A31" s="1460" t="s">
        <v>1161</v>
      </c>
      <c r="B31" s="1476">
        <f>B30/(1+N30)</f>
        <v>275.24529281292263</v>
      </c>
      <c r="C31" s="1476">
        <f>C30/(1+O30)</f>
        <v>231.74747938962707</v>
      </c>
      <c r="D31" s="1476">
        <f t="shared" si="64"/>
        <v>231.74747938962707</v>
      </c>
      <c r="E31" s="1476">
        <f t="shared" si="75"/>
        <v>375.35938184826603</v>
      </c>
      <c r="F31" s="1476">
        <f t="shared" si="75"/>
        <v>216.78033510692495</v>
      </c>
      <c r="G31" s="3329"/>
      <c r="H31" s="1464">
        <v>2</v>
      </c>
      <c r="I31" s="1464">
        <v>0.02</v>
      </c>
      <c r="J31" s="1464">
        <v>0.12</v>
      </c>
      <c r="K31" s="1464">
        <v>-0.08</v>
      </c>
      <c r="L31" s="1478">
        <v>1.24</v>
      </c>
      <c r="N31" s="1471">
        <f t="shared" si="66"/>
        <v>2.0000000000000001E-4</v>
      </c>
      <c r="O31" s="1472">
        <f t="shared" si="66"/>
        <v>1.1999999999999999E-3</v>
      </c>
      <c r="P31" s="1472">
        <f t="shared" si="66"/>
        <v>-8.0000000000000004E-4</v>
      </c>
      <c r="Q31" s="1472">
        <f t="shared" si="66"/>
        <v>1.24E-2</v>
      </c>
      <c r="R31" s="1473"/>
      <c r="S31" s="1471"/>
      <c r="T31" s="1472"/>
      <c r="U31" s="1472"/>
      <c r="V31" s="1472"/>
    </row>
    <row r="32" spans="1:34" ht="13.5" thickBot="1">
      <c r="A32" s="1460" t="s">
        <v>1162</v>
      </c>
      <c r="B32" s="1476">
        <f>B31/(1+N31)</f>
        <v>275.19025476197027</v>
      </c>
      <c r="C32" s="1512">
        <v>232</v>
      </c>
      <c r="D32" s="1512">
        <f t="shared" si="64"/>
        <v>232</v>
      </c>
      <c r="E32" s="1476">
        <f t="shared" si="75"/>
        <v>375.65990977608692</v>
      </c>
      <c r="F32" s="1476">
        <f t="shared" si="75"/>
        <v>214.12518283971252</v>
      </c>
      <c r="G32" s="3330"/>
      <c r="H32" s="1463">
        <v>1</v>
      </c>
      <c r="I32" s="1463">
        <v>0.02</v>
      </c>
      <c r="J32" s="1463">
        <v>0.13</v>
      </c>
      <c r="K32" s="1463">
        <v>-0.04</v>
      </c>
      <c r="L32" s="1477">
        <v>0.46</v>
      </c>
      <c r="N32" s="1471">
        <f t="shared" si="66"/>
        <v>2.0000000000000001E-4</v>
      </c>
      <c r="O32" s="1472">
        <f t="shared" si="66"/>
        <v>1.2999999999999999E-3</v>
      </c>
      <c r="P32" s="1472">
        <f t="shared" si="66"/>
        <v>-4.0000000000000002E-4</v>
      </c>
      <c r="Q32" s="1472">
        <f t="shared" si="66"/>
        <v>4.5999999999999999E-3</v>
      </c>
      <c r="R32" s="1473"/>
      <c r="S32" s="1479">
        <f>B32/B33-1</f>
        <v>6.9183549807361189E-4</v>
      </c>
      <c r="T32" s="1480">
        <f>C32/C33-1</f>
        <v>0</v>
      </c>
      <c r="U32" s="1480">
        <f>E32/E33-1</f>
        <v>-9.0449527636460303E-4</v>
      </c>
      <c r="V32" s="1480">
        <f>F32/F33-1</f>
        <v>5.2825485432512753E-3</v>
      </c>
      <c r="X32" s="1459"/>
      <c r="Y32" s="1459"/>
      <c r="Z32" s="1459"/>
    </row>
    <row r="33" spans="1:26" ht="13.5" thickBot="1">
      <c r="A33" s="1460" t="s">
        <v>1163</v>
      </c>
      <c r="B33" s="1468">
        <v>275</v>
      </c>
      <c r="C33" s="1468">
        <v>232</v>
      </c>
      <c r="D33" s="1468">
        <f t="shared" si="64"/>
        <v>232</v>
      </c>
      <c r="E33" s="1468">
        <v>376</v>
      </c>
      <c r="F33" s="1469">
        <v>213</v>
      </c>
      <c r="G33" s="3328">
        <v>2011</v>
      </c>
      <c r="H33" s="1481">
        <v>4</v>
      </c>
      <c r="I33" s="1481">
        <v>-0.2</v>
      </c>
      <c r="J33" s="1481">
        <v>0.04</v>
      </c>
      <c r="K33" s="1481">
        <v>-0.34</v>
      </c>
      <c r="L33" s="1482">
        <v>0.46</v>
      </c>
      <c r="N33" s="1483">
        <f t="shared" si="66"/>
        <v>-2E-3</v>
      </c>
      <c r="O33" s="1484">
        <f t="shared" si="66"/>
        <v>4.0000000000000002E-4</v>
      </c>
      <c r="P33" s="1484">
        <f t="shared" si="66"/>
        <v>-3.4000000000000002E-3</v>
      </c>
      <c r="Q33" s="1484">
        <f t="shared" si="66"/>
        <v>4.5999999999999999E-3</v>
      </c>
      <c r="R33" s="1473"/>
      <c r="S33" s="1474"/>
      <c r="T33" s="1475"/>
      <c r="U33" s="1475"/>
      <c r="V33" s="1475"/>
      <c r="X33" s="1475"/>
      <c r="Y33" s="1475"/>
      <c r="Z33" s="1475"/>
    </row>
    <row r="34" spans="1:26">
      <c r="A34" s="1460" t="s">
        <v>1164</v>
      </c>
      <c r="B34" s="1476">
        <f t="shared" ref="B34:C36" si="76">B33/(1+N33)</f>
        <v>275.55110220440883</v>
      </c>
      <c r="C34" s="1476">
        <f t="shared" si="76"/>
        <v>231.90723710515795</v>
      </c>
      <c r="D34" s="1476">
        <f t="shared" si="64"/>
        <v>231.90723710515795</v>
      </c>
      <c r="E34" s="1476">
        <f t="shared" ref="E34:F36" si="77">E33/(1+P33)</f>
        <v>377.28276138872161</v>
      </c>
      <c r="F34" s="1476">
        <f t="shared" si="77"/>
        <v>212.02468644236512</v>
      </c>
      <c r="G34" s="3329">
        <v>2011</v>
      </c>
      <c r="H34" s="1486">
        <v>3</v>
      </c>
      <c r="I34" s="1486">
        <v>0.13</v>
      </c>
      <c r="J34" s="1486">
        <v>0.75</v>
      </c>
      <c r="K34" s="1486">
        <v>-0.08</v>
      </c>
      <c r="L34" s="1487">
        <v>0.53</v>
      </c>
      <c r="N34" s="1471">
        <f t="shared" si="66"/>
        <v>1.2999999999999999E-3</v>
      </c>
      <c r="O34" s="1488">
        <f t="shared" si="66"/>
        <v>7.4999999999999997E-3</v>
      </c>
      <c r="P34" s="1488">
        <f t="shared" si="66"/>
        <v>-8.0000000000000004E-4</v>
      </c>
      <c r="Q34" s="1488">
        <f t="shared" si="66"/>
        <v>5.3E-3</v>
      </c>
      <c r="R34" s="1473"/>
      <c r="S34" s="1471"/>
      <c r="T34" s="1472"/>
      <c r="U34" s="1472"/>
      <c r="V34" s="1472"/>
    </row>
    <row r="35" spans="1:26">
      <c r="A35" s="1460" t="s">
        <v>1165</v>
      </c>
      <c r="B35" s="1476">
        <f t="shared" si="76"/>
        <v>275.19335084830601</v>
      </c>
      <c r="C35" s="1476">
        <f t="shared" si="76"/>
        <v>230.18088050139744</v>
      </c>
      <c r="D35" s="1476">
        <f t="shared" si="64"/>
        <v>230.18088050139744</v>
      </c>
      <c r="E35" s="1476">
        <f t="shared" si="77"/>
        <v>377.58482925212331</v>
      </c>
      <c r="F35" s="1476">
        <f t="shared" si="77"/>
        <v>210.90687997847917</v>
      </c>
      <c r="G35" s="3329">
        <v>2011</v>
      </c>
      <c r="H35" s="1464">
        <v>2</v>
      </c>
      <c r="I35" s="1464">
        <v>-0.4</v>
      </c>
      <c r="J35" s="1464">
        <v>0.17</v>
      </c>
      <c r="K35" s="1464">
        <v>-0.57999999999999996</v>
      </c>
      <c r="L35" s="1478">
        <v>-0.2</v>
      </c>
      <c r="N35" s="1471">
        <f t="shared" si="66"/>
        <v>-4.0000000000000001E-3</v>
      </c>
      <c r="O35" s="1488">
        <f t="shared" si="66"/>
        <v>1.7000000000000001E-3</v>
      </c>
      <c r="P35" s="1488">
        <f t="shared" si="66"/>
        <v>-5.7999999999999996E-3</v>
      </c>
      <c r="Q35" s="1488">
        <f t="shared" si="66"/>
        <v>-2E-3</v>
      </c>
      <c r="R35" s="1473"/>
      <c r="S35" s="1471"/>
      <c r="T35" s="1472"/>
      <c r="U35" s="1472"/>
      <c r="V35" s="1472"/>
    </row>
    <row r="36" spans="1:26" ht="13.5" thickBot="1">
      <c r="A36" s="1460" t="s">
        <v>1166</v>
      </c>
      <c r="B36" s="1476">
        <f t="shared" si="76"/>
        <v>276.29854502841971</v>
      </c>
      <c r="C36" s="1476">
        <f t="shared" si="76"/>
        <v>229.79023709833027</v>
      </c>
      <c r="D36" s="1476">
        <f t="shared" si="64"/>
        <v>229.79023709833027</v>
      </c>
      <c r="E36" s="1476">
        <f t="shared" si="77"/>
        <v>379.78759731655936</v>
      </c>
      <c r="F36" s="1476">
        <f t="shared" si="77"/>
        <v>211.32953905659235</v>
      </c>
      <c r="G36" s="3330">
        <v>2011</v>
      </c>
      <c r="H36" s="1463">
        <v>1</v>
      </c>
      <c r="I36" s="1463">
        <v>2.65</v>
      </c>
      <c r="J36" s="1463">
        <v>3.76</v>
      </c>
      <c r="K36" s="1463">
        <v>1.89</v>
      </c>
      <c r="L36" s="1477">
        <v>7.95</v>
      </c>
      <c r="N36" s="1479">
        <f t="shared" si="66"/>
        <v>2.6499999999999999E-2</v>
      </c>
      <c r="O36" s="1480">
        <f t="shared" si="66"/>
        <v>3.7599999999999995E-2</v>
      </c>
      <c r="P36" s="1480">
        <f t="shared" si="66"/>
        <v>1.89E-2</v>
      </c>
      <c r="Q36" s="1480">
        <f t="shared" si="66"/>
        <v>7.9500000000000001E-2</v>
      </c>
      <c r="R36" s="1473"/>
      <c r="S36" s="1479">
        <f>B36/B37-1</f>
        <v>2.713213765211786E-2</v>
      </c>
      <c r="T36" s="1480">
        <f>C36/C37-1</f>
        <v>3.9774828499231862E-2</v>
      </c>
      <c r="U36" s="1480">
        <f>E36/E37-1</f>
        <v>1.8197311840641772E-2</v>
      </c>
      <c r="V36" s="1480">
        <f>F36/F37-1</f>
        <v>7.8211933962205826E-2</v>
      </c>
      <c r="X36" s="1459"/>
      <c r="Y36" s="1459"/>
      <c r="Z36" s="1459"/>
    </row>
    <row r="37" spans="1:26" ht="13.5" thickBot="1">
      <c r="A37" s="1460" t="s">
        <v>1167</v>
      </c>
      <c r="B37" s="1468">
        <v>269</v>
      </c>
      <c r="C37" s="1468">
        <v>221</v>
      </c>
      <c r="D37" s="1468">
        <f t="shared" si="64"/>
        <v>221</v>
      </c>
      <c r="E37" s="1468">
        <v>373</v>
      </c>
      <c r="F37" s="1469">
        <v>196</v>
      </c>
      <c r="G37" s="3328">
        <v>2010</v>
      </c>
      <c r="H37" s="1481">
        <v>4</v>
      </c>
      <c r="I37" s="1481">
        <v>5.72</v>
      </c>
      <c r="J37" s="1481">
        <v>6.57</v>
      </c>
      <c r="K37" s="1481">
        <v>5.72</v>
      </c>
      <c r="L37" s="1482">
        <v>2.72</v>
      </c>
      <c r="N37" s="1471">
        <f t="shared" si="66"/>
        <v>5.7200000000000001E-2</v>
      </c>
      <c r="O37" s="1472">
        <f t="shared" si="66"/>
        <v>6.5700000000000008E-2</v>
      </c>
      <c r="P37" s="1472">
        <f t="shared" si="66"/>
        <v>5.7200000000000001E-2</v>
      </c>
      <c r="Q37" s="1472">
        <f t="shared" si="66"/>
        <v>2.7200000000000002E-2</v>
      </c>
      <c r="R37" s="1473"/>
      <c r="S37" s="1474"/>
      <c r="T37" s="1475"/>
      <c r="U37" s="1475"/>
      <c r="V37" s="1475"/>
      <c r="X37" s="1475"/>
      <c r="Y37" s="1475"/>
      <c r="Z37" s="1475"/>
    </row>
    <row r="38" spans="1:26">
      <c r="A38" s="1460" t="s">
        <v>1168</v>
      </c>
      <c r="B38" s="1476">
        <f t="shared" ref="B38:C40" si="78">B37/(1+N37)</f>
        <v>254.44570563753314</v>
      </c>
      <c r="C38" s="1476">
        <f t="shared" si="78"/>
        <v>207.37543398705074</v>
      </c>
      <c r="D38" s="1476">
        <f t="shared" si="64"/>
        <v>207.37543398705074</v>
      </c>
      <c r="E38" s="1476">
        <f t="shared" ref="E38:F40" si="79">E37/(1+P37)</f>
        <v>352.81876655315932</v>
      </c>
      <c r="F38" s="1476">
        <f t="shared" si="79"/>
        <v>190.809968847352</v>
      </c>
      <c r="G38" s="3329">
        <v>2010</v>
      </c>
      <c r="H38" s="1486">
        <v>3</v>
      </c>
      <c r="I38" s="1486">
        <v>4.7300000000000004</v>
      </c>
      <c r="J38" s="1486">
        <v>3.9</v>
      </c>
      <c r="K38" s="1486">
        <v>5.03</v>
      </c>
      <c r="L38" s="1487">
        <v>4.21</v>
      </c>
      <c r="N38" s="1471">
        <f t="shared" si="66"/>
        <v>4.7300000000000002E-2</v>
      </c>
      <c r="O38" s="1472">
        <f t="shared" si="66"/>
        <v>3.9E-2</v>
      </c>
      <c r="P38" s="1472">
        <f t="shared" si="66"/>
        <v>5.0300000000000004E-2</v>
      </c>
      <c r="Q38" s="1472">
        <f t="shared" si="66"/>
        <v>4.2099999999999999E-2</v>
      </c>
      <c r="R38" s="1473"/>
      <c r="S38" s="1471"/>
      <c r="T38" s="1472"/>
      <c r="U38" s="1472"/>
      <c r="V38" s="1472"/>
    </row>
    <row r="39" spans="1:26">
      <c r="A39" s="1460" t="s">
        <v>1169</v>
      </c>
      <c r="B39" s="1476">
        <f t="shared" si="78"/>
        <v>242.95398227588385</v>
      </c>
      <c r="C39" s="1476">
        <f t="shared" si="78"/>
        <v>199.59137053614126</v>
      </c>
      <c r="D39" s="1476">
        <f t="shared" si="64"/>
        <v>199.59137053614126</v>
      </c>
      <c r="E39" s="1476">
        <f t="shared" si="79"/>
        <v>335.92189522342125</v>
      </c>
      <c r="F39" s="1476">
        <f t="shared" si="79"/>
        <v>183.10139991109489</v>
      </c>
      <c r="G39" s="3329">
        <v>2010</v>
      </c>
      <c r="H39" s="1464">
        <v>2</v>
      </c>
      <c r="I39" s="1464">
        <v>4.6900000000000004</v>
      </c>
      <c r="J39" s="1464">
        <v>3.55</v>
      </c>
      <c r="K39" s="1464">
        <v>5.07</v>
      </c>
      <c r="L39" s="1478">
        <v>4.2300000000000004</v>
      </c>
      <c r="N39" s="1471">
        <f t="shared" si="66"/>
        <v>4.6900000000000004E-2</v>
      </c>
      <c r="O39" s="1472">
        <f t="shared" si="66"/>
        <v>3.5499999999999997E-2</v>
      </c>
      <c r="P39" s="1472">
        <f t="shared" si="66"/>
        <v>5.0700000000000002E-2</v>
      </c>
      <c r="Q39" s="1472">
        <f t="shared" si="66"/>
        <v>4.2300000000000004E-2</v>
      </c>
      <c r="R39" s="1473"/>
      <c r="S39" s="1471"/>
      <c r="T39" s="1472"/>
      <c r="U39" s="1472"/>
      <c r="V39" s="1472"/>
    </row>
    <row r="40" spans="1:26" ht="13.5" thickBot="1">
      <c r="A40" s="1460" t="s">
        <v>1170</v>
      </c>
      <c r="B40" s="1476">
        <f t="shared" si="78"/>
        <v>232.06990378821649</v>
      </c>
      <c r="C40" s="1476">
        <f t="shared" si="78"/>
        <v>192.74878854286936</v>
      </c>
      <c r="D40" s="1476">
        <f t="shared" si="64"/>
        <v>192.74878854286936</v>
      </c>
      <c r="E40" s="1476">
        <f t="shared" si="79"/>
        <v>319.71247284992984</v>
      </c>
      <c r="F40" s="1476">
        <f t="shared" si="79"/>
        <v>175.67053622862409</v>
      </c>
      <c r="G40" s="3330">
        <v>2010</v>
      </c>
      <c r="H40" s="1463">
        <v>1</v>
      </c>
      <c r="I40" s="1463">
        <v>5.4</v>
      </c>
      <c r="J40" s="1463">
        <v>3.2</v>
      </c>
      <c r="K40" s="1463">
        <v>6.16</v>
      </c>
      <c r="L40" s="1477">
        <v>4.51</v>
      </c>
      <c r="N40" s="1471">
        <f t="shared" si="66"/>
        <v>5.4000000000000006E-2</v>
      </c>
      <c r="O40" s="1472">
        <f t="shared" si="66"/>
        <v>3.2000000000000001E-2</v>
      </c>
      <c r="P40" s="1472">
        <f t="shared" si="66"/>
        <v>6.1600000000000002E-2</v>
      </c>
      <c r="Q40" s="1472">
        <f t="shared" si="66"/>
        <v>4.5100000000000001E-2</v>
      </c>
      <c r="R40" s="1473"/>
      <c r="S40" s="1479">
        <f>B40/B41-1</f>
        <v>5.4863199037347599E-2</v>
      </c>
      <c r="T40" s="1480">
        <f>C40/C41-1</f>
        <v>3.0742184721226584E-2</v>
      </c>
      <c r="U40" s="1480">
        <f>E40/E41-1</f>
        <v>6.2167683886810154E-2</v>
      </c>
      <c r="V40" s="1480">
        <f>F40/F41-1</f>
        <v>4.5657953741810031E-2</v>
      </c>
      <c r="X40" s="1459"/>
      <c r="Y40" s="1459"/>
      <c r="Z40" s="1459"/>
    </row>
    <row r="41" spans="1:26" ht="13.5" thickBot="1">
      <c r="A41" s="1460" t="s">
        <v>1171</v>
      </c>
      <c r="B41" s="1468">
        <v>220</v>
      </c>
      <c r="C41" s="1468">
        <v>187</v>
      </c>
      <c r="D41" s="1468">
        <f t="shared" si="64"/>
        <v>187</v>
      </c>
      <c r="E41" s="1468">
        <v>301</v>
      </c>
      <c r="F41" s="1469">
        <v>168</v>
      </c>
      <c r="G41" s="3328">
        <v>2009</v>
      </c>
      <c r="H41" s="1481">
        <v>4</v>
      </c>
      <c r="I41" s="1481">
        <v>2.2999999999999998</v>
      </c>
      <c r="J41" s="1481">
        <v>1.04</v>
      </c>
      <c r="K41" s="1481">
        <v>2.84</v>
      </c>
      <c r="L41" s="1482">
        <v>0.67</v>
      </c>
      <c r="N41" s="1483">
        <f t="shared" si="66"/>
        <v>2.3E-2</v>
      </c>
      <c r="O41" s="1484">
        <f t="shared" si="66"/>
        <v>1.04E-2</v>
      </c>
      <c r="P41" s="1484">
        <f t="shared" si="66"/>
        <v>2.8399999999999998E-2</v>
      </c>
      <c r="Q41" s="1484">
        <f t="shared" si="66"/>
        <v>6.7000000000000002E-3</v>
      </c>
      <c r="R41" s="1473"/>
      <c r="S41" s="1474"/>
      <c r="T41" s="1475"/>
      <c r="U41" s="1475"/>
      <c r="V41" s="1475"/>
      <c r="X41" s="1475"/>
      <c r="Y41" s="1475"/>
      <c r="Z41" s="1475"/>
    </row>
    <row r="42" spans="1:26">
      <c r="A42" s="1460" t="s">
        <v>1172</v>
      </c>
      <c r="B42" s="1476">
        <f t="shared" ref="B42:C44" si="80">B41/(1+N41)</f>
        <v>215.05376344086022</v>
      </c>
      <c r="C42" s="1476">
        <f t="shared" si="80"/>
        <v>185.0752177355503</v>
      </c>
      <c r="D42" s="1476">
        <f t="shared" si="64"/>
        <v>185.0752177355503</v>
      </c>
      <c r="E42" s="1476">
        <f t="shared" ref="E42:F44" si="81">E41/(1+P41)</f>
        <v>292.68767016725008</v>
      </c>
      <c r="F42" s="1476">
        <f t="shared" si="81"/>
        <v>166.88189132810174</v>
      </c>
      <c r="G42" s="3329">
        <v>2009</v>
      </c>
      <c r="H42" s="1486">
        <v>3</v>
      </c>
      <c r="I42" s="1486">
        <v>2.1</v>
      </c>
      <c r="J42" s="1486">
        <v>1.86</v>
      </c>
      <c r="K42" s="1486">
        <v>2.29</v>
      </c>
      <c r="L42" s="1487">
        <v>0.85</v>
      </c>
      <c r="N42" s="1471">
        <f t="shared" si="66"/>
        <v>2.1000000000000001E-2</v>
      </c>
      <c r="O42" s="1488">
        <f t="shared" si="66"/>
        <v>1.8600000000000002E-2</v>
      </c>
      <c r="P42" s="1488">
        <f t="shared" si="66"/>
        <v>2.29E-2</v>
      </c>
      <c r="Q42" s="1488">
        <f t="shared" si="66"/>
        <v>8.5000000000000006E-3</v>
      </c>
      <c r="R42" s="1473"/>
      <c r="S42" s="1471"/>
      <c r="T42" s="1472"/>
      <c r="U42" s="1472"/>
      <c r="V42" s="1472"/>
    </row>
    <row r="43" spans="1:26">
      <c r="A43" s="1460" t="s">
        <v>1173</v>
      </c>
      <c r="B43" s="1476">
        <f t="shared" si="80"/>
        <v>210.630522469011</v>
      </c>
      <c r="C43" s="1476">
        <f t="shared" si="80"/>
        <v>181.69567812247232</v>
      </c>
      <c r="D43" s="1476">
        <f t="shared" si="64"/>
        <v>181.69567812247232</v>
      </c>
      <c r="E43" s="1476">
        <f t="shared" si="81"/>
        <v>286.13517466736738</v>
      </c>
      <c r="F43" s="1476">
        <f t="shared" si="81"/>
        <v>165.47535084591149</v>
      </c>
      <c r="G43" s="3329">
        <v>2009</v>
      </c>
      <c r="H43" s="1464">
        <v>2</v>
      </c>
      <c r="I43" s="1464">
        <v>0.86</v>
      </c>
      <c r="J43" s="1464">
        <v>-1.1299999999999999</v>
      </c>
      <c r="K43" s="1464">
        <v>1.79</v>
      </c>
      <c r="L43" s="1478">
        <v>-2.0699999999999998</v>
      </c>
      <c r="N43" s="1471">
        <f t="shared" si="66"/>
        <v>8.6E-3</v>
      </c>
      <c r="O43" s="1488">
        <f t="shared" si="66"/>
        <v>-1.1299999999999999E-2</v>
      </c>
      <c r="P43" s="1488">
        <f t="shared" si="66"/>
        <v>1.7899999999999999E-2</v>
      </c>
      <c r="Q43" s="1488">
        <f t="shared" si="66"/>
        <v>-2.07E-2</v>
      </c>
      <c r="R43" s="1473"/>
      <c r="S43" s="1471"/>
      <c r="T43" s="1472"/>
      <c r="U43" s="1472"/>
      <c r="V43" s="1472"/>
    </row>
    <row r="44" spans="1:26">
      <c r="A44" s="1460" t="s">
        <v>1174</v>
      </c>
      <c r="B44" s="1476">
        <f t="shared" si="80"/>
        <v>208.83454537875372</v>
      </c>
      <c r="C44" s="1476">
        <f t="shared" si="80"/>
        <v>183.77230517090351</v>
      </c>
      <c r="D44" s="1476">
        <f t="shared" si="64"/>
        <v>183.77230517090351</v>
      </c>
      <c r="E44" s="1476">
        <f t="shared" si="81"/>
        <v>281.10342338870947</v>
      </c>
      <c r="F44" s="1476">
        <f t="shared" si="81"/>
        <v>168.97309388942256</v>
      </c>
      <c r="G44" s="3330">
        <v>2009</v>
      </c>
      <c r="H44" s="1463">
        <v>1</v>
      </c>
      <c r="I44" s="1463">
        <v>-2.64</v>
      </c>
      <c r="J44" s="1463">
        <v>-2.5299999999999998</v>
      </c>
      <c r="K44" s="1463">
        <v>-3.02</v>
      </c>
      <c r="L44" s="1477">
        <v>1.52</v>
      </c>
      <c r="N44" s="1479">
        <f t="shared" si="66"/>
        <v>-2.64E-2</v>
      </c>
      <c r="O44" s="1480">
        <f t="shared" si="66"/>
        <v>-2.53E-2</v>
      </c>
      <c r="P44" s="1480">
        <f t="shared" si="66"/>
        <v>-3.0200000000000001E-2</v>
      </c>
      <c r="Q44" s="1480">
        <f t="shared" si="66"/>
        <v>1.52E-2</v>
      </c>
      <c r="R44" s="1473"/>
      <c r="S44" s="1479">
        <f>B44/B45-1</f>
        <v>-2.4137638417038754E-2</v>
      </c>
      <c r="T44" s="1480">
        <f>C44/C45-1</f>
        <v>-2.248773845264096E-2</v>
      </c>
      <c r="U44" s="1480">
        <f>E44/E45-1</f>
        <v>-2.7323794502735366E-2</v>
      </c>
      <c r="V44" s="1480">
        <f>F44/F45-1</f>
        <v>1.7910204153148035E-2</v>
      </c>
      <c r="X44" s="1459"/>
      <c r="Y44" s="1459"/>
      <c r="Z44" s="1459"/>
    </row>
    <row r="45" spans="1:26" ht="13.5" thickBot="1">
      <c r="A45" s="1460" t="s">
        <v>1175</v>
      </c>
      <c r="B45" s="1510">
        <v>214</v>
      </c>
      <c r="C45" s="1510">
        <v>188</v>
      </c>
      <c r="D45" s="1510">
        <f t="shared" si="64"/>
        <v>188</v>
      </c>
      <c r="E45" s="1510">
        <v>289</v>
      </c>
      <c r="F45" s="1511">
        <v>166</v>
      </c>
      <c r="G45" s="3328">
        <v>2008</v>
      </c>
      <c r="H45" s="1481">
        <v>4</v>
      </c>
      <c r="I45" s="1481">
        <v>1.73</v>
      </c>
      <c r="J45" s="1481">
        <v>0.03</v>
      </c>
      <c r="K45" s="1481">
        <v>2.59</v>
      </c>
      <c r="L45" s="1482">
        <v>-1.66</v>
      </c>
      <c r="N45" s="1471">
        <f t="shared" si="66"/>
        <v>1.7299999999999999E-2</v>
      </c>
      <c r="O45" s="1472">
        <f t="shared" si="66"/>
        <v>2.9999999999999997E-4</v>
      </c>
      <c r="P45" s="1472">
        <f t="shared" si="66"/>
        <v>2.5899999999999999E-2</v>
      </c>
      <c r="Q45" s="1472">
        <f t="shared" si="66"/>
        <v>-1.66E-2</v>
      </c>
      <c r="R45" s="1473"/>
      <c r="S45" s="1474"/>
      <c r="T45" s="1475"/>
      <c r="U45" s="1475"/>
      <c r="V45" s="1475"/>
      <c r="X45" s="1475"/>
      <c r="Y45" s="1475"/>
      <c r="Z45" s="1475"/>
    </row>
    <row r="46" spans="1:26">
      <c r="A46" s="1460" t="s">
        <v>1176</v>
      </c>
      <c r="B46" s="1476">
        <f t="shared" ref="B46:C48" si="82">B45/(1+N45)</f>
        <v>210.36075887152265</v>
      </c>
      <c r="C46" s="1476">
        <f t="shared" si="82"/>
        <v>187.94361691492554</v>
      </c>
      <c r="D46" s="1476">
        <f t="shared" si="64"/>
        <v>187.94361691492554</v>
      </c>
      <c r="E46" s="1476">
        <f t="shared" ref="E46:F48" si="83">E45/(1+P45)</f>
        <v>281.70386977288234</v>
      </c>
      <c r="F46" s="1476">
        <f t="shared" si="83"/>
        <v>168.80211511083994</v>
      </c>
      <c r="G46" s="3329">
        <v>2008</v>
      </c>
      <c r="H46" s="1486">
        <v>3</v>
      </c>
      <c r="I46" s="1486">
        <v>1.96</v>
      </c>
      <c r="J46" s="1486">
        <v>2.36</v>
      </c>
      <c r="K46" s="1486">
        <v>1.82</v>
      </c>
      <c r="L46" s="1487">
        <v>2.2200000000000002</v>
      </c>
      <c r="N46" s="1471">
        <f t="shared" si="66"/>
        <v>1.9599999999999999E-2</v>
      </c>
      <c r="O46" s="1472">
        <f t="shared" si="66"/>
        <v>2.3599999999999999E-2</v>
      </c>
      <c r="P46" s="1472">
        <f t="shared" si="66"/>
        <v>1.8200000000000001E-2</v>
      </c>
      <c r="Q46" s="1472">
        <f t="shared" si="66"/>
        <v>2.2200000000000001E-2</v>
      </c>
      <c r="R46" s="1473"/>
      <c r="S46" s="1471"/>
      <c r="T46" s="1472"/>
      <c r="U46" s="1472"/>
      <c r="V46" s="1472"/>
    </row>
    <row r="47" spans="1:26">
      <c r="A47" s="1460" t="s">
        <v>1177</v>
      </c>
      <c r="B47" s="1476">
        <f t="shared" si="82"/>
        <v>206.31694671589116</v>
      </c>
      <c r="C47" s="1476">
        <f t="shared" si="82"/>
        <v>183.61041121036101</v>
      </c>
      <c r="D47" s="1476">
        <f t="shared" si="64"/>
        <v>183.61041121036101</v>
      </c>
      <c r="E47" s="1476">
        <f t="shared" si="83"/>
        <v>276.66850301795557</v>
      </c>
      <c r="F47" s="1476">
        <f t="shared" si="83"/>
        <v>165.1360938278614</v>
      </c>
      <c r="G47" s="3329">
        <v>2008</v>
      </c>
      <c r="H47" s="1464">
        <v>2</v>
      </c>
      <c r="I47" s="1464">
        <v>4.93</v>
      </c>
      <c r="J47" s="1464">
        <v>7.38</v>
      </c>
      <c r="K47" s="1464">
        <v>3.98</v>
      </c>
      <c r="L47" s="1478">
        <v>6.86</v>
      </c>
      <c r="N47" s="1471">
        <f t="shared" si="66"/>
        <v>4.9299999999999997E-2</v>
      </c>
      <c r="O47" s="1472">
        <f t="shared" si="66"/>
        <v>7.3800000000000004E-2</v>
      </c>
      <c r="P47" s="1472">
        <f t="shared" si="66"/>
        <v>3.9800000000000002E-2</v>
      </c>
      <c r="Q47" s="1472">
        <f t="shared" si="66"/>
        <v>6.8600000000000008E-2</v>
      </c>
      <c r="R47" s="1473"/>
      <c r="S47" s="1471"/>
      <c r="T47" s="1472"/>
      <c r="U47" s="1472"/>
      <c r="V47" s="1472"/>
    </row>
    <row r="48" spans="1:26" s="1516" customFormat="1" ht="13.5" thickBot="1">
      <c r="A48" s="1460" t="s">
        <v>1178</v>
      </c>
      <c r="B48" s="1513">
        <f t="shared" si="82"/>
        <v>196.62341248059772</v>
      </c>
      <c r="C48" s="1513">
        <f t="shared" si="82"/>
        <v>170.99125648199012</v>
      </c>
      <c r="D48" s="1513">
        <f t="shared" si="64"/>
        <v>170.99125648199012</v>
      </c>
      <c r="E48" s="1513">
        <f t="shared" si="83"/>
        <v>266.07857570490052</v>
      </c>
      <c r="F48" s="1513">
        <f t="shared" si="83"/>
        <v>154.53499328828505</v>
      </c>
      <c r="G48" s="3330">
        <v>2008</v>
      </c>
      <c r="H48" s="1514">
        <v>1</v>
      </c>
      <c r="I48" s="1514">
        <v>4.1399999999999997</v>
      </c>
      <c r="J48" s="1514">
        <v>3.45</v>
      </c>
      <c r="K48" s="1514">
        <v>4.95</v>
      </c>
      <c r="L48" s="1515">
        <v>4.82</v>
      </c>
      <c r="N48" s="1517">
        <f t="shared" si="66"/>
        <v>4.1399999999999999E-2</v>
      </c>
      <c r="O48" s="1518">
        <f t="shared" si="66"/>
        <v>3.4500000000000003E-2</v>
      </c>
      <c r="P48" s="1518">
        <f t="shared" si="66"/>
        <v>4.9500000000000002E-2</v>
      </c>
      <c r="Q48" s="1518">
        <f t="shared" si="66"/>
        <v>4.82E-2</v>
      </c>
      <c r="R48" s="1519"/>
      <c r="S48" s="1517">
        <f>B48/B49-1</f>
        <v>4.5869215322328349E-2</v>
      </c>
      <c r="T48" s="1518">
        <f>C48/C49-1</f>
        <v>3.6310645345394743E-2</v>
      </c>
      <c r="U48" s="1518">
        <f>E48/E49-1</f>
        <v>4.7553447657088688E-2</v>
      </c>
      <c r="V48" s="1518">
        <f>F48/F49-1</f>
        <v>4.4155360055980086E-2</v>
      </c>
      <c r="X48" s="1520"/>
      <c r="Y48" s="1520"/>
      <c r="Z48" s="1520"/>
    </row>
    <row r="49" spans="1:26" ht="13.5" thickBot="1">
      <c r="A49" s="1460" t="s">
        <v>1179</v>
      </c>
      <c r="B49" s="1468">
        <v>188</v>
      </c>
      <c r="C49" s="1468">
        <v>165</v>
      </c>
      <c r="D49" s="1468">
        <f t="shared" si="64"/>
        <v>165</v>
      </c>
      <c r="E49" s="1468">
        <v>254</v>
      </c>
      <c r="F49" s="1469">
        <v>148</v>
      </c>
      <c r="G49" s="3328">
        <v>2007</v>
      </c>
      <c r="H49" s="1521">
        <v>4</v>
      </c>
      <c r="I49" s="1521">
        <v>5.51</v>
      </c>
      <c r="J49" s="1521">
        <v>4.8899999999999997</v>
      </c>
      <c r="K49" s="1521">
        <v>6.43</v>
      </c>
      <c r="L49" s="1522">
        <v>5.36</v>
      </c>
      <c r="N49" s="1523">
        <f t="shared" ref="N49:O52" si="84">B49/B50-1</f>
        <v>4.1339718365245526E-2</v>
      </c>
      <c r="O49" s="1524">
        <f t="shared" si="84"/>
        <v>4.0324492593776018E-2</v>
      </c>
      <c r="P49" s="1524">
        <f t="shared" ref="P49:Q52" si="85">E49/E50-1</f>
        <v>6.1625555347990968E-2</v>
      </c>
      <c r="Q49" s="1524">
        <f t="shared" si="85"/>
        <v>4.6757569250590603E-2</v>
      </c>
      <c r="R49" s="1473"/>
      <c r="S49" s="1474"/>
      <c r="T49" s="1475"/>
      <c r="U49" s="1475"/>
      <c r="V49" s="1475"/>
      <c r="X49" s="1475"/>
      <c r="Y49" s="1475"/>
      <c r="Z49" s="1475"/>
    </row>
    <row r="50" spans="1:26">
      <c r="A50" s="1460" t="s">
        <v>1180</v>
      </c>
      <c r="B50" s="1476">
        <f t="shared" ref="B50:C52" si="86">B51+(B$49-B$53)*I50/SUM(I$49:I$52)</f>
        <v>180.5366651097618</v>
      </c>
      <c r="C50" s="1476">
        <f t="shared" si="86"/>
        <v>158.60435967302453</v>
      </c>
      <c r="D50" s="1476">
        <f t="shared" si="64"/>
        <v>158.60435967302453</v>
      </c>
      <c r="E50" s="1476">
        <f t="shared" ref="E50:F52" si="87">E51+(E$49-E$53)*K50/SUM(K$49:K$52)</f>
        <v>239.25573260785075</v>
      </c>
      <c r="F50" s="1476">
        <f t="shared" si="87"/>
        <v>141.38899430740037</v>
      </c>
      <c r="G50" s="3329">
        <v>2007</v>
      </c>
      <c r="H50" s="1486">
        <v>3</v>
      </c>
      <c r="I50" s="1486">
        <v>8.65</v>
      </c>
      <c r="J50" s="1486">
        <v>8.06</v>
      </c>
      <c r="K50" s="1486">
        <v>9.94</v>
      </c>
      <c r="L50" s="1487">
        <v>5.8</v>
      </c>
      <c r="N50" s="1523">
        <f t="shared" si="84"/>
        <v>6.940217571740015E-2</v>
      </c>
      <c r="O50" s="1524">
        <f t="shared" si="84"/>
        <v>7.1197482471153428E-2</v>
      </c>
      <c r="P50" s="1524">
        <f t="shared" si="85"/>
        <v>0.10529679922579582</v>
      </c>
      <c r="Q50" s="1524">
        <f t="shared" si="85"/>
        <v>5.3292245059512133E-2</v>
      </c>
      <c r="R50" s="1473"/>
      <c r="S50" s="1471"/>
      <c r="T50" s="1472"/>
      <c r="U50" s="1472"/>
      <c r="V50" s="1472"/>
      <c r="X50" s="1525"/>
      <c r="Y50" s="1525"/>
      <c r="Z50" s="1525"/>
    </row>
    <row r="51" spans="1:26">
      <c r="A51" s="1460" t="s">
        <v>1181</v>
      </c>
      <c r="B51" s="1476">
        <f t="shared" si="86"/>
        <v>168.82017748715555</v>
      </c>
      <c r="C51" s="1476">
        <f t="shared" si="86"/>
        <v>148.06267029972753</v>
      </c>
      <c r="D51" s="1476">
        <f t="shared" si="64"/>
        <v>148.06267029972753</v>
      </c>
      <c r="E51" s="1476">
        <f t="shared" si="87"/>
        <v>216.46288379323747</v>
      </c>
      <c r="F51" s="1476">
        <f t="shared" si="87"/>
        <v>134.23529411764704</v>
      </c>
      <c r="G51" s="3329">
        <v>2007</v>
      </c>
      <c r="H51" s="1464">
        <v>2</v>
      </c>
      <c r="I51" s="1464">
        <v>3.67</v>
      </c>
      <c r="J51" s="1464">
        <v>2.3199999999999998</v>
      </c>
      <c r="K51" s="1464">
        <v>5.0199999999999996</v>
      </c>
      <c r="L51" s="1478">
        <v>6.71</v>
      </c>
      <c r="N51" s="1523">
        <f t="shared" si="84"/>
        <v>3.0339138143848032E-2</v>
      </c>
      <c r="O51" s="1524">
        <f t="shared" si="84"/>
        <v>2.0922341588790472E-2</v>
      </c>
      <c r="P51" s="1524">
        <f t="shared" si="85"/>
        <v>5.6164796592717003E-2</v>
      </c>
      <c r="Q51" s="1524">
        <f t="shared" si="85"/>
        <v>6.5704536723887319E-2</v>
      </c>
      <c r="R51" s="1473"/>
      <c r="S51" s="1471"/>
      <c r="T51" s="1472"/>
      <c r="U51" s="1472"/>
      <c r="V51" s="1472"/>
      <c r="X51" s="1525"/>
      <c r="Y51" s="1525"/>
      <c r="Z51" s="1525"/>
    </row>
    <row r="52" spans="1:26">
      <c r="A52" s="1460" t="s">
        <v>1182</v>
      </c>
      <c r="B52" s="1476">
        <f t="shared" si="86"/>
        <v>163.84913591779542</v>
      </c>
      <c r="C52" s="1476">
        <f t="shared" si="86"/>
        <v>145.0283378746594</v>
      </c>
      <c r="D52" s="1476">
        <f t="shared" si="64"/>
        <v>145.0283378746594</v>
      </c>
      <c r="E52" s="1476">
        <f t="shared" si="87"/>
        <v>204.95180722891567</v>
      </c>
      <c r="F52" s="1476">
        <f t="shared" si="87"/>
        <v>125.95920303605313</v>
      </c>
      <c r="G52" s="3330">
        <v>2007</v>
      </c>
      <c r="H52" s="1463">
        <v>1</v>
      </c>
      <c r="I52" s="1463">
        <v>3.58</v>
      </c>
      <c r="J52" s="1463">
        <v>3.08</v>
      </c>
      <c r="K52" s="1463">
        <v>4.34</v>
      </c>
      <c r="L52" s="1477">
        <v>3.21</v>
      </c>
      <c r="N52" s="1526">
        <f t="shared" si="84"/>
        <v>3.0497710174814063E-2</v>
      </c>
      <c r="O52" s="1527">
        <f t="shared" si="84"/>
        <v>2.8569772160704998E-2</v>
      </c>
      <c r="P52" s="1527">
        <f t="shared" si="85"/>
        <v>5.1034908866234296E-2</v>
      </c>
      <c r="Q52" s="1527">
        <f t="shared" si="85"/>
        <v>3.245248390207478E-2</v>
      </c>
      <c r="R52" s="1473"/>
      <c r="S52" s="1479">
        <f>B52/B53-1</f>
        <v>3.0497710174814063E-2</v>
      </c>
      <c r="T52" s="1480">
        <f>C52/C53-1</f>
        <v>2.8569772160704998E-2</v>
      </c>
      <c r="U52" s="1480">
        <f>E52/E53-1</f>
        <v>5.1034908866234296E-2</v>
      </c>
      <c r="V52" s="1480">
        <f>F52/F53-1</f>
        <v>3.245248390207478E-2</v>
      </c>
      <c r="X52" s="1525"/>
      <c r="Y52" s="1525"/>
      <c r="Z52" s="1525"/>
    </row>
    <row r="53" spans="1:26" ht="13.5" thickBot="1">
      <c r="A53" s="1460" t="s">
        <v>1183</v>
      </c>
      <c r="B53" s="1489">
        <v>159</v>
      </c>
      <c r="C53" s="1489">
        <v>141</v>
      </c>
      <c r="D53" s="1489">
        <f t="shared" si="64"/>
        <v>141</v>
      </c>
      <c r="E53" s="1489">
        <v>195</v>
      </c>
      <c r="F53" s="1490">
        <v>122</v>
      </c>
      <c r="G53" s="3328">
        <v>2006</v>
      </c>
      <c r="H53" s="1481">
        <v>4</v>
      </c>
      <c r="I53" s="1481">
        <v>3.79</v>
      </c>
      <c r="J53" s="1481">
        <v>2.21</v>
      </c>
      <c r="K53" s="1481">
        <v>5.65</v>
      </c>
      <c r="L53" s="1482">
        <v>5.41</v>
      </c>
      <c r="N53" s="1523">
        <f t="shared" ref="N53:O56" si="88">I53/SUM(I$53:I$56)*(B$53/B$57-1)</f>
        <v>7.245466462748526E-2</v>
      </c>
      <c r="O53" s="1524">
        <f t="shared" si="88"/>
        <v>2.3237230038062766E-2</v>
      </c>
      <c r="P53" s="1524">
        <f t="shared" ref="P53:Q56" si="89">K53/SUM(K$53:K$56)*(E$53/E$57-1)</f>
        <v>0.16146893866323722</v>
      </c>
      <c r="Q53" s="1524">
        <f t="shared" si="89"/>
        <v>5.0755230321793784E-2</v>
      </c>
      <c r="R53" s="1473"/>
      <c r="S53" s="1474"/>
      <c r="T53" s="1475"/>
      <c r="U53" s="1475"/>
      <c r="V53" s="1475"/>
      <c r="X53" s="1525"/>
      <c r="Y53" s="1525"/>
      <c r="Z53" s="1525"/>
    </row>
    <row r="54" spans="1:26">
      <c r="A54" s="1460" t="s">
        <v>1184</v>
      </c>
      <c r="B54" s="1476">
        <f t="shared" ref="B54:C56" si="90">B55+(B$53-B$57)*I54/SUM(I$53:I$56)</f>
        <v>149.00125628140702</v>
      </c>
      <c r="C54" s="1476">
        <f t="shared" si="90"/>
        <v>137.95592286501378</v>
      </c>
      <c r="D54" s="1476">
        <f t="shared" si="64"/>
        <v>137.95592286501378</v>
      </c>
      <c r="E54" s="1476">
        <f t="shared" ref="E54:F56" si="91">E55+(E$53-E$57)*K54/SUM(K$53:K$56)</f>
        <v>169.97231450719823</v>
      </c>
      <c r="F54" s="1476">
        <f t="shared" si="91"/>
        <v>116.21390374331551</v>
      </c>
      <c r="G54" s="3329">
        <v>2006</v>
      </c>
      <c r="H54" s="1486">
        <v>3</v>
      </c>
      <c r="I54" s="1486">
        <v>0.92</v>
      </c>
      <c r="J54" s="1486">
        <v>1.08</v>
      </c>
      <c r="K54" s="1486">
        <v>0.73</v>
      </c>
      <c r="L54" s="1487">
        <v>1.08</v>
      </c>
      <c r="N54" s="1523">
        <f t="shared" si="88"/>
        <v>1.7587939698492462E-2</v>
      </c>
      <c r="O54" s="1524">
        <f t="shared" si="88"/>
        <v>1.1355750425840628E-2</v>
      </c>
      <c r="P54" s="1524">
        <f t="shared" si="89"/>
        <v>2.0862358446754544E-2</v>
      </c>
      <c r="Q54" s="1524">
        <f t="shared" si="89"/>
        <v>1.0132282578103011E-2</v>
      </c>
      <c r="R54" s="1473"/>
      <c r="S54" s="1471"/>
      <c r="T54" s="1472"/>
      <c r="U54" s="1472"/>
      <c r="V54" s="1472"/>
      <c r="X54" s="1525"/>
      <c r="Y54" s="1525"/>
      <c r="Z54" s="1525"/>
    </row>
    <row r="55" spans="1:26">
      <c r="A55" s="1460" t="s">
        <v>1185</v>
      </c>
      <c r="B55" s="1476">
        <f t="shared" si="90"/>
        <v>146.57412060301507</v>
      </c>
      <c r="C55" s="1476">
        <f t="shared" si="90"/>
        <v>136.46831955922866</v>
      </c>
      <c r="D55" s="1476">
        <f t="shared" si="64"/>
        <v>136.46831955922866</v>
      </c>
      <c r="E55" s="1476">
        <f t="shared" si="91"/>
        <v>166.73864894795128</v>
      </c>
      <c r="F55" s="1476">
        <f t="shared" si="91"/>
        <v>115.05882352941177</v>
      </c>
      <c r="G55" s="3329">
        <v>2006</v>
      </c>
      <c r="H55" s="1464">
        <v>2</v>
      </c>
      <c r="I55" s="1464">
        <v>0.96</v>
      </c>
      <c r="J55" s="1464">
        <v>0.25</v>
      </c>
      <c r="K55" s="1464">
        <v>1.9</v>
      </c>
      <c r="L55" s="1478">
        <v>0.95</v>
      </c>
      <c r="N55" s="1523">
        <f t="shared" si="88"/>
        <v>1.8352632728861701E-2</v>
      </c>
      <c r="O55" s="1524">
        <f t="shared" si="88"/>
        <v>2.6286459319075526E-3</v>
      </c>
      <c r="P55" s="1524">
        <f t="shared" si="89"/>
        <v>5.4299289107991269E-2</v>
      </c>
      <c r="Q55" s="1524">
        <f t="shared" si="89"/>
        <v>8.9126559714794995E-3</v>
      </c>
      <c r="R55" s="1473"/>
      <c r="S55" s="1471"/>
      <c r="T55" s="1472"/>
      <c r="U55" s="1472"/>
      <c r="V55" s="1472"/>
      <c r="X55" s="1525"/>
      <c r="Y55" s="1525"/>
      <c r="Z55" s="1525"/>
    </row>
    <row r="56" spans="1:26">
      <c r="A56" s="1460" t="s">
        <v>1186</v>
      </c>
      <c r="B56" s="1476">
        <f t="shared" si="90"/>
        <v>144.04145728643215</v>
      </c>
      <c r="C56" s="1476">
        <f t="shared" si="90"/>
        <v>136.12396694214877</v>
      </c>
      <c r="D56" s="1476">
        <f t="shared" si="64"/>
        <v>136.12396694214877</v>
      </c>
      <c r="E56" s="1476">
        <f t="shared" si="91"/>
        <v>158.32225913621264</v>
      </c>
      <c r="F56" s="1476">
        <f t="shared" si="91"/>
        <v>114.04278074866311</v>
      </c>
      <c r="G56" s="3330">
        <v>2006</v>
      </c>
      <c r="H56" s="1463">
        <v>1</v>
      </c>
      <c r="I56" s="1463">
        <v>2.29</v>
      </c>
      <c r="J56" s="1463">
        <v>3.72</v>
      </c>
      <c r="K56" s="1463">
        <v>0.75</v>
      </c>
      <c r="L56" s="1477">
        <v>0.04</v>
      </c>
      <c r="N56" s="1526">
        <f t="shared" si="88"/>
        <v>4.3778675988638847E-2</v>
      </c>
      <c r="O56" s="1527">
        <f t="shared" si="88"/>
        <v>3.9114251466784385E-2</v>
      </c>
      <c r="P56" s="1527">
        <f t="shared" si="89"/>
        <v>2.1433929911049188E-2</v>
      </c>
      <c r="Q56" s="1527">
        <f t="shared" si="89"/>
        <v>3.7526972511492629E-4</v>
      </c>
      <c r="R56" s="1473"/>
      <c r="S56" s="1479">
        <f>B56/B57-1</f>
        <v>4.3778675988638716E-2</v>
      </c>
      <c r="T56" s="1480">
        <f>C56/C57-1</f>
        <v>3.91142514667846E-2</v>
      </c>
      <c r="U56" s="1480">
        <f>E56/E57-1</f>
        <v>2.143392991104931E-2</v>
      </c>
      <c r="V56" s="1480">
        <f>F56/F57-1</f>
        <v>3.7526972511492396E-4</v>
      </c>
      <c r="X56" s="1525"/>
      <c r="Y56" s="1525"/>
      <c r="Z56" s="1525"/>
    </row>
    <row r="57" spans="1:26" ht="13.5" thickBot="1">
      <c r="A57" s="1460" t="s">
        <v>1187</v>
      </c>
      <c r="B57" s="1489">
        <v>138</v>
      </c>
      <c r="C57" s="1489">
        <v>131</v>
      </c>
      <c r="D57" s="1489">
        <f t="shared" si="64"/>
        <v>131</v>
      </c>
      <c r="E57" s="1489">
        <v>155</v>
      </c>
      <c r="F57" s="1490">
        <v>114</v>
      </c>
      <c r="G57" s="3328">
        <v>2005</v>
      </c>
      <c r="H57" s="1481">
        <v>4</v>
      </c>
      <c r="I57" s="1481">
        <v>3.29</v>
      </c>
      <c r="J57" s="1481">
        <v>1.44</v>
      </c>
      <c r="K57" s="1481">
        <v>0.66</v>
      </c>
      <c r="L57" s="1482">
        <v>7.78</v>
      </c>
      <c r="N57" s="1523">
        <f t="shared" ref="N57:O60" si="92">I57/SUM(I$57:I$60)*(B$57/B$61-1)</f>
        <v>9.9404603216919935E-2</v>
      </c>
      <c r="O57" s="1524">
        <f t="shared" si="92"/>
        <v>4.7636550760861554E-2</v>
      </c>
      <c r="P57" s="1524">
        <f t="shared" ref="P57:Q60" si="93">K57/SUM(K$57:K$60)*(E$57/E$61-1)</f>
        <v>8.3756345177664976E-2</v>
      </c>
      <c r="Q57" s="1524">
        <f t="shared" si="93"/>
        <v>5.2148766661559584E-2</v>
      </c>
      <c r="R57" s="1473"/>
      <c r="S57" s="1474"/>
      <c r="T57" s="1475"/>
      <c r="U57" s="1475"/>
      <c r="V57" s="1475"/>
      <c r="X57" s="1525"/>
      <c r="Y57" s="1525"/>
      <c r="Z57" s="1525"/>
    </row>
    <row r="58" spans="1:26">
      <c r="A58" s="1460" t="s">
        <v>1188</v>
      </c>
      <c r="B58" s="1476">
        <f t="shared" ref="B58:C60" si="94">B59+(B$57-B$61)*I58/SUM(I$57:I$60)</f>
        <v>125.9720430107527</v>
      </c>
      <c r="C58" s="1476">
        <f t="shared" si="94"/>
        <v>125.1883408071749</v>
      </c>
      <c r="D58" s="1476">
        <f t="shared" si="64"/>
        <v>125.1883408071749</v>
      </c>
      <c r="E58" s="1476">
        <f t="shared" ref="E58:F60" si="95">E59+(E$57-E$61)*K58/SUM(K$57:K$60)</f>
        <v>144.61421319796952</v>
      </c>
      <c r="F58" s="1476">
        <f t="shared" si="95"/>
        <v>108.42008196721311</v>
      </c>
      <c r="G58" s="3329">
        <v>2005</v>
      </c>
      <c r="H58" s="1486">
        <v>3</v>
      </c>
      <c r="I58" s="1486">
        <v>0.46</v>
      </c>
      <c r="J58" s="1486">
        <v>0.32</v>
      </c>
      <c r="K58" s="1486">
        <v>0.42</v>
      </c>
      <c r="L58" s="1487">
        <v>0.64</v>
      </c>
      <c r="N58" s="1523">
        <f t="shared" si="92"/>
        <v>1.3898515951301874E-2</v>
      </c>
      <c r="O58" s="1524">
        <f t="shared" si="92"/>
        <v>1.0585900169080346E-2</v>
      </c>
      <c r="P58" s="1524">
        <f t="shared" si="93"/>
        <v>5.3299492385786795E-2</v>
      </c>
      <c r="Q58" s="1524">
        <f t="shared" si="93"/>
        <v>4.2898728359123568E-3</v>
      </c>
      <c r="R58" s="1473"/>
      <c r="S58" s="1471"/>
      <c r="T58" s="1472"/>
      <c r="U58" s="1472"/>
      <c r="V58" s="1472"/>
      <c r="X58" s="1525"/>
      <c r="Y58" s="1525"/>
      <c r="Z58" s="1525"/>
    </row>
    <row r="59" spans="1:26">
      <c r="A59" s="1460" t="s">
        <v>1189</v>
      </c>
      <c r="B59" s="1476">
        <f t="shared" si="94"/>
        <v>124.29032258064517</v>
      </c>
      <c r="C59" s="1476">
        <f t="shared" si="94"/>
        <v>123.8968609865471</v>
      </c>
      <c r="D59" s="1476">
        <f t="shared" si="64"/>
        <v>123.8968609865471</v>
      </c>
      <c r="E59" s="1476">
        <f t="shared" si="95"/>
        <v>138.00507614213197</v>
      </c>
      <c r="F59" s="1476">
        <f t="shared" si="95"/>
        <v>107.96106557377048</v>
      </c>
      <c r="G59" s="3329">
        <v>2005</v>
      </c>
      <c r="H59" s="1464">
        <v>2</v>
      </c>
      <c r="I59" s="1464">
        <v>0.47</v>
      </c>
      <c r="J59" s="1464">
        <v>0.1</v>
      </c>
      <c r="K59" s="1464">
        <v>0.52</v>
      </c>
      <c r="L59" s="1478">
        <v>0.79</v>
      </c>
      <c r="N59" s="1523">
        <f t="shared" si="92"/>
        <v>1.420065760241713E-2</v>
      </c>
      <c r="O59" s="1524">
        <f t="shared" si="92"/>
        <v>3.3080938028376083E-3</v>
      </c>
      <c r="P59" s="1524">
        <f t="shared" si="93"/>
        <v>6.598984771573603E-2</v>
      </c>
      <c r="Q59" s="1524">
        <f t="shared" si="93"/>
        <v>5.2953117818293153E-3</v>
      </c>
      <c r="R59" s="1473"/>
      <c r="S59" s="1471"/>
      <c r="T59" s="1472"/>
      <c r="U59" s="1472"/>
      <c r="V59" s="1472"/>
      <c r="X59" s="1525"/>
      <c r="Y59" s="1525"/>
      <c r="Z59" s="1525"/>
    </row>
    <row r="60" spans="1:26">
      <c r="A60" s="1460" t="s">
        <v>1190</v>
      </c>
      <c r="B60" s="1476">
        <f t="shared" si="94"/>
        <v>122.57204301075269</v>
      </c>
      <c r="C60" s="1476">
        <f t="shared" si="94"/>
        <v>123.4932735426009</v>
      </c>
      <c r="D60" s="1476">
        <f t="shared" si="64"/>
        <v>123.4932735426009</v>
      </c>
      <c r="E60" s="1476">
        <f t="shared" si="95"/>
        <v>129.82233502538071</v>
      </c>
      <c r="F60" s="1476">
        <f t="shared" si="95"/>
        <v>107.39446721311475</v>
      </c>
      <c r="G60" s="3330">
        <v>2005</v>
      </c>
      <c r="H60" s="1463">
        <v>1</v>
      </c>
      <c r="I60" s="1463">
        <v>0.43</v>
      </c>
      <c r="J60" s="1463">
        <v>0.37</v>
      </c>
      <c r="K60" s="1463">
        <v>0.37</v>
      </c>
      <c r="L60" s="1477">
        <v>0.55000000000000004</v>
      </c>
      <c r="N60" s="1526">
        <f t="shared" si="92"/>
        <v>1.2992090997956099E-2</v>
      </c>
      <c r="O60" s="1527">
        <f t="shared" si="92"/>
        <v>1.2239947070499151E-2</v>
      </c>
      <c r="P60" s="1527">
        <f t="shared" si="93"/>
        <v>4.6954314720812178E-2</v>
      </c>
      <c r="Q60" s="1527">
        <f t="shared" si="93"/>
        <v>3.6866094683621815E-3</v>
      </c>
      <c r="R60" s="1473"/>
      <c r="S60" s="1479">
        <f>B60/B61-1</f>
        <v>1.2992090997956174E-2</v>
      </c>
      <c r="T60" s="1480">
        <f>C60/C61-1</f>
        <v>1.2239947070499246E-2</v>
      </c>
      <c r="U60" s="1480">
        <f>E60/E61-1</f>
        <v>4.695431472081224E-2</v>
      </c>
      <c r="V60" s="1480">
        <f>F60/F61-1</f>
        <v>3.6866094683620787E-3</v>
      </c>
      <c r="X60" s="1525"/>
      <c r="Y60" s="1525"/>
      <c r="Z60" s="1525"/>
    </row>
    <row r="61" spans="1:26" ht="13.5" thickBot="1">
      <c r="A61" s="1460" t="s">
        <v>1191</v>
      </c>
      <c r="B61" s="1510">
        <v>121</v>
      </c>
      <c r="C61" s="1510">
        <v>122</v>
      </c>
      <c r="D61" s="1510">
        <f t="shared" si="64"/>
        <v>122</v>
      </c>
      <c r="E61" s="1510">
        <v>124</v>
      </c>
      <c r="F61" s="1511">
        <v>107</v>
      </c>
      <c r="G61" s="3328">
        <v>2004</v>
      </c>
      <c r="H61" s="1481">
        <v>4</v>
      </c>
      <c r="I61" s="1481">
        <v>0.33</v>
      </c>
      <c r="J61" s="1481">
        <v>0.5</v>
      </c>
      <c r="K61" s="1481">
        <v>0.5</v>
      </c>
      <c r="L61" s="1482">
        <v>0</v>
      </c>
      <c r="N61" s="1523">
        <f t="shared" ref="N61:O64" si="96">I61/SUM(I$61:I$64)*(B$61/B$65-1)</f>
        <v>1.3391770148526898E-2</v>
      </c>
      <c r="O61" s="1524">
        <f t="shared" si="96"/>
        <v>1.063264221158958E-2</v>
      </c>
      <c r="P61" s="1524">
        <f t="shared" ref="P61:Q64" si="97">K61/SUM(K$61:K$64)*(E$61/E$65-1)</f>
        <v>2.2244466688911134E-2</v>
      </c>
      <c r="Q61" s="1524">
        <f t="shared" si="97"/>
        <v>0</v>
      </c>
      <c r="R61" s="1473"/>
      <c r="S61" s="1474"/>
      <c r="T61" s="1475"/>
      <c r="U61" s="1475"/>
      <c r="V61" s="1475"/>
      <c r="X61" s="1525"/>
      <c r="Y61" s="1525"/>
      <c r="Z61" s="1525"/>
    </row>
    <row r="62" spans="1:26">
      <c r="A62" s="1460" t="s">
        <v>1192</v>
      </c>
      <c r="B62" s="1476">
        <f t="shared" ref="B62:C64" si="98">B63+(B$61-B$65)*I62/SUM(I$61:I$64)</f>
        <v>119.51351351351352</v>
      </c>
      <c r="C62" s="1476">
        <f t="shared" si="98"/>
        <v>120.7878787878788</v>
      </c>
      <c r="D62" s="1476">
        <f t="shared" si="64"/>
        <v>120.7878787878788</v>
      </c>
      <c r="E62" s="1476">
        <f t="shared" ref="E62:F64" si="99">E63+(E$61-E$65)*K62/SUM(K$61:K$64)</f>
        <v>121.5975975975976</v>
      </c>
      <c r="F62" s="1476">
        <f t="shared" si="99"/>
        <v>107</v>
      </c>
      <c r="G62" s="3329">
        <v>2004</v>
      </c>
      <c r="H62" s="1486">
        <v>3</v>
      </c>
      <c r="I62" s="1486">
        <v>0.56000000000000005</v>
      </c>
      <c r="J62" s="1486">
        <v>0.8</v>
      </c>
      <c r="K62" s="1486">
        <v>0.83</v>
      </c>
      <c r="L62" s="1487">
        <v>0.06</v>
      </c>
      <c r="N62" s="1523">
        <f t="shared" si="96"/>
        <v>2.2725428130833527E-2</v>
      </c>
      <c r="O62" s="1524">
        <f t="shared" si="96"/>
        <v>1.7012227538543329E-2</v>
      </c>
      <c r="P62" s="1524">
        <f t="shared" si="97"/>
        <v>3.6925814703592477E-2</v>
      </c>
      <c r="Q62" s="1524">
        <f t="shared" si="97"/>
        <v>2.8846153846153744E-2</v>
      </c>
      <c r="R62" s="1473"/>
      <c r="S62" s="1471"/>
      <c r="T62" s="1472"/>
      <c r="U62" s="1472"/>
      <c r="V62" s="1472"/>
      <c r="X62" s="1525"/>
      <c r="Y62" s="1525"/>
      <c r="Z62" s="1525"/>
    </row>
    <row r="63" spans="1:26">
      <c r="A63" s="1460" t="s">
        <v>1193</v>
      </c>
      <c r="B63" s="1476">
        <f t="shared" si="98"/>
        <v>116.99099099099099</v>
      </c>
      <c r="C63" s="1476">
        <f t="shared" si="98"/>
        <v>118.84848484848486</v>
      </c>
      <c r="D63" s="1476">
        <f t="shared" si="64"/>
        <v>118.84848484848486</v>
      </c>
      <c r="E63" s="1476">
        <f t="shared" si="99"/>
        <v>117.60960960960961</v>
      </c>
      <c r="F63" s="1476">
        <f t="shared" si="99"/>
        <v>104</v>
      </c>
      <c r="G63" s="3329">
        <v>2004</v>
      </c>
      <c r="H63" s="1464">
        <v>2</v>
      </c>
      <c r="I63" s="1464">
        <v>1</v>
      </c>
      <c r="J63" s="1464">
        <v>1.5</v>
      </c>
      <c r="K63" s="1464">
        <v>1.5</v>
      </c>
      <c r="L63" s="1478">
        <v>0</v>
      </c>
      <c r="N63" s="1523">
        <f t="shared" si="96"/>
        <v>4.0581121662202721E-2</v>
      </c>
      <c r="O63" s="1524">
        <f t="shared" si="96"/>
        <v>3.1897926634768738E-2</v>
      </c>
      <c r="P63" s="1524">
        <f t="shared" si="97"/>
        <v>6.6733400066733395E-2</v>
      </c>
      <c r="Q63" s="1524">
        <f t="shared" si="97"/>
        <v>0</v>
      </c>
      <c r="R63" s="1473"/>
      <c r="S63" s="1471"/>
      <c r="T63" s="1472"/>
      <c r="U63" s="1472"/>
      <c r="V63" s="1472"/>
      <c r="X63" s="1525"/>
      <c r="Y63" s="1525"/>
      <c r="Z63" s="1525"/>
    </row>
    <row r="64" spans="1:26" s="1516" customFormat="1" ht="13.5" thickBot="1">
      <c r="A64" s="1460" t="s">
        <v>1194</v>
      </c>
      <c r="B64" s="1513">
        <f t="shared" si="98"/>
        <v>112.48648648648648</v>
      </c>
      <c r="C64" s="1513">
        <f t="shared" si="98"/>
        <v>115.21212121212122</v>
      </c>
      <c r="D64" s="1513">
        <f t="shared" si="64"/>
        <v>115.21212121212122</v>
      </c>
      <c r="E64" s="1513">
        <f t="shared" si="99"/>
        <v>110.4024024024024</v>
      </c>
      <c r="F64" s="1513">
        <f t="shared" si="99"/>
        <v>104</v>
      </c>
      <c r="G64" s="3330">
        <v>2004</v>
      </c>
      <c r="H64" s="1514">
        <v>1</v>
      </c>
      <c r="I64" s="1514">
        <v>0.33</v>
      </c>
      <c r="J64" s="1514">
        <v>0.5</v>
      </c>
      <c r="K64" s="1514">
        <v>0.5</v>
      </c>
      <c r="L64" s="1515">
        <v>0</v>
      </c>
      <c r="N64" s="1528">
        <f t="shared" si="96"/>
        <v>1.3391770148526898E-2</v>
      </c>
      <c r="O64" s="1529">
        <f t="shared" si="96"/>
        <v>1.063264221158958E-2</v>
      </c>
      <c r="P64" s="1529">
        <f t="shared" si="97"/>
        <v>2.2244466688911134E-2</v>
      </c>
      <c r="Q64" s="1529">
        <f t="shared" si="97"/>
        <v>0</v>
      </c>
      <c r="R64" s="1519"/>
      <c r="S64" s="1517">
        <f>B64/B65-1</f>
        <v>1.3391770148526883E-2</v>
      </c>
      <c r="T64" s="1518">
        <f>C64/C65-1</f>
        <v>1.063264221158966E-2</v>
      </c>
      <c r="U64" s="1518">
        <f>E64/E65-1</f>
        <v>2.2244466688911224E-2</v>
      </c>
      <c r="V64" s="1518">
        <f>F64/F65-1</f>
        <v>0</v>
      </c>
      <c r="X64" s="1530"/>
      <c r="Y64" s="1530"/>
      <c r="Z64" s="1530"/>
    </row>
    <row r="65" spans="1:26" ht="13.5" thickBot="1">
      <c r="A65" s="1460" t="s">
        <v>1195</v>
      </c>
      <c r="B65" s="1531">
        <v>111</v>
      </c>
      <c r="C65" s="1531">
        <v>114</v>
      </c>
      <c r="D65" s="1531">
        <f t="shared" si="64"/>
        <v>114</v>
      </c>
      <c r="E65" s="1531">
        <v>108</v>
      </c>
      <c r="F65" s="1532">
        <v>104</v>
      </c>
      <c r="G65" s="3328">
        <v>2003</v>
      </c>
      <c r="H65" s="1521">
        <v>4</v>
      </c>
      <c r="I65" s="1533"/>
      <c r="J65" s="1533"/>
      <c r="K65" s="1533"/>
      <c r="L65" s="1533"/>
      <c r="N65" s="1534"/>
      <c r="O65" s="1533"/>
      <c r="P65" s="1533"/>
      <c r="Q65" s="1533"/>
      <c r="S65" s="1534"/>
      <c r="T65" s="1533"/>
      <c r="U65" s="1533"/>
      <c r="V65" s="1533"/>
      <c r="X65" s="1525"/>
      <c r="Y65" s="1525"/>
      <c r="Z65" s="1525"/>
    </row>
    <row r="66" spans="1:26">
      <c r="A66" s="1460" t="s">
        <v>1196</v>
      </c>
      <c r="B66" s="1535">
        <f t="shared" ref="B66:C68" si="100">B67+(B$65-B$69)/4</f>
        <v>109.75</v>
      </c>
      <c r="C66" s="1535">
        <f t="shared" si="100"/>
        <v>112.25</v>
      </c>
      <c r="D66" s="1535">
        <f t="shared" si="64"/>
        <v>112.25</v>
      </c>
      <c r="E66" s="1535">
        <f t="shared" ref="E66:F68" si="101">E67+(E$65-E$69)/4</f>
        <v>107.25</v>
      </c>
      <c r="F66" s="1535">
        <f t="shared" si="101"/>
        <v>103.5</v>
      </c>
      <c r="G66" s="3329">
        <v>2003</v>
      </c>
      <c r="H66" s="1486">
        <v>3</v>
      </c>
      <c r="I66" s="1533"/>
      <c r="J66" s="1533"/>
      <c r="K66" s="1533"/>
      <c r="L66" s="1533"/>
      <c r="X66" s="1525"/>
      <c r="Y66" s="1525"/>
      <c r="Z66" s="1525"/>
    </row>
    <row r="67" spans="1:26">
      <c r="A67" s="1460" t="s">
        <v>1197</v>
      </c>
      <c r="B67" s="1535">
        <f t="shared" si="100"/>
        <v>108.5</v>
      </c>
      <c r="C67" s="1535">
        <f t="shared" si="100"/>
        <v>110.5</v>
      </c>
      <c r="D67" s="1535">
        <f t="shared" si="64"/>
        <v>110.5</v>
      </c>
      <c r="E67" s="1535">
        <f t="shared" si="101"/>
        <v>106.5</v>
      </c>
      <c r="F67" s="1535">
        <f t="shared" si="101"/>
        <v>103</v>
      </c>
      <c r="G67" s="3329">
        <v>2003</v>
      </c>
      <c r="H67" s="1464">
        <v>2</v>
      </c>
      <c r="I67" s="1533"/>
      <c r="J67" s="1533"/>
      <c r="K67" s="1533"/>
      <c r="L67" s="1533"/>
      <c r="X67" s="1525"/>
      <c r="Y67" s="1525"/>
      <c r="Z67" s="1525"/>
    </row>
    <row r="68" spans="1:26" ht="13.5" thickBot="1">
      <c r="A68" s="1460" t="s">
        <v>1198</v>
      </c>
      <c r="B68" s="1535">
        <f t="shared" si="100"/>
        <v>107.25</v>
      </c>
      <c r="C68" s="1535">
        <f t="shared" si="100"/>
        <v>108.75</v>
      </c>
      <c r="D68" s="1535">
        <f t="shared" si="64"/>
        <v>108.75</v>
      </c>
      <c r="E68" s="1535">
        <f t="shared" si="101"/>
        <v>105.75</v>
      </c>
      <c r="F68" s="1535">
        <f t="shared" si="101"/>
        <v>102.5</v>
      </c>
      <c r="G68" s="3330">
        <v>2003</v>
      </c>
      <c r="H68" s="1536">
        <v>1</v>
      </c>
      <c r="I68" s="1533"/>
      <c r="J68" s="1533"/>
      <c r="K68" s="1533"/>
      <c r="L68" s="1533"/>
      <c r="S68" s="1471"/>
      <c r="T68" s="1472"/>
      <c r="U68" s="1472"/>
      <c r="X68" s="1525"/>
      <c r="Y68" s="1525"/>
      <c r="Z68" s="1525"/>
    </row>
    <row r="69" spans="1:26" ht="13.5" thickBot="1">
      <c r="A69" s="1460" t="s">
        <v>1199</v>
      </c>
      <c r="B69" s="1537">
        <v>106</v>
      </c>
      <c r="C69" s="1537">
        <v>107</v>
      </c>
      <c r="D69" s="1537">
        <f t="shared" si="64"/>
        <v>107</v>
      </c>
      <c r="E69" s="1537">
        <v>105</v>
      </c>
      <c r="F69" s="1538">
        <v>102</v>
      </c>
      <c r="G69" s="3328">
        <v>2002</v>
      </c>
      <c r="H69" s="1481">
        <v>4</v>
      </c>
      <c r="I69" s="1533"/>
      <c r="J69" s="1533"/>
      <c r="K69" s="1533"/>
      <c r="L69" s="1533"/>
      <c r="N69" s="1534"/>
      <c r="O69" s="1533"/>
      <c r="P69" s="1533"/>
      <c r="Q69" s="1533"/>
      <c r="S69" s="1534"/>
      <c r="T69" s="1533"/>
      <c r="U69" s="1533"/>
      <c r="V69" s="1533"/>
      <c r="X69" s="1525"/>
      <c r="Y69" s="1525"/>
      <c r="Z69" s="1525"/>
    </row>
    <row r="70" spans="1:26">
      <c r="A70" s="1460" t="s">
        <v>1200</v>
      </c>
      <c r="B70" s="1535">
        <f t="shared" ref="B70:C72" si="102">B71+(B$69-B$73)/4</f>
        <v>105</v>
      </c>
      <c r="C70" s="1535">
        <f t="shared" si="102"/>
        <v>106</v>
      </c>
      <c r="D70" s="1535">
        <f t="shared" si="64"/>
        <v>106</v>
      </c>
      <c r="E70" s="1535">
        <f t="shared" ref="E70:F72" si="103">E71+(E$69-E$73)/4</f>
        <v>104.5</v>
      </c>
      <c r="F70" s="1535">
        <f t="shared" si="103"/>
        <v>101.5</v>
      </c>
      <c r="G70" s="3329">
        <v>2002</v>
      </c>
      <c r="H70" s="1486">
        <v>3</v>
      </c>
      <c r="I70" s="1533"/>
      <c r="J70" s="1533"/>
      <c r="K70" s="1533"/>
      <c r="L70" s="1533"/>
      <c r="X70" s="1525"/>
      <c r="Y70" s="1525"/>
      <c r="Z70" s="1525"/>
    </row>
    <row r="71" spans="1:26">
      <c r="A71" s="1460" t="s">
        <v>1201</v>
      </c>
      <c r="B71" s="1535">
        <f t="shared" si="102"/>
        <v>104</v>
      </c>
      <c r="C71" s="1535">
        <f t="shared" si="102"/>
        <v>105</v>
      </c>
      <c r="D71" s="1535">
        <f t="shared" si="64"/>
        <v>105</v>
      </c>
      <c r="E71" s="1535">
        <f t="shared" si="103"/>
        <v>104</v>
      </c>
      <c r="F71" s="1535">
        <f t="shared" si="103"/>
        <v>101</v>
      </c>
      <c r="G71" s="3329">
        <v>2002</v>
      </c>
      <c r="H71" s="1464">
        <v>2</v>
      </c>
      <c r="I71" s="1533"/>
      <c r="J71" s="1533"/>
      <c r="K71" s="1533"/>
      <c r="L71" s="1533"/>
      <c r="X71" s="1525"/>
      <c r="Y71" s="1525"/>
      <c r="Z71" s="1525"/>
    </row>
    <row r="72" spans="1:26" s="1497" customFormat="1" ht="13.5" thickBot="1">
      <c r="A72" s="1493" t="s">
        <v>1202</v>
      </c>
      <c r="B72" s="1539">
        <f t="shared" si="102"/>
        <v>103</v>
      </c>
      <c r="C72" s="1539">
        <f t="shared" si="102"/>
        <v>104</v>
      </c>
      <c r="D72" s="1539">
        <f t="shared" si="64"/>
        <v>104</v>
      </c>
      <c r="E72" s="1539">
        <f t="shared" si="103"/>
        <v>103.5</v>
      </c>
      <c r="F72" s="1539">
        <f t="shared" si="103"/>
        <v>100.5</v>
      </c>
      <c r="G72" s="3330">
        <v>2002</v>
      </c>
      <c r="H72" s="1540">
        <v>1</v>
      </c>
      <c r="I72" s="1541"/>
      <c r="J72" s="1541"/>
      <c r="K72" s="1541"/>
      <c r="L72" s="1541"/>
      <c r="N72" s="1542"/>
      <c r="S72" s="1542"/>
      <c r="X72" s="1543"/>
      <c r="Y72" s="1543"/>
      <c r="Z72" s="1543"/>
    </row>
    <row r="73" spans="1:26" ht="13.5" thickBot="1">
      <c r="B73" s="1544">
        <v>102</v>
      </c>
      <c r="C73" s="1545">
        <v>103</v>
      </c>
      <c r="D73" s="1545">
        <f t="shared" si="64"/>
        <v>103</v>
      </c>
      <c r="E73" s="1545">
        <v>103</v>
      </c>
      <c r="F73" s="1546">
        <v>100</v>
      </c>
      <c r="I73" s="1533"/>
      <c r="J73" s="1533"/>
      <c r="K73" s="1533"/>
      <c r="L73" s="1533"/>
      <c r="N73" s="1534"/>
      <c r="O73" s="1533"/>
      <c r="P73" s="1533"/>
      <c r="Q73" s="1533"/>
      <c r="S73" s="1534"/>
      <c r="T73" s="1533"/>
      <c r="U73" s="1533"/>
      <c r="V73" s="1533"/>
      <c r="X73" s="1475"/>
      <c r="Y73" s="1475"/>
      <c r="Z73" s="1475"/>
    </row>
    <row r="75" spans="1:26" s="1548" customFormat="1">
      <c r="A75" s="1547" t="s">
        <v>1203</v>
      </c>
      <c r="G75" s="1549"/>
      <c r="N75" s="1549"/>
      <c r="S75" s="1549"/>
    </row>
    <row r="76" spans="1:26" s="1548" customFormat="1">
      <c r="A76" s="1548" t="s">
        <v>1204</v>
      </c>
      <c r="G76" s="1549"/>
      <c r="N76" s="1549"/>
      <c r="S76" s="1549"/>
    </row>
    <row r="77" spans="1:26" s="1548" customFormat="1">
      <c r="A77" s="1548" t="s">
        <v>1205</v>
      </c>
      <c r="G77" s="1549"/>
      <c r="I77" s="1550"/>
      <c r="J77" s="1550"/>
      <c r="K77" s="1550"/>
      <c r="L77" s="1550"/>
      <c r="N77" s="1551"/>
      <c r="O77" s="1550"/>
      <c r="P77" s="1550"/>
      <c r="Q77" s="1550"/>
      <c r="S77" s="1551"/>
      <c r="T77" s="1550"/>
      <c r="U77" s="1550"/>
      <c r="V77" s="1550"/>
    </row>
    <row r="78" spans="1:26" s="1548" customFormat="1">
      <c r="A78" s="1548" t="s">
        <v>1206</v>
      </c>
      <c r="G78" s="1549"/>
      <c r="N78" s="1549"/>
      <c r="S78" s="1549"/>
    </row>
    <row r="85" spans="7:22" ht="13.5" thickBot="1"/>
    <row r="86" spans="7:22">
      <c r="G86" s="1470"/>
      <c r="S86" s="1552" t="s">
        <v>1207</v>
      </c>
      <c r="T86" s="1553" t="s">
        <v>1208</v>
      </c>
      <c r="U86" s="1553" t="s">
        <v>1209</v>
      </c>
      <c r="V86" s="1553" t="s">
        <v>1210</v>
      </c>
    </row>
    <row r="87" spans="7:22">
      <c r="G87" s="1470"/>
      <c r="N87" s="1474"/>
      <c r="O87" s="1475"/>
      <c r="P87" s="1475"/>
      <c r="Q87" s="1475"/>
      <c r="S87" s="1554">
        <v>2006</v>
      </c>
      <c r="T87" s="1555">
        <v>15.1</v>
      </c>
      <c r="U87" s="1555">
        <v>7.43</v>
      </c>
      <c r="V87" s="1555">
        <v>26.26</v>
      </c>
    </row>
    <row r="88" spans="7:22">
      <c r="G88" s="1470"/>
      <c r="N88" s="1474"/>
      <c r="O88" s="1475"/>
      <c r="P88" s="1475"/>
      <c r="Q88" s="1475"/>
      <c r="S88" s="1556">
        <v>2005</v>
      </c>
      <c r="T88" s="1557">
        <v>13.9</v>
      </c>
      <c r="U88" s="1557">
        <v>7.49</v>
      </c>
      <c r="V88" s="1557">
        <v>24.92</v>
      </c>
    </row>
    <row r="89" spans="7:22">
      <c r="G89" s="1470"/>
      <c r="N89" s="1474"/>
      <c r="O89" s="1475"/>
      <c r="P89" s="1475"/>
      <c r="Q89" s="1475"/>
      <c r="S89" s="1554">
        <v>2004</v>
      </c>
      <c r="T89" s="1555">
        <v>9.48</v>
      </c>
      <c r="U89" s="1555">
        <v>7.2</v>
      </c>
      <c r="V89" s="1555">
        <v>14.68</v>
      </c>
    </row>
    <row r="90" spans="7:22">
      <c r="G90" s="1470"/>
      <c r="N90" s="1474"/>
      <c r="O90" s="1475"/>
      <c r="P90" s="1475"/>
      <c r="Q90" s="1475"/>
      <c r="S90" s="1556">
        <v>2003</v>
      </c>
      <c r="T90" s="1557">
        <v>4.5</v>
      </c>
      <c r="U90" s="1557">
        <v>6.12</v>
      </c>
      <c r="V90" s="1557">
        <v>2.34</v>
      </c>
    </row>
    <row r="91" spans="7:22" ht="13.5" thickBot="1">
      <c r="G91" s="1470"/>
      <c r="N91" s="1474"/>
      <c r="O91" s="1475"/>
      <c r="P91" s="1475"/>
      <c r="Q91" s="1475"/>
      <c r="S91" s="1558">
        <v>2002</v>
      </c>
      <c r="T91" s="1559">
        <v>3.59</v>
      </c>
      <c r="U91" s="1559">
        <v>4.54</v>
      </c>
      <c r="V91" s="1559">
        <v>2.5499999999999998</v>
      </c>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2952</v>
      </c>
      <c r="C1" s="3337" t="s">
        <v>2953</v>
      </c>
      <c r="D1" s="3338"/>
      <c r="E1" s="3338"/>
      <c r="F1" s="3338"/>
      <c r="G1" s="3338"/>
      <c r="H1" s="3338"/>
      <c r="I1" s="3338"/>
      <c r="J1" s="3338"/>
      <c r="K1" s="3338"/>
      <c r="L1" s="3338"/>
      <c r="M1" s="3338"/>
      <c r="N1" s="3338"/>
      <c r="O1" s="3338"/>
      <c r="P1" s="3338"/>
      <c r="Q1" s="3338"/>
      <c r="R1" s="3338"/>
      <c r="S1" s="3339"/>
      <c r="T1" s="1203" t="s">
        <v>2954</v>
      </c>
    </row>
    <row r="2" spans="1:45" s="706" customFormat="1">
      <c r="A2" s="1204"/>
      <c r="B2" s="702" t="s">
        <v>2955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7" t="s">
        <v>2956</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2957</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2958</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2959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2960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2961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0" t="s">
        <v>2962</v>
      </c>
      <c r="B17" s="2911" t="s">
        <v>2963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2" t="s">
        <v>2964</v>
      </c>
      <c r="E19" s="1790"/>
      <c r="F19" s="1790"/>
      <c r="G19" s="1790"/>
      <c r="H19" s="1279"/>
      <c r="I19" s="167"/>
      <c r="J19" s="167"/>
      <c r="K19" s="167"/>
      <c r="L19" s="167"/>
      <c r="M19" s="167"/>
      <c r="N19" s="167"/>
      <c r="O19" s="167"/>
      <c r="P19" s="167"/>
      <c r="Q19" s="167"/>
      <c r="R19" s="787"/>
      <c r="S19" s="137"/>
    </row>
    <row r="20" spans="1:45" ht="16.5" thickBot="1">
      <c r="A20" s="714" t="s">
        <v>2965</v>
      </c>
      <c r="B20" s="337" t="e">
        <f ca="1">IF(D20="——",S22,S22-F20)</f>
        <v>#REF!</v>
      </c>
      <c r="C20" s="167"/>
      <c r="D20" s="2913" t="s">
        <v>2966</v>
      </c>
      <c r="E20" s="1791"/>
      <c r="F20" s="1203" t="e">
        <f ca="1">SUMIF(INDIRECT("'"&amp;H20&amp;"'"&amp;"!A:A"),"承租人权益价值",INDIRECT("'"&amp;H20&amp;"'"&amp;"!c:c"))</f>
        <v>#REF!</v>
      </c>
      <c r="G20" s="1203" t="s">
        <v>2967</v>
      </c>
      <c r="H20" s="2914"/>
      <c r="I20" s="167"/>
      <c r="J20" s="167"/>
      <c r="K20" s="167"/>
      <c r="L20" s="167"/>
      <c r="M20" s="167"/>
      <c r="N20" s="167"/>
      <c r="O20" s="167"/>
      <c r="P20" s="167"/>
      <c r="Q20" s="167"/>
      <c r="R20" s="787"/>
      <c r="S20" s="137"/>
    </row>
    <row r="21" spans="1:45" ht="15.75">
      <c r="A21" s="714" t="s">
        <v>2968</v>
      </c>
      <c r="B21" s="337">
        <f>R22</f>
        <v>10000</v>
      </c>
      <c r="C21" s="167"/>
      <c r="D21" s="167"/>
      <c r="E21" s="167"/>
      <c r="F21" s="167"/>
      <c r="G21" s="167"/>
      <c r="H21" s="167"/>
      <c r="I21" s="167"/>
      <c r="J21" s="167"/>
      <c r="K21" s="167"/>
      <c r="L21" s="167"/>
      <c r="M21" s="167"/>
      <c r="N21" s="167"/>
      <c r="O21" s="167"/>
      <c r="P21" s="167"/>
      <c r="Q21" s="167"/>
      <c r="R21" s="787"/>
      <c r="S21" s="137"/>
    </row>
    <row r="22" spans="1:45">
      <c r="A22" s="360" t="s">
        <v>2969</v>
      </c>
      <c r="B22" s="24">
        <f>SUM(B24:B10000)</f>
        <v>100</v>
      </c>
      <c r="C22" s="3118" t="s">
        <v>33</v>
      </c>
      <c r="D22" s="3119"/>
      <c r="E22" s="3119"/>
      <c r="F22" s="3119"/>
      <c r="G22" s="3119"/>
      <c r="H22" s="3119"/>
      <c r="I22" s="3119"/>
      <c r="J22" s="3119"/>
      <c r="K22" s="3119"/>
      <c r="L22" s="3119"/>
      <c r="M22" s="3119"/>
      <c r="N22" s="3119"/>
      <c r="O22" s="3119"/>
      <c r="P22" s="3119"/>
      <c r="Q22" s="3336"/>
      <c r="R22" s="715">
        <f>ROUND(S22*10000/B22,0)</f>
        <v>10000</v>
      </c>
      <c r="S22" s="24">
        <f>SUM(S24:S10000)</f>
        <v>100</v>
      </c>
    </row>
    <row r="23" spans="1:45" s="12" customFormat="1" ht="24">
      <c r="A23" s="11" t="s">
        <v>2970</v>
      </c>
      <c r="B23" s="11" t="s">
        <v>2971</v>
      </c>
      <c r="C23" s="11" t="s">
        <v>2972</v>
      </c>
      <c r="D23" s="11" t="str">
        <f>B5</f>
        <v>修正项2</v>
      </c>
      <c r="E23" s="11" t="s">
        <v>2972</v>
      </c>
      <c r="F23" s="11" t="str">
        <f>B7</f>
        <v>修正项3</v>
      </c>
      <c r="G23" s="11" t="s">
        <v>2972</v>
      </c>
      <c r="H23" s="11" t="str">
        <f>B9</f>
        <v>修正项4</v>
      </c>
      <c r="I23" s="11" t="s">
        <v>2972</v>
      </c>
      <c r="J23" s="11" t="str">
        <f>B11</f>
        <v>修正项5</v>
      </c>
      <c r="K23" s="11" t="s">
        <v>2972</v>
      </c>
      <c r="L23" s="11" t="str">
        <f>B13</f>
        <v>修正项6</v>
      </c>
      <c r="M23" s="11" t="s">
        <v>2972</v>
      </c>
      <c r="N23" s="11" t="str">
        <f>B15</f>
        <v>修正项7</v>
      </c>
      <c r="O23" s="11" t="s">
        <v>2972</v>
      </c>
      <c r="P23" s="11" t="str">
        <f>B17</f>
        <v>楼层</v>
      </c>
      <c r="Q23" s="11" t="s">
        <v>2972</v>
      </c>
      <c r="R23" s="716" t="s">
        <v>2973</v>
      </c>
      <c r="S23" s="11" t="s">
        <v>2974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2975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1613</v>
      </c>
      <c r="B1" s="1957"/>
      <c r="C1" s="1957"/>
      <c r="D1" s="1957"/>
      <c r="E1" s="1957"/>
    </row>
    <row r="2" spans="1:5" ht="78" customHeight="1">
      <c r="A2" s="30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2"/>
      <c r="C2" s="3022"/>
      <c r="D2" s="3022"/>
      <c r="E2" s="3022"/>
    </row>
    <row r="3" spans="1:5" ht="18">
      <c r="A3" s="3023" t="str">
        <f>IF(项目基本情况!B9="房地产市场价值","估价结果一览表（市场价值不需“结果表-1”）","估价结果一览表")</f>
        <v>估价结果一览表</v>
      </c>
      <c r="B3" s="3023"/>
      <c r="C3" s="3023"/>
      <c r="D3" s="3023"/>
      <c r="E3" s="3023"/>
    </row>
    <row r="4" spans="1:5" ht="19.5" thickBot="1">
      <c r="A4" s="1959"/>
      <c r="B4" s="3021" t="s">
        <v>1622</v>
      </c>
      <c r="C4" s="3021"/>
      <c r="D4" s="3021"/>
      <c r="E4" s="1959"/>
    </row>
    <row r="5" spans="1:5" ht="16.5" thickTop="1">
      <c r="A5" s="1957"/>
      <c r="B5" s="3019" t="s">
        <v>1614</v>
      </c>
      <c r="C5" s="1960" t="s">
        <v>1615</v>
      </c>
      <c r="D5" s="1039">
        <f ca="1">结果表!H101</f>
        <v>203561</v>
      </c>
      <c r="E5" s="1957"/>
    </row>
    <row r="6" spans="1:5" ht="15.75">
      <c r="A6" s="1957"/>
      <c r="B6" s="3019"/>
      <c r="C6" s="1960" t="s">
        <v>1616</v>
      </c>
      <c r="D6" s="1039" t="str">
        <f ca="1">NUMBERSTRING(INT(D5*10000),2)&amp;"元整"</f>
        <v>贰拾亿叁仟伍佰陆拾壹万元整</v>
      </c>
      <c r="E6" s="1957"/>
    </row>
    <row r="7" spans="1:5" ht="15.75">
      <c r="A7" s="1957"/>
      <c r="B7" s="3024"/>
      <c r="C7" s="1961" t="s">
        <v>1617</v>
      </c>
      <c r="D7" s="1040">
        <f ca="1">结果表!H102</f>
        <v>12166</v>
      </c>
      <c r="E7" s="1957"/>
    </row>
    <row r="8" spans="1:5" ht="15.75">
      <c r="A8" s="1957"/>
      <c r="B8" s="3025" t="str">
        <f>结果表!E103</f>
        <v>2.估价师知悉的法定优先受偿款</v>
      </c>
      <c r="C8" s="1962" t="s">
        <v>1618</v>
      </c>
      <c r="D8" s="1040">
        <f>结果表!H103</f>
        <v>0</v>
      </c>
      <c r="E8" s="1957"/>
    </row>
    <row r="9" spans="1:5" ht="15.75">
      <c r="A9" s="1957"/>
      <c r="B9" s="3027"/>
      <c r="C9" s="1960" t="s">
        <v>1616</v>
      </c>
      <c r="D9" s="1039" t="str">
        <f>NUMBERSTRING(INT(D8*10000),2)&amp;"元整"</f>
        <v>零元整</v>
      </c>
      <c r="E9" s="1957"/>
    </row>
    <row r="10" spans="1:5" ht="15">
      <c r="A10" s="1957"/>
      <c r="B10" s="1963" t="s">
        <v>1621</v>
      </c>
      <c r="C10" s="1964" t="s">
        <v>1619</v>
      </c>
      <c r="D10" s="1041">
        <f>结果表!H104</f>
        <v>0</v>
      </c>
      <c r="E10" s="1957"/>
    </row>
    <row r="11" spans="1:5" ht="15">
      <c r="A11" s="1957"/>
      <c r="B11" s="1963" t="s">
        <v>1623</v>
      </c>
      <c r="C11" s="1964" t="s">
        <v>1624</v>
      </c>
      <c r="D11" s="1041">
        <f>结果表!H105</f>
        <v>0</v>
      </c>
      <c r="E11" s="1957"/>
    </row>
    <row r="12" spans="1:5" ht="15">
      <c r="A12" s="1957"/>
      <c r="B12" s="1963" t="s">
        <v>1625</v>
      </c>
      <c r="C12" s="1964" t="s">
        <v>1624</v>
      </c>
      <c r="D12" s="1041">
        <f>结果表!H106</f>
        <v>0</v>
      </c>
      <c r="E12" s="1957"/>
    </row>
    <row r="13" spans="1:5" ht="15.75">
      <c r="A13" s="1957"/>
      <c r="B13" s="3018" t="str">
        <f>结果表!E107</f>
        <v>3.房地产抵押价值</v>
      </c>
      <c r="C13" s="1965" t="s">
        <v>1615</v>
      </c>
      <c r="D13" s="1042">
        <f ca="1">结果表!H107</f>
        <v>203561</v>
      </c>
      <c r="E13" s="1957"/>
    </row>
    <row r="14" spans="1:5" ht="15.75">
      <c r="A14" s="1957"/>
      <c r="B14" s="3019"/>
      <c r="C14" s="1960" t="s">
        <v>1616</v>
      </c>
      <c r="D14" s="1039" t="str">
        <f ca="1">NUMBERSTRING(INT(D13*10000),2)&amp;"元整"</f>
        <v>贰拾亿叁仟伍佰陆拾壹万元整</v>
      </c>
      <c r="E14" s="1957"/>
    </row>
    <row r="15" spans="1:5" ht="15">
      <c r="A15" s="1957"/>
      <c r="B15" s="3024"/>
      <c r="C15" s="1961" t="s">
        <v>1626</v>
      </c>
      <c r="D15" s="1051">
        <f ca="1">结果表!H108</f>
        <v>12166</v>
      </c>
      <c r="E15" s="1957"/>
    </row>
    <row r="16" spans="1:5" ht="15">
      <c r="A16" s="1957"/>
      <c r="B16" s="3025" t="str">
        <f>结果表!E109</f>
        <v>——</v>
      </c>
      <c r="C16" s="1965" t="s">
        <v>1627</v>
      </c>
      <c r="D16" s="1966" t="str">
        <f>结果表!H109</f>
        <v>——</v>
      </c>
      <c r="E16" s="1957"/>
    </row>
    <row r="17" spans="1:5" ht="15.75">
      <c r="A17" s="1957"/>
      <c r="B17" s="3026"/>
      <c r="C17" s="1960" t="s">
        <v>1628</v>
      </c>
      <c r="D17" s="1039" t="e">
        <f>NUMBERSTRING(INT(D16*10000),2)&amp;"元整"</f>
        <v>#VALUE!</v>
      </c>
      <c r="E17" s="1957"/>
    </row>
    <row r="18" spans="1:5" ht="15">
      <c r="A18" s="1957"/>
      <c r="B18" s="3027"/>
      <c r="C18" s="1961" t="s">
        <v>1617</v>
      </c>
      <c r="D18" s="1051" t="str">
        <f>结果表!H110</f>
        <v>——</v>
      </c>
      <c r="E18" s="1957"/>
    </row>
    <row r="19" spans="1:5" ht="15.75">
      <c r="A19" s="1957"/>
      <c r="B19" s="3018" t="str">
        <f>结果表!E111</f>
        <v>——</v>
      </c>
      <c r="C19" s="1965" t="s">
        <v>1615</v>
      </c>
      <c r="D19" s="1040" t="str">
        <f>结果表!H111</f>
        <v>——</v>
      </c>
      <c r="E19" s="1957"/>
    </row>
    <row r="20" spans="1:5" ht="15.75">
      <c r="A20" s="1957"/>
      <c r="B20" s="3019"/>
      <c r="C20" s="1960" t="s">
        <v>1628</v>
      </c>
      <c r="D20" s="1039" t="e">
        <f>NUMBERSTRING(INT(D19*10000),2)&amp;"元整"</f>
        <v>#VALUE!</v>
      </c>
      <c r="E20" s="1957"/>
    </row>
    <row r="21" spans="1:5" ht="15.75" thickBot="1">
      <c r="A21" s="1957"/>
      <c r="B21" s="3020"/>
      <c r="C21" s="1967" t="s">
        <v>1626</v>
      </c>
      <c r="D21" s="1052" t="str">
        <f>结果表!H112</f>
        <v>——</v>
      </c>
      <c r="E21" s="1957"/>
    </row>
    <row r="22" spans="1:5" ht="15" thickTop="1">
      <c r="A22" s="1957"/>
      <c r="B22" s="1968" t="s">
        <v>1629</v>
      </c>
      <c r="C22" s="1957"/>
      <c r="D22" s="1957"/>
      <c r="E22" s="1957"/>
    </row>
    <row r="23" spans="1:5">
      <c r="A23" s="1957"/>
      <c r="B23" s="1957"/>
      <c r="C23" s="1957"/>
      <c r="D23" s="1957"/>
      <c r="E23" s="1957"/>
    </row>
    <row r="24" spans="1:5" ht="18.75">
      <c r="A24" s="1969"/>
      <c r="B24" s="1970" t="s">
        <v>1620</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59173</v>
      </c>
      <c r="C2" s="2" t="s">
        <v>133</v>
      </c>
      <c r="D2" s="242"/>
      <c r="E2" s="242"/>
      <c r="F2" s="242"/>
      <c r="G2" s="242"/>
    </row>
    <row r="3" spans="1:7" s="243" customFormat="1" ht="18" customHeight="1" thickBot="1">
      <c r="A3" s="246" t="s">
        <v>85</v>
      </c>
      <c r="B3" s="247">
        <f ca="1">ROUND(B2*10000/'数据-汇总表'!E3,0)</f>
        <v>3536</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20810</v>
      </c>
      <c r="D5" s="254" t="s">
        <v>88</v>
      </c>
      <c r="E5" s="255" t="s">
        <v>89</v>
      </c>
      <c r="F5" s="255" t="s">
        <v>90</v>
      </c>
      <c r="G5" s="256"/>
    </row>
    <row r="6" spans="1:7" s="257" customFormat="1" ht="13.5" customHeight="1">
      <c r="A6" s="948" t="s">
        <v>790</v>
      </c>
      <c r="B6" s="258" t="s">
        <v>91</v>
      </c>
      <c r="C6" s="259">
        <v>20000</v>
      </c>
      <c r="D6" s="260"/>
      <c r="E6" s="261"/>
      <c r="F6" s="261"/>
      <c r="G6" s="262"/>
    </row>
    <row r="7" spans="1:7" s="257" customFormat="1" ht="13.5" customHeight="1">
      <c r="A7" s="948" t="s">
        <v>791</v>
      </c>
      <c r="B7" s="258" t="s">
        <v>57</v>
      </c>
      <c r="C7" s="263">
        <f>ROUND(C6*F7,0)</f>
        <v>810</v>
      </c>
      <c r="D7" s="263"/>
      <c r="E7" s="261"/>
      <c r="F7" s="264">
        <f>'数据-取费表'!B48+'数据-取费表'!B49</f>
        <v>4.0500000000000001E-2</v>
      </c>
      <c r="G7" s="262"/>
    </row>
    <row r="8" spans="1:7" s="266" customFormat="1">
      <c r="A8" s="948" t="s">
        <v>792</v>
      </c>
      <c r="B8" s="258" t="s">
        <v>92</v>
      </c>
      <c r="C8" s="263" t="str">
        <f>IF(G8="已包含在土地购买价格中","0",'数据-取费表'!B29)</f>
        <v>0</v>
      </c>
      <c r="D8" s="265"/>
      <c r="E8" s="263"/>
      <c r="F8" s="264"/>
      <c r="G8" s="1" t="s">
        <v>1141</v>
      </c>
    </row>
    <row r="9" spans="1:7" s="257" customFormat="1" ht="13.5" customHeight="1">
      <c r="A9" s="949" t="s">
        <v>799</v>
      </c>
      <c r="B9" s="267" t="s">
        <v>93</v>
      </c>
      <c r="C9" s="268">
        <f>ROUND(D9*E9/10000,0)</f>
        <v>907</v>
      </c>
      <c r="D9" s="1031">
        <f>'数据-汇总表'!E5</f>
        <v>129585.88999999998</v>
      </c>
      <c r="E9" s="268">
        <f>'数据-取费表'!B27</f>
        <v>70</v>
      </c>
      <c r="F9" s="264"/>
      <c r="G9" s="269"/>
    </row>
    <row r="10" spans="1:7" s="257" customFormat="1" ht="13.5" customHeight="1">
      <c r="A10" s="949" t="s">
        <v>800</v>
      </c>
      <c r="B10" s="267" t="s">
        <v>94</v>
      </c>
      <c r="C10" s="268">
        <f>ROUND(D10*E10/10000,0)</f>
        <v>415</v>
      </c>
      <c r="D10" s="1031">
        <f>'数据-汇总表'!E6</f>
        <v>37739.420000000042</v>
      </c>
      <c r="E10" s="268">
        <f>'数据-取费表'!B28</f>
        <v>110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3347</v>
      </c>
      <c r="D19" s="1035">
        <f>'数据-汇总表'!E3</f>
        <v>167325.31000000003</v>
      </c>
      <c r="E19" s="254">
        <f>'数据-取费表'!B31</f>
        <v>200</v>
      </c>
      <c r="F19" s="274"/>
      <c r="G19" s="1" t="s">
        <v>1070</v>
      </c>
    </row>
    <row r="20" spans="1:7" s="257" customFormat="1" ht="13.5" customHeight="1">
      <c r="A20" s="947" t="s">
        <v>1053</v>
      </c>
      <c r="B20" s="253" t="s">
        <v>104</v>
      </c>
      <c r="C20" s="275">
        <f>ROUND((C5+C19)*F20,0)</f>
        <v>725</v>
      </c>
      <c r="D20" s="275"/>
      <c r="E20" s="275"/>
      <c r="F20" s="276">
        <f>'数据-取费表'!B37</f>
        <v>0.03</v>
      </c>
      <c r="G20" s="1288" t="s">
        <v>1064</v>
      </c>
    </row>
    <row r="21" spans="1:7" s="257" customFormat="1" ht="13.5" customHeight="1">
      <c r="A21" s="947" t="s">
        <v>1055</v>
      </c>
      <c r="B21" s="253" t="s">
        <v>105</v>
      </c>
      <c r="C21" s="278">
        <f>F21</f>
        <v>0.03</v>
      </c>
      <c r="D21" s="279" t="s">
        <v>126</v>
      </c>
      <c r="E21" s="275"/>
      <c r="F21" s="276">
        <f>'数据-取费表'!B38</f>
        <v>0.03</v>
      </c>
      <c r="G21" s="277" t="s">
        <v>106</v>
      </c>
    </row>
    <row r="22" spans="1:7" s="257" customFormat="1" ht="13.5" customHeight="1">
      <c r="A22" s="947" t="s">
        <v>785</v>
      </c>
      <c r="B22" s="253" t="s">
        <v>107</v>
      </c>
      <c r="C22" s="1353">
        <f ca="1">ROUND(SUM(C23:C25),0)</f>
        <v>1524</v>
      </c>
      <c r="D22" s="278">
        <f ca="1">C26</f>
        <v>8.9999999999999998E-4</v>
      </c>
      <c r="E22" s="279" t="s">
        <v>126</v>
      </c>
      <c r="F22" s="280">
        <f ca="1">'数据-取费表'!B40</f>
        <v>4.7500000000000001E-2</v>
      </c>
      <c r="G22" s="1288" t="str">
        <f>IF('数据-取费表'!B22&lt;=1,"单利计息","复利计息")</f>
        <v>复利计息</v>
      </c>
    </row>
    <row r="23" spans="1:7" s="257" customFormat="1" ht="13.5" customHeight="1">
      <c r="A23" s="950" t="s">
        <v>793</v>
      </c>
      <c r="B23" s="258" t="s">
        <v>1057</v>
      </c>
      <c r="C23" s="1354">
        <f ca="1">ROUND(IF('数据-取费表'!B22&lt;=1,C5*F22*'数据-取费表'!B23,C5*(POWER((1+F22),'数据-取费表'!B23)-1)),0)</f>
        <v>1294</v>
      </c>
      <c r="D23" s="281"/>
      <c r="E23" s="281"/>
      <c r="F23" s="282"/>
      <c r="G23" s="283" t="s">
        <v>108</v>
      </c>
    </row>
    <row r="24" spans="1:7" s="257" customFormat="1" ht="13.5" customHeight="1">
      <c r="A24" s="950" t="s">
        <v>791</v>
      </c>
      <c r="B24" s="258" t="s">
        <v>1052</v>
      </c>
      <c r="C24" s="1354">
        <f ca="1">ROUND(IF('数据-取费表'!B22&lt;=1,C19*F22*('数据-取费表'!B19/2+'数据-取费表'!B21),C19*(POWER((1+F22),('数据-取费表'!B19/2+'数据-取费表'!B21))-1)),0)</f>
        <v>208</v>
      </c>
      <c r="D24" s="281"/>
      <c r="E24" s="281"/>
      <c r="F24" s="282"/>
      <c r="G24" s="283" t="s">
        <v>109</v>
      </c>
    </row>
    <row r="25" spans="1:7" s="257" customFormat="1" ht="24">
      <c r="A25" s="950" t="s">
        <v>792</v>
      </c>
      <c r="B25" s="258" t="s">
        <v>1054</v>
      </c>
      <c r="C25" s="1354">
        <f ca="1">ROUND(IF('数据-取费表'!B22&lt;=1,C20*F22*'数据-取费表'!B23/2,C20*(POWER((1+F22),'数据-取费表'!B23/2)-1)),0)</f>
        <v>22</v>
      </c>
      <c r="D25" s="281"/>
      <c r="E25" s="284"/>
      <c r="F25" s="282"/>
      <c r="G25" s="285" t="s">
        <v>110</v>
      </c>
    </row>
    <row r="26" spans="1:7" s="257" customFormat="1">
      <c r="A26" s="950" t="s">
        <v>794</v>
      </c>
      <c r="B26" s="258" t="s">
        <v>1056</v>
      </c>
      <c r="C26" s="281">
        <f ca="1">ROUND(IF('数据-取费表'!B22&lt;=1,F21*F22*'数据-取费表'!B23/2,F21*(POWER((1+F22),'数据-取费表'!B23/2)-1)),4)</f>
        <v>8.9999999999999998E-4</v>
      </c>
      <c r="D26" s="281"/>
      <c r="E26" s="284"/>
      <c r="F26" s="282"/>
      <c r="G26" s="286"/>
    </row>
    <row r="27" spans="1:7" s="257" customFormat="1" ht="24.75">
      <c r="A27" s="947" t="s">
        <v>786</v>
      </c>
      <c r="B27" s="287" t="s">
        <v>112</v>
      </c>
      <c r="C27" s="288">
        <f>C28</f>
        <v>1294</v>
      </c>
      <c r="D27" s="278">
        <f>C29</f>
        <v>1.6000000000000001E-3</v>
      </c>
      <c r="E27" s="279" t="s">
        <v>126</v>
      </c>
      <c r="F27" s="289">
        <f>'数据-取费表'!Q16</f>
        <v>0.08</v>
      </c>
      <c r="G27" s="290" t="s">
        <v>1065</v>
      </c>
    </row>
    <row r="28" spans="1:7" s="257" customFormat="1" ht="13.5" customHeight="1">
      <c r="A28" s="950" t="s">
        <v>793</v>
      </c>
      <c r="B28" s="291" t="s">
        <v>1058</v>
      </c>
      <c r="C28" s="292">
        <f>ROUND((C5+C19+C20)*F27*'数据-取费表'!B21/'数据-取费表'!B20,0)</f>
        <v>1294</v>
      </c>
      <c r="D28" s="278"/>
      <c r="E28" s="279"/>
      <c r="F28" s="289"/>
      <c r="G28" s="290"/>
    </row>
    <row r="29" spans="1:7" s="257" customFormat="1" ht="13.5" customHeight="1">
      <c r="A29" s="950" t="s">
        <v>791</v>
      </c>
      <c r="B29" s="291" t="s">
        <v>1059</v>
      </c>
      <c r="C29" s="281">
        <f>ROUND(C21*F27*'数据-取费表'!B21/'数据-取费表'!B20,4)</f>
        <v>1.6000000000000001E-3</v>
      </c>
      <c r="D29" s="278"/>
      <c r="E29" s="279"/>
      <c r="F29" s="289"/>
      <c r="G29" s="290"/>
    </row>
    <row r="30" spans="1:7" s="257" customFormat="1" ht="13.5" customHeight="1">
      <c r="A30" s="947" t="s">
        <v>787</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30301</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781</v>
      </c>
      <c r="B33" s="253" t="s">
        <v>115</v>
      </c>
      <c r="C33" s="299">
        <f>SUM(C34:C38)</f>
        <v>23052</v>
      </c>
      <c r="D33" s="275"/>
      <c r="E33" s="255"/>
      <c r="F33" s="284"/>
      <c r="G33" s="277"/>
    </row>
    <row r="34" spans="1:7" s="301" customFormat="1" ht="13.5" customHeight="1">
      <c r="A34" s="950" t="s">
        <v>793</v>
      </c>
      <c r="B34" s="258" t="s">
        <v>59</v>
      </c>
      <c r="C34" s="263">
        <f>IF(F34=100%,'数据-取费表'!M16-SUMIF('数据-取费表'!C:C,"公共配套",'数据-取费表'!M:M),'数据-取费表'!O16-SUMIF('数据-取费表'!C:C,"公共配套",'数据-取费表'!O:O))</f>
        <v>19644</v>
      </c>
      <c r="D34" s="260"/>
      <c r="E34" s="263"/>
      <c r="F34" s="300">
        <f>IF('数据-取费表'!B24=0,1,'数据-取费表'!N16)</f>
        <v>0.62</v>
      </c>
      <c r="G34" s="262" t="s">
        <v>116</v>
      </c>
    </row>
    <row r="35" spans="1:7" ht="13.5" customHeight="1">
      <c r="A35" s="950" t="s">
        <v>795</v>
      </c>
      <c r="B35" s="258" t="s">
        <v>60</v>
      </c>
      <c r="C35" s="263">
        <f>ROUND(C34*F35,0)</f>
        <v>589</v>
      </c>
      <c r="D35" s="263"/>
      <c r="E35" s="263"/>
      <c r="F35" s="302">
        <f>'数据-取费表'!B33</f>
        <v>0.03</v>
      </c>
      <c r="G35" s="262" t="s">
        <v>117</v>
      </c>
    </row>
    <row r="36" spans="1:7" ht="24">
      <c r="A36" s="950" t="s">
        <v>796</v>
      </c>
      <c r="B36" s="258" t="s">
        <v>61</v>
      </c>
      <c r="C36" s="263">
        <f>ROUND(IF(SUMIF('数据-取费表'!C:C,"住宅",IF(F34=100%,'数据-取费表'!M:M,'数据-取费表'!O:O))=0,0,IF(F36=0,SUMIF('数据-取费表'!C:C,"公共配套",IF(F34=100%,'数据-取费表'!M:M,'数据-取费表'!O:O)),SUMIF('数据-取费表'!C:C,"住宅",IF(F34=100%,'数据-取费表'!M:M,'数据-取费表'!O:O))*F36)),0)</f>
        <v>449</v>
      </c>
      <c r="D36" s="263"/>
      <c r="E36" s="263"/>
      <c r="F36" s="302">
        <f>'数据-取费表'!B34</f>
        <v>0.03</v>
      </c>
      <c r="G36" s="303" t="s">
        <v>62</v>
      </c>
    </row>
    <row r="37" spans="1:7" s="301" customFormat="1" ht="13.5" customHeight="1">
      <c r="A37" s="950" t="s">
        <v>797</v>
      </c>
      <c r="B37" s="258" t="s">
        <v>118</v>
      </c>
      <c r="C37" s="292">
        <f>ROUND(E37*D37*F34/10000,0)</f>
        <v>2075</v>
      </c>
      <c r="D37" s="260">
        <f>'数据-汇总表'!E3</f>
        <v>167325.31000000003</v>
      </c>
      <c r="E37" s="292">
        <f>'数据-取费表'!B35</f>
        <v>200</v>
      </c>
      <c r="F37" s="302"/>
      <c r="G37" s="304" t="s">
        <v>119</v>
      </c>
    </row>
    <row r="38" spans="1:7" ht="13.5" customHeight="1">
      <c r="A38" s="950" t="s">
        <v>798</v>
      </c>
      <c r="B38" s="258" t="s">
        <v>63</v>
      </c>
      <c r="C38" s="263">
        <f>ROUND(C34*F38,0)</f>
        <v>295</v>
      </c>
      <c r="D38" s="263"/>
      <c r="E38" s="263"/>
      <c r="F38" s="302">
        <f>'数据-取费表'!B36</f>
        <v>1.4999999999999999E-2</v>
      </c>
      <c r="G38" s="262" t="s">
        <v>117</v>
      </c>
    </row>
    <row r="39" spans="1:7" s="257" customFormat="1" ht="13.5" customHeight="1">
      <c r="A39" s="947" t="s">
        <v>782</v>
      </c>
      <c r="B39" s="253" t="s">
        <v>104</v>
      </c>
      <c r="C39" s="275">
        <f>ROUND(C33*F20,0)</f>
        <v>692</v>
      </c>
      <c r="D39" s="275"/>
      <c r="E39" s="275"/>
      <c r="F39" s="276"/>
      <c r="G39" s="1288" t="s">
        <v>1067</v>
      </c>
    </row>
    <row r="40" spans="1:7" s="257" customFormat="1" ht="13.5" customHeight="1">
      <c r="A40" s="947" t="s">
        <v>783</v>
      </c>
      <c r="B40" s="253" t="s">
        <v>105</v>
      </c>
      <c r="C40" s="305">
        <f>F21</f>
        <v>0.03</v>
      </c>
      <c r="D40" s="279" t="s">
        <v>129</v>
      </c>
      <c r="E40" s="275"/>
      <c r="F40" s="276"/>
      <c r="G40" s="277" t="s">
        <v>120</v>
      </c>
    </row>
    <row r="41" spans="1:7" s="257" customFormat="1" ht="13.5" customHeight="1">
      <c r="A41" s="947" t="s">
        <v>784</v>
      </c>
      <c r="B41" s="253" t="s">
        <v>107</v>
      </c>
      <c r="C41" s="275">
        <f ca="1">ROUND(SUM(C42:C43),0)</f>
        <v>727</v>
      </c>
      <c r="D41" s="278">
        <f ca="1">C44</f>
        <v>8.9999999999999998E-4</v>
      </c>
      <c r="E41" s="279" t="s">
        <v>129</v>
      </c>
      <c r="F41" s="280"/>
      <c r="G41" s="1288" t="str">
        <f>IF('数据-取费表'!B22&lt;=1,"单利计息","复利计息")</f>
        <v>复利计息</v>
      </c>
    </row>
    <row r="42" spans="1:7" ht="13.5" customHeight="1">
      <c r="A42" s="950" t="s">
        <v>793</v>
      </c>
      <c r="B42" s="258" t="s">
        <v>1057</v>
      </c>
      <c r="C42" s="281">
        <f ca="1">ROUND(IF('数据-取费表'!B22&lt;=1,C33*F22*'数据-取费表'!B21/2,C33*(POWER((1+F22),'数据-取费表'!B21/2)-1)),0)</f>
        <v>706</v>
      </c>
      <c r="D42" s="281"/>
      <c r="E42" s="281"/>
      <c r="F42" s="282"/>
      <c r="G42" s="3247" t="s">
        <v>121</v>
      </c>
    </row>
    <row r="43" spans="1:7" ht="13.5" customHeight="1">
      <c r="A43" s="950" t="s">
        <v>791</v>
      </c>
      <c r="B43" s="258" t="s">
        <v>1060</v>
      </c>
      <c r="C43" s="281">
        <f ca="1">ROUND(IF('数据-取费表'!B22&lt;=1,C39*F22*'数据-取费表'!B21/2,C39*(POWER((1+F22),'数据-取费表'!B21/2)-1)),0)</f>
        <v>21</v>
      </c>
      <c r="D43" s="281"/>
      <c r="E43" s="281"/>
      <c r="F43" s="282"/>
      <c r="G43" s="3248"/>
    </row>
    <row r="44" spans="1:7" ht="13.5" customHeight="1">
      <c r="A44" s="950" t="s">
        <v>792</v>
      </c>
      <c r="B44" s="258" t="s">
        <v>1062</v>
      </c>
      <c r="C44" s="281">
        <f ca="1">ROUND(IF('数据-取费表'!B22&lt;=1,C40*F22*'数据-取费表'!B21/2,C40*(POWER((1+F22),'数据-取费表'!B21/2)-1)),4)</f>
        <v>8.9999999999999998E-4</v>
      </c>
      <c r="D44" s="281"/>
      <c r="E44" s="281"/>
      <c r="F44" s="282"/>
      <c r="G44" s="3249"/>
    </row>
    <row r="45" spans="1:7" s="257" customFormat="1" ht="13.5" customHeight="1">
      <c r="A45" s="947" t="s">
        <v>785</v>
      </c>
      <c r="B45" s="287" t="s">
        <v>112</v>
      </c>
      <c r="C45" s="288">
        <f>C46</f>
        <v>1900</v>
      </c>
      <c r="D45" s="278">
        <f>C47</f>
        <v>2.3999999999999998E-3</v>
      </c>
      <c r="E45" s="279" t="s">
        <v>129</v>
      </c>
      <c r="F45" s="289"/>
      <c r="G45" s="290" t="s">
        <v>1068</v>
      </c>
    </row>
    <row r="46" spans="1:7" s="257" customFormat="1" ht="13.5" customHeight="1">
      <c r="A46" s="950" t="s">
        <v>793</v>
      </c>
      <c r="B46" s="291" t="s">
        <v>1061</v>
      </c>
      <c r="C46" s="292">
        <f>ROUND((C33+C39)*F27,0)</f>
        <v>1900</v>
      </c>
      <c r="D46" s="306"/>
      <c r="E46" s="279"/>
      <c r="F46" s="289"/>
      <c r="G46" s="290"/>
    </row>
    <row r="47" spans="1:7" s="257" customFormat="1" ht="13.5" customHeight="1">
      <c r="A47" s="950" t="s">
        <v>791</v>
      </c>
      <c r="B47" s="291" t="s">
        <v>1063</v>
      </c>
      <c r="C47" s="281">
        <f>ROUND(C40*F27,4)</f>
        <v>2.3999999999999998E-3</v>
      </c>
      <c r="D47" s="306"/>
      <c r="E47" s="279"/>
      <c r="F47" s="289"/>
      <c r="G47" s="290"/>
    </row>
    <row r="48" spans="1:7" s="257" customFormat="1" ht="13.5" customHeight="1">
      <c r="A48" s="947" t="s">
        <v>786</v>
      </c>
      <c r="B48" s="253" t="s">
        <v>122</v>
      </c>
      <c r="C48" s="305">
        <f>F30</f>
        <v>5.6000000000000001E-2</v>
      </c>
      <c r="D48" s="279" t="s">
        <v>130</v>
      </c>
      <c r="E48" s="275"/>
      <c r="F48" s="280"/>
      <c r="G48" s="277" t="s">
        <v>123</v>
      </c>
    </row>
    <row r="49" spans="1:7" ht="16.5" customHeight="1">
      <c r="A49" s="947" t="s">
        <v>787</v>
      </c>
      <c r="B49" s="253" t="s">
        <v>131</v>
      </c>
      <c r="C49" s="275">
        <f ca="1">ROUND((C33+C39+C41+C45)/(1-C40-D41-D45-C48/(1+'数据-取费表'!B42)),0)</f>
        <v>28872</v>
      </c>
      <c r="D49" s="275"/>
      <c r="E49" s="275"/>
      <c r="F49" s="307"/>
      <c r="G49" s="277" t="s">
        <v>1069</v>
      </c>
    </row>
    <row r="50" spans="1:7" s="301" customFormat="1" ht="24">
      <c r="A50" s="947" t="s">
        <v>788</v>
      </c>
      <c r="B50" s="253" t="s">
        <v>124</v>
      </c>
      <c r="C50" s="275"/>
      <c r="D50" s="275"/>
      <c r="E50" s="275"/>
      <c r="F50" s="307">
        <f>IF('数据-取费表'!B24=0,'数据-取费表'!N16,1)</f>
        <v>1</v>
      </c>
      <c r="G50" s="290" t="s">
        <v>125</v>
      </c>
    </row>
    <row r="51" spans="1:7" ht="16.5" customHeight="1">
      <c r="A51" s="947" t="s">
        <v>789</v>
      </c>
      <c r="B51" s="253" t="s">
        <v>132</v>
      </c>
      <c r="C51" s="275">
        <f ca="1">ROUND(C49*F50,0)</f>
        <v>28872</v>
      </c>
      <c r="D51" s="275"/>
      <c r="E51" s="275"/>
      <c r="F51" s="307"/>
      <c r="G51" s="277" t="s">
        <v>64</v>
      </c>
    </row>
    <row r="52" spans="1:7" s="251" customFormat="1" ht="16.5" thickBot="1">
      <c r="A52" s="308" t="s">
        <v>65</v>
      </c>
      <c r="B52" s="309"/>
      <c r="C52" s="310">
        <f ca="1">C31+C51</f>
        <v>59173</v>
      </c>
      <c r="D52" s="309"/>
      <c r="E52" s="309"/>
      <c r="F52" s="309"/>
      <c r="G52" s="311"/>
    </row>
    <row r="55" spans="1:7" ht="15">
      <c r="B55" s="313" t="s">
        <v>66</v>
      </c>
      <c r="C55" s="314"/>
    </row>
    <row r="56" spans="1:7">
      <c r="B56" s="316" t="s">
        <v>67</v>
      </c>
      <c r="C56" s="317">
        <f ca="1">ROUND(C51/C52,3)</f>
        <v>0.48799999999999999</v>
      </c>
    </row>
    <row r="57" spans="1:7">
      <c r="B57" s="316" t="s">
        <v>68</v>
      </c>
      <c r="C57" s="318">
        <f ca="1">1-C56</f>
        <v>0.51200000000000001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40" t="s">
        <v>156</v>
      </c>
      <c r="B1" s="3340"/>
      <c r="C1" s="3340"/>
      <c r="D1" s="3340"/>
      <c r="E1" s="3340"/>
      <c r="F1" s="3340"/>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41" t="s">
        <v>169</v>
      </c>
      <c r="B2" s="3341"/>
      <c r="C2" s="3341"/>
      <c r="D2" s="3341"/>
      <c r="E2" s="3341"/>
      <c r="F2" s="3341"/>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42"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43"/>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815</v>
      </c>
      <c r="B5" s="837" t="s">
        <v>816</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1049</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1049</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40" t="s">
        <v>867</v>
      </c>
      <c r="B1" s="3340"/>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6" t="s">
        <v>874</v>
      </c>
      <c r="B5" s="837" t="s">
        <v>875</v>
      </c>
      <c r="C5" s="1061">
        <v>8.8999999999999996E-2</v>
      </c>
      <c r="D5" s="1061">
        <v>7.3999999999999996E-2</v>
      </c>
      <c r="E5" s="1061">
        <v>7.4999999999999997E-2</v>
      </c>
      <c r="F5" s="1062">
        <v>0.1</v>
      </c>
    </row>
    <row r="6" spans="1:6" ht="14.25" thickBot="1">
      <c r="A6" s="836" t="s">
        <v>212</v>
      </c>
      <c r="B6" s="830" t="s">
        <v>876</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877</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878</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879</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880</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881</v>
      </c>
      <c r="C72" s="1076"/>
      <c r="D72" s="1076"/>
      <c r="E72" s="1076"/>
      <c r="F72" s="1064">
        <v>0.05</v>
      </c>
    </row>
    <row r="73" spans="1:6" ht="14.25" thickBot="1">
      <c r="A73" s="836" t="s">
        <v>137</v>
      </c>
      <c r="B73" s="830" t="s">
        <v>882</v>
      </c>
      <c r="C73" s="1076"/>
      <c r="D73" s="1076"/>
      <c r="E73" s="1076"/>
      <c r="F73" s="1064">
        <v>0.05</v>
      </c>
    </row>
    <row r="74" spans="1:6" ht="14.25" thickBot="1">
      <c r="A74" s="836" t="s">
        <v>137</v>
      </c>
      <c r="B74" s="830" t="s">
        <v>883</v>
      </c>
      <c r="C74" s="1076"/>
      <c r="D74" s="1076"/>
      <c r="E74" s="1076"/>
      <c r="F74" s="1064">
        <v>0.05</v>
      </c>
    </row>
    <row r="75" spans="1:6" ht="14.25" thickBot="1">
      <c r="A75" s="846" t="s">
        <v>137</v>
      </c>
      <c r="B75" s="842" t="s">
        <v>884</v>
      </c>
      <c r="C75" s="1073"/>
      <c r="D75" s="1073"/>
      <c r="E75" s="1073"/>
      <c r="F75" s="1066">
        <v>0.05</v>
      </c>
    </row>
    <row r="76" spans="1:6" ht="14.25" thickBot="1">
      <c r="A76" s="836" t="s">
        <v>523</v>
      </c>
      <c r="B76" s="837" t="s">
        <v>885</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886</v>
      </c>
      <c r="C102" s="1076"/>
      <c r="D102" s="1076"/>
      <c r="E102" s="1076"/>
      <c r="F102" s="1064">
        <v>0.05</v>
      </c>
    </row>
    <row r="103" spans="1:6" ht="24.75" thickBot="1">
      <c r="A103" s="836" t="s">
        <v>523</v>
      </c>
      <c r="B103" s="830" t="s">
        <v>887</v>
      </c>
      <c r="C103" s="1076"/>
      <c r="D103" s="1076"/>
      <c r="E103" s="1076"/>
      <c r="F103" s="1064">
        <v>0.05</v>
      </c>
    </row>
    <row r="104" spans="1:6" ht="14.25" thickBot="1">
      <c r="A104" s="836" t="s">
        <v>523</v>
      </c>
      <c r="B104" s="830" t="s">
        <v>888</v>
      </c>
      <c r="C104" s="1076"/>
      <c r="D104" s="1076"/>
      <c r="E104" s="1076"/>
      <c r="F104" s="1064">
        <v>0.05</v>
      </c>
    </row>
    <row r="105" spans="1:6" ht="14.25" thickBot="1">
      <c r="A105" s="836" t="s">
        <v>523</v>
      </c>
      <c r="B105" s="830" t="s">
        <v>889</v>
      </c>
      <c r="C105" s="1076"/>
      <c r="D105" s="1076"/>
      <c r="E105" s="1076"/>
      <c r="F105" s="1064">
        <v>0.05</v>
      </c>
    </row>
    <row r="106" spans="1:6" ht="14.25" thickBot="1">
      <c r="A106" s="836" t="s">
        <v>523</v>
      </c>
      <c r="B106" s="830" t="s">
        <v>890</v>
      </c>
      <c r="C106" s="1076"/>
      <c r="D106" s="1076"/>
      <c r="E106" s="1076"/>
      <c r="F106" s="1064">
        <v>0.05</v>
      </c>
    </row>
    <row r="107" spans="1:6" ht="24.75" thickBot="1">
      <c r="A107" s="836" t="s">
        <v>523</v>
      </c>
      <c r="B107" s="830" t="s">
        <v>891</v>
      </c>
      <c r="C107" s="1076"/>
      <c r="D107" s="1076"/>
      <c r="E107" s="1076"/>
      <c r="F107" s="1064">
        <v>0.05</v>
      </c>
    </row>
    <row r="108" spans="1:6" ht="24.75" thickBot="1">
      <c r="A108" s="836" t="s">
        <v>523</v>
      </c>
      <c r="B108" s="830" t="s">
        <v>892</v>
      </c>
      <c r="C108" s="1076"/>
      <c r="D108" s="1076"/>
      <c r="E108" s="1076"/>
      <c r="F108" s="1064">
        <v>0.05</v>
      </c>
    </row>
    <row r="109" spans="1:6" ht="24.75" thickBot="1">
      <c r="A109" s="846" t="s">
        <v>523</v>
      </c>
      <c r="B109" s="842" t="s">
        <v>893</v>
      </c>
      <c r="C109" s="1073"/>
      <c r="D109" s="1073"/>
      <c r="E109" s="1073"/>
      <c r="F109" s="1066">
        <v>0.05</v>
      </c>
    </row>
    <row r="110" spans="1:6" ht="14.25" thickBot="1">
      <c r="A110" s="836" t="s">
        <v>56</v>
      </c>
      <c r="B110" s="837" t="s">
        <v>894</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895</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896</v>
      </c>
      <c r="C138" s="1063">
        <v>0.105</v>
      </c>
      <c r="D138" s="1063">
        <v>0.125</v>
      </c>
      <c r="E138" s="1063">
        <v>0.112</v>
      </c>
      <c r="F138" s="1075"/>
    </row>
    <row r="139" spans="1:6" ht="14.25" thickBot="1">
      <c r="A139" s="836" t="s">
        <v>56</v>
      </c>
      <c r="B139" s="830" t="s">
        <v>897</v>
      </c>
      <c r="C139" s="1063">
        <v>0.127</v>
      </c>
      <c r="D139" s="1063">
        <v>0.127</v>
      </c>
      <c r="E139" s="1063">
        <v>0.122</v>
      </c>
      <c r="F139" s="1064">
        <v>0.13</v>
      </c>
    </row>
    <row r="140" spans="1:6" ht="14.25" thickBot="1">
      <c r="A140" s="836" t="s">
        <v>56</v>
      </c>
      <c r="B140" s="830" t="s">
        <v>898</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899</v>
      </c>
      <c r="C144" s="1068">
        <v>0.126</v>
      </c>
      <c r="D144" s="1068">
        <v>0.126</v>
      </c>
      <c r="E144" s="1068">
        <v>0.121</v>
      </c>
      <c r="F144" s="1075"/>
    </row>
    <row r="145" spans="1:6" ht="14.25" thickBot="1">
      <c r="A145" s="846" t="s">
        <v>56</v>
      </c>
      <c r="B145" s="1069" t="s">
        <v>900</v>
      </c>
      <c r="C145" s="1077"/>
      <c r="D145" s="1077"/>
      <c r="E145" s="1077"/>
      <c r="F145" s="1070">
        <v>0.05</v>
      </c>
    </row>
    <row r="146" spans="1:6" ht="24.75" thickBot="1">
      <c r="A146" s="1071" t="s">
        <v>56</v>
      </c>
      <c r="B146" s="840" t="s">
        <v>901</v>
      </c>
      <c r="C146" s="1076"/>
      <c r="D146" s="1076"/>
      <c r="E146" s="1076"/>
      <c r="F146" s="1072">
        <v>0.05</v>
      </c>
    </row>
    <row r="147" spans="1:6" ht="24.75" thickBot="1">
      <c r="A147" s="836" t="s">
        <v>56</v>
      </c>
      <c r="B147" s="830" t="s">
        <v>902</v>
      </c>
      <c r="C147" s="1076"/>
      <c r="D147" s="1076"/>
      <c r="E147" s="1076"/>
      <c r="F147" s="1064">
        <v>0.05</v>
      </c>
    </row>
    <row r="148" spans="1:6" ht="24.75" thickBot="1">
      <c r="A148" s="836" t="s">
        <v>56</v>
      </c>
      <c r="B148" s="830" t="s">
        <v>903</v>
      </c>
      <c r="C148" s="1076"/>
      <c r="D148" s="1076"/>
      <c r="E148" s="1076"/>
      <c r="F148" s="1064">
        <v>0.05</v>
      </c>
    </row>
    <row r="149" spans="1:6" ht="24.75" thickBot="1">
      <c r="A149" s="836" t="s">
        <v>56</v>
      </c>
      <c r="B149" s="830" t="s">
        <v>904</v>
      </c>
      <c r="C149" s="1076"/>
      <c r="D149" s="1076"/>
      <c r="E149" s="1076"/>
      <c r="F149" s="1064">
        <v>0.05</v>
      </c>
    </row>
    <row r="150" spans="1:6" ht="24.75" thickBot="1">
      <c r="A150" s="836" t="s">
        <v>56</v>
      </c>
      <c r="B150" s="830" t="s">
        <v>905</v>
      </c>
      <c r="C150" s="1076"/>
      <c r="D150" s="1076"/>
      <c r="E150" s="1076"/>
      <c r="F150" s="1064">
        <v>0.05</v>
      </c>
    </row>
    <row r="151" spans="1:6" ht="24.75" thickBot="1">
      <c r="A151" s="836" t="s">
        <v>56</v>
      </c>
      <c r="B151" s="830" t="s">
        <v>906</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907</v>
      </c>
      <c r="C153" s="1076"/>
      <c r="D153" s="1076"/>
      <c r="E153" s="1076"/>
      <c r="F153" s="1064">
        <v>0.05</v>
      </c>
    </row>
    <row r="154" spans="1:6" ht="14.25" thickBot="1">
      <c r="A154" s="836" t="s">
        <v>56</v>
      </c>
      <c r="B154" s="830" t="s">
        <v>908</v>
      </c>
      <c r="C154" s="1076"/>
      <c r="D154" s="1076"/>
      <c r="E154" s="1076"/>
      <c r="F154" s="1064">
        <v>0.05</v>
      </c>
    </row>
    <row r="155" spans="1:6" ht="24.75" thickBot="1">
      <c r="A155" s="836" t="s">
        <v>56</v>
      </c>
      <c r="B155" s="830" t="s">
        <v>909</v>
      </c>
      <c r="C155" s="1076"/>
      <c r="D155" s="1076"/>
      <c r="E155" s="1076"/>
      <c r="F155" s="1064">
        <v>0.05</v>
      </c>
    </row>
    <row r="156" spans="1:6" ht="24.75" thickBot="1">
      <c r="A156" s="836" t="s">
        <v>56</v>
      </c>
      <c r="B156" s="830" t="s">
        <v>910</v>
      </c>
      <c r="C156" s="1076"/>
      <c r="D156" s="1076"/>
      <c r="E156" s="1076"/>
      <c r="F156" s="1064">
        <v>0.05</v>
      </c>
    </row>
    <row r="157" spans="1:6" ht="14.25" thickBot="1">
      <c r="A157" s="846" t="s">
        <v>56</v>
      </c>
      <c r="B157" s="842" t="s">
        <v>911</v>
      </c>
      <c r="C157" s="1073"/>
      <c r="D157" s="1073"/>
      <c r="E157" s="1073"/>
      <c r="F157" s="1066">
        <v>0.05</v>
      </c>
    </row>
    <row r="158" spans="1:6" ht="14.25" thickBot="1">
      <c r="A158" s="836" t="s">
        <v>526</v>
      </c>
      <c r="B158" s="837" t="s">
        <v>912</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913</v>
      </c>
      <c r="C171" s="1063">
        <v>0.127</v>
      </c>
      <c r="D171" s="1063">
        <v>0.126</v>
      </c>
      <c r="E171" s="1063">
        <v>0.126</v>
      </c>
      <c r="F171" s="1064">
        <v>0.11799999999999999</v>
      </c>
    </row>
    <row r="172" spans="1:6" ht="14.25" thickBot="1">
      <c r="A172" s="836" t="s">
        <v>526</v>
      </c>
      <c r="B172" s="830" t="s">
        <v>914</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915</v>
      </c>
      <c r="C174" s="1063">
        <v>0.13</v>
      </c>
      <c r="D174" s="1063">
        <v>0.13</v>
      </c>
      <c r="E174" s="1063">
        <v>0.13</v>
      </c>
      <c r="F174" s="1064">
        <v>0.13</v>
      </c>
    </row>
    <row r="175" spans="1:6" ht="14.25" thickBot="1">
      <c r="A175" s="836" t="s">
        <v>526</v>
      </c>
      <c r="B175" s="830" t="s">
        <v>916</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917</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918</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919</v>
      </c>
      <c r="C185" s="1063">
        <v>0.127</v>
      </c>
      <c r="D185" s="1063">
        <v>0.127</v>
      </c>
      <c r="E185" s="1063">
        <v>0.128</v>
      </c>
      <c r="F185" s="1064">
        <v>0.13</v>
      </c>
    </row>
    <row r="186" spans="1:6" ht="24.75" thickBot="1">
      <c r="A186" s="836" t="s">
        <v>526</v>
      </c>
      <c r="B186" s="830" t="s">
        <v>920</v>
      </c>
      <c r="C186" s="1076"/>
      <c r="D186" s="1076"/>
      <c r="E186" s="1076"/>
      <c r="F186" s="1064">
        <v>0.05</v>
      </c>
    </row>
    <row r="187" spans="1:6" ht="14.25" thickBot="1">
      <c r="A187" s="836" t="s">
        <v>526</v>
      </c>
      <c r="B187" s="830" t="s">
        <v>921</v>
      </c>
      <c r="C187" s="1076"/>
      <c r="D187" s="1076"/>
      <c r="E187" s="1076"/>
      <c r="F187" s="1064">
        <v>0.05</v>
      </c>
    </row>
    <row r="188" spans="1:6" ht="14.25" thickBot="1">
      <c r="A188" s="836" t="s">
        <v>526</v>
      </c>
      <c r="B188" s="830" t="s">
        <v>922</v>
      </c>
      <c r="C188" s="1076"/>
      <c r="D188" s="1076"/>
      <c r="E188" s="1076"/>
      <c r="F188" s="1064">
        <v>0.05</v>
      </c>
    </row>
    <row r="189" spans="1:6" ht="24.75" thickBot="1">
      <c r="A189" s="836" t="s">
        <v>526</v>
      </c>
      <c r="B189" s="830" t="s">
        <v>923</v>
      </c>
      <c r="C189" s="1076"/>
      <c r="D189" s="1076"/>
      <c r="E189" s="1076"/>
      <c r="F189" s="1064">
        <v>0.05</v>
      </c>
    </row>
    <row r="190" spans="1:6" ht="24.75" thickBot="1">
      <c r="A190" s="836" t="s">
        <v>526</v>
      </c>
      <c r="B190" s="830" t="s">
        <v>924</v>
      </c>
      <c r="C190" s="1076"/>
      <c r="D190" s="1076"/>
      <c r="E190" s="1076"/>
      <c r="F190" s="1064">
        <v>0.05</v>
      </c>
    </row>
    <row r="191" spans="1:6" ht="24.75" thickBot="1">
      <c r="A191" s="836" t="s">
        <v>526</v>
      </c>
      <c r="B191" s="830" t="s">
        <v>925</v>
      </c>
      <c r="C191" s="1076"/>
      <c r="D191" s="1076"/>
      <c r="E191" s="1076"/>
      <c r="F191" s="1064">
        <v>0.05</v>
      </c>
    </row>
    <row r="192" spans="1:6" ht="24.75" thickBot="1">
      <c r="A192" s="836" t="s">
        <v>526</v>
      </c>
      <c r="B192" s="830" t="s">
        <v>926</v>
      </c>
      <c r="C192" s="1076"/>
      <c r="D192" s="1076"/>
      <c r="E192" s="1076"/>
      <c r="F192" s="1064">
        <v>0.05</v>
      </c>
    </row>
    <row r="193" spans="1:6" ht="24.75" thickBot="1">
      <c r="A193" s="836" t="s">
        <v>526</v>
      </c>
      <c r="B193" s="830" t="s">
        <v>927</v>
      </c>
      <c r="C193" s="1076"/>
      <c r="D193" s="1076"/>
      <c r="E193" s="1076"/>
      <c r="F193" s="1064">
        <v>0.05</v>
      </c>
    </row>
    <row r="194" spans="1:6" ht="24.75" thickBot="1">
      <c r="A194" s="836" t="s">
        <v>526</v>
      </c>
      <c r="B194" s="830" t="s">
        <v>928</v>
      </c>
      <c r="C194" s="1076"/>
      <c r="D194" s="1076"/>
      <c r="E194" s="1076"/>
      <c r="F194" s="1064">
        <v>0.05</v>
      </c>
    </row>
    <row r="195" spans="1:6" ht="14.25" thickBot="1">
      <c r="A195" s="836" t="s">
        <v>526</v>
      </c>
      <c r="B195" s="830" t="s">
        <v>929</v>
      </c>
      <c r="C195" s="1076"/>
      <c r="D195" s="1076"/>
      <c r="E195" s="1076"/>
      <c r="F195" s="1064">
        <v>0.05</v>
      </c>
    </row>
    <row r="196" spans="1:6" ht="24.75" thickBot="1">
      <c r="A196" s="836" t="s">
        <v>526</v>
      </c>
      <c r="B196" s="830" t="s">
        <v>930</v>
      </c>
      <c r="C196" s="1076"/>
      <c r="D196" s="1076"/>
      <c r="E196" s="1076"/>
      <c r="F196" s="1064">
        <v>0.05</v>
      </c>
    </row>
    <row r="197" spans="1:6" ht="24.75" thickBot="1">
      <c r="A197" s="836" t="s">
        <v>526</v>
      </c>
      <c r="B197" s="830" t="s">
        <v>931</v>
      </c>
      <c r="C197" s="1076"/>
      <c r="D197" s="1076"/>
      <c r="E197" s="1076"/>
      <c r="F197" s="1064">
        <v>0.05</v>
      </c>
    </row>
    <row r="198" spans="1:6" ht="24.75" thickBot="1">
      <c r="A198" s="836" t="s">
        <v>526</v>
      </c>
      <c r="B198" s="830" t="s">
        <v>932</v>
      </c>
      <c r="C198" s="1076"/>
      <c r="D198" s="1076"/>
      <c r="E198" s="1076"/>
      <c r="F198" s="1064">
        <v>0.05</v>
      </c>
    </row>
    <row r="199" spans="1:6" ht="24.75" thickBot="1">
      <c r="A199" s="836" t="s">
        <v>526</v>
      </c>
      <c r="B199" s="830" t="s">
        <v>933</v>
      </c>
      <c r="C199" s="1076"/>
      <c r="D199" s="1076"/>
      <c r="E199" s="1076"/>
      <c r="F199" s="1064">
        <v>0.05</v>
      </c>
    </row>
    <row r="200" spans="1:6" ht="24.75" thickBot="1">
      <c r="A200" s="836" t="s">
        <v>526</v>
      </c>
      <c r="B200" s="830" t="s">
        <v>934</v>
      </c>
      <c r="C200" s="1076"/>
      <c r="D200" s="1076"/>
      <c r="E200" s="1076"/>
      <c r="F200" s="1064">
        <v>0.05</v>
      </c>
    </row>
    <row r="201" spans="1:6" ht="24.75" thickBot="1">
      <c r="A201" s="836" t="s">
        <v>526</v>
      </c>
      <c r="B201" s="830" t="s">
        <v>935</v>
      </c>
      <c r="C201" s="1076"/>
      <c r="D201" s="1076"/>
      <c r="E201" s="1076"/>
      <c r="F201" s="1064">
        <v>0.05</v>
      </c>
    </row>
    <row r="202" spans="1:6" ht="24.75" thickBot="1">
      <c r="A202" s="836" t="s">
        <v>526</v>
      </c>
      <c r="B202" s="830" t="s">
        <v>936</v>
      </c>
      <c r="C202" s="1076"/>
      <c r="D202" s="1076"/>
      <c r="E202" s="1076"/>
      <c r="F202" s="1064">
        <v>0.05</v>
      </c>
    </row>
    <row r="203" spans="1:6" ht="24.75" thickBot="1">
      <c r="A203" s="836" t="s">
        <v>526</v>
      </c>
      <c r="B203" s="830" t="s">
        <v>937</v>
      </c>
      <c r="C203" s="1076"/>
      <c r="D203" s="1076"/>
      <c r="E203" s="1076"/>
      <c r="F203" s="1064">
        <v>0.05</v>
      </c>
    </row>
    <row r="204" spans="1:6" ht="14.25" thickBot="1">
      <c r="A204" s="836" t="s">
        <v>526</v>
      </c>
      <c r="B204" s="830" t="s">
        <v>938</v>
      </c>
      <c r="C204" s="1076"/>
      <c r="D204" s="1076"/>
      <c r="E204" s="1076"/>
      <c r="F204" s="1064">
        <v>0.05</v>
      </c>
    </row>
    <row r="205" spans="1:6" ht="14.25" thickBot="1">
      <c r="A205" s="846" t="s">
        <v>526</v>
      </c>
      <c r="B205" s="842" t="s">
        <v>939</v>
      </c>
      <c r="C205" s="1073"/>
      <c r="D205" s="1073"/>
      <c r="E205" s="1073"/>
      <c r="F205" s="1066">
        <v>0.05</v>
      </c>
    </row>
    <row r="206" spans="1:6" ht="14.25" thickBot="1">
      <c r="A206" s="836" t="s">
        <v>528</v>
      </c>
      <c r="B206" s="837" t="s">
        <v>940</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941</v>
      </c>
      <c r="C210" s="1063">
        <v>0.15</v>
      </c>
      <c r="D210" s="1063">
        <v>0.15</v>
      </c>
      <c r="E210" s="1063">
        <v>0.15</v>
      </c>
      <c r="F210" s="1064">
        <v>0.13800000000000001</v>
      </c>
    </row>
    <row r="211" spans="1:6" ht="14.25" thickBot="1">
      <c r="A211" s="836" t="s">
        <v>528</v>
      </c>
      <c r="B211" s="830" t="s">
        <v>942</v>
      </c>
      <c r="C211" s="1063">
        <v>0.13700000000000001</v>
      </c>
      <c r="D211" s="1063">
        <v>0.13500000000000001</v>
      </c>
      <c r="E211" s="1063">
        <v>0.13600000000000001</v>
      </c>
      <c r="F211" s="1064">
        <v>0.1</v>
      </c>
    </row>
    <row r="212" spans="1:6" ht="14.25" thickBot="1">
      <c r="A212" s="836" t="s">
        <v>528</v>
      </c>
      <c r="B212" s="830" t="s">
        <v>943</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944</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945</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946</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947</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948</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949</v>
      </c>
      <c r="C231" s="1063">
        <v>0.128</v>
      </c>
      <c r="D231" s="1063">
        <v>0.125</v>
      </c>
      <c r="E231" s="1063">
        <v>0.13200000000000001</v>
      </c>
      <c r="F231" s="1075"/>
    </row>
    <row r="232" spans="1:6" ht="14.25" thickBot="1">
      <c r="A232" s="836" t="s">
        <v>528</v>
      </c>
      <c r="B232" s="830" t="s">
        <v>950</v>
      </c>
      <c r="C232" s="1063">
        <v>0.14499999999999999</v>
      </c>
      <c r="D232" s="1063">
        <v>0.14399999999999999</v>
      </c>
      <c r="E232" s="1063">
        <v>0.14599999999999999</v>
      </c>
      <c r="F232" s="1064">
        <v>0.13800000000000001</v>
      </c>
    </row>
    <row r="233" spans="1:6" ht="14.25" thickBot="1">
      <c r="A233" s="836" t="s">
        <v>528</v>
      </c>
      <c r="B233" s="830" t="s">
        <v>951</v>
      </c>
      <c r="C233" s="1063">
        <v>0.14499999999999999</v>
      </c>
      <c r="D233" s="1063">
        <v>0.14299999999999999</v>
      </c>
      <c r="E233" s="1063">
        <v>0.14199999999999999</v>
      </c>
      <c r="F233" s="1075"/>
    </row>
    <row r="234" spans="1:6" ht="14.25" thickBot="1">
      <c r="A234" s="836" t="s">
        <v>528</v>
      </c>
      <c r="B234" s="830" t="s">
        <v>952</v>
      </c>
      <c r="C234" s="1063">
        <v>0.14000000000000001</v>
      </c>
      <c r="D234" s="1063">
        <v>0.14000000000000001</v>
      </c>
      <c r="E234" s="1063">
        <v>0.14399999999999999</v>
      </c>
      <c r="F234" s="1075"/>
    </row>
    <row r="235" spans="1:6" ht="14.25" thickBot="1">
      <c r="A235" s="836" t="s">
        <v>528</v>
      </c>
      <c r="B235" s="830" t="s">
        <v>953</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954</v>
      </c>
      <c r="C237" s="1076"/>
      <c r="D237" s="1076"/>
      <c r="E237" s="1076"/>
      <c r="F237" s="1064">
        <v>0.05</v>
      </c>
    </row>
    <row r="238" spans="1:6" ht="24.75" thickBot="1">
      <c r="A238" s="836" t="s">
        <v>528</v>
      </c>
      <c r="B238" s="830" t="s">
        <v>955</v>
      </c>
      <c r="C238" s="1076"/>
      <c r="D238" s="1076"/>
      <c r="E238" s="1076"/>
      <c r="F238" s="1064">
        <v>0.05</v>
      </c>
    </row>
    <row r="239" spans="1:6" ht="24.75" thickBot="1">
      <c r="A239" s="836" t="s">
        <v>528</v>
      </c>
      <c r="B239" s="830" t="s">
        <v>956</v>
      </c>
      <c r="C239" s="1076"/>
      <c r="D239" s="1076"/>
      <c r="E239" s="1076"/>
      <c r="F239" s="1064">
        <v>0.05</v>
      </c>
    </row>
    <row r="240" spans="1:6" ht="24.75" thickBot="1">
      <c r="A240" s="836" t="s">
        <v>528</v>
      </c>
      <c r="B240" s="830" t="s">
        <v>957</v>
      </c>
      <c r="C240" s="1076"/>
      <c r="D240" s="1076"/>
      <c r="E240" s="1076"/>
      <c r="F240" s="1064">
        <v>0.05</v>
      </c>
    </row>
    <row r="241" spans="1:6" ht="24.75" thickBot="1">
      <c r="A241" s="836" t="s">
        <v>528</v>
      </c>
      <c r="B241" s="830" t="s">
        <v>958</v>
      </c>
      <c r="C241" s="1076"/>
      <c r="D241" s="1076"/>
      <c r="E241" s="1076"/>
      <c r="F241" s="1064">
        <v>0.05</v>
      </c>
    </row>
    <row r="242" spans="1:6" ht="24.75" thickBot="1">
      <c r="A242" s="836" t="s">
        <v>528</v>
      </c>
      <c r="B242" s="830" t="s">
        <v>959</v>
      </c>
      <c r="C242" s="1076"/>
      <c r="D242" s="1076"/>
      <c r="E242" s="1076"/>
      <c r="F242" s="1064">
        <v>0.05</v>
      </c>
    </row>
    <row r="243" spans="1:6" ht="24.75" thickBot="1">
      <c r="A243" s="836" t="s">
        <v>528</v>
      </c>
      <c r="B243" s="830" t="s">
        <v>960</v>
      </c>
      <c r="C243" s="1076"/>
      <c r="D243" s="1076"/>
      <c r="E243" s="1076"/>
      <c r="F243" s="1064">
        <v>0.05</v>
      </c>
    </row>
    <row r="244" spans="1:6" ht="24.75" thickBot="1">
      <c r="A244" s="846" t="s">
        <v>528</v>
      </c>
      <c r="B244" s="842" t="s">
        <v>961</v>
      </c>
      <c r="C244" s="1073"/>
      <c r="D244" s="1073"/>
      <c r="E244" s="1073"/>
      <c r="F244" s="1066">
        <v>0.05</v>
      </c>
    </row>
    <row r="245" spans="1:6" ht="14.25" thickBot="1">
      <c r="A245" s="836" t="s">
        <v>530</v>
      </c>
      <c r="B245" s="837" t="s">
        <v>962</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963</v>
      </c>
      <c r="C247" s="1063">
        <v>0.15</v>
      </c>
      <c r="D247" s="1063">
        <v>0.15</v>
      </c>
      <c r="E247" s="1063">
        <v>0.15</v>
      </c>
      <c r="F247" s="1064">
        <v>0.15</v>
      </c>
    </row>
    <row r="248" spans="1:6" ht="14.25" thickBot="1">
      <c r="A248" s="836" t="s">
        <v>530</v>
      </c>
      <c r="B248" s="830" t="s">
        <v>964</v>
      </c>
      <c r="C248" s="1063">
        <v>0.15</v>
      </c>
      <c r="D248" s="1063">
        <v>0.15</v>
      </c>
      <c r="E248" s="1063">
        <v>0.15</v>
      </c>
      <c r="F248" s="1064">
        <v>0.14000000000000001</v>
      </c>
    </row>
    <row r="249" spans="1:6" ht="14.25" thickBot="1">
      <c r="A249" s="836" t="s">
        <v>530</v>
      </c>
      <c r="B249" s="830" t="s">
        <v>965</v>
      </c>
      <c r="C249" s="1063">
        <v>0.15</v>
      </c>
      <c r="D249" s="1063">
        <v>0.14899999999999999</v>
      </c>
      <c r="E249" s="1063">
        <v>0.15</v>
      </c>
      <c r="F249" s="1064">
        <v>0.1</v>
      </c>
    </row>
    <row r="250" spans="1:6" ht="14.25" thickBot="1">
      <c r="A250" s="836" t="s">
        <v>530</v>
      </c>
      <c r="B250" s="830" t="s">
        <v>966</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967</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968</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969</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970</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971</v>
      </c>
      <c r="C273" s="1063">
        <v>0.14199999999999999</v>
      </c>
      <c r="D273" s="1063">
        <v>0.14299999999999999</v>
      </c>
      <c r="E273" s="1063">
        <v>0.15</v>
      </c>
      <c r="F273" s="1064">
        <v>0.1</v>
      </c>
    </row>
    <row r="274" spans="1:6" ht="14.25" thickBot="1">
      <c r="A274" s="836" t="s">
        <v>530</v>
      </c>
      <c r="B274" s="830" t="s">
        <v>972</v>
      </c>
      <c r="C274" s="1063">
        <v>0.14799999999999999</v>
      </c>
      <c r="D274" s="1063">
        <v>0.14799999999999999</v>
      </c>
      <c r="E274" s="1063">
        <v>0.15</v>
      </c>
      <c r="F274" s="1064">
        <v>6.7000000000000004E-2</v>
      </c>
    </row>
    <row r="275" spans="1:6" ht="14.25" thickBot="1">
      <c r="A275" s="836" t="s">
        <v>530</v>
      </c>
      <c r="B275" s="830" t="s">
        <v>973</v>
      </c>
      <c r="C275" s="1063">
        <v>0.15</v>
      </c>
      <c r="D275" s="1063">
        <v>0.15</v>
      </c>
      <c r="E275" s="1063">
        <v>0.15</v>
      </c>
      <c r="F275" s="1064">
        <v>0.15</v>
      </c>
    </row>
    <row r="276" spans="1:6" ht="14.25" thickBot="1">
      <c r="A276" s="836" t="s">
        <v>530</v>
      </c>
      <c r="B276" s="830" t="s">
        <v>974</v>
      </c>
      <c r="C276" s="1063">
        <v>0.14499999999999999</v>
      </c>
      <c r="D276" s="1063">
        <v>0.14299999999999999</v>
      </c>
      <c r="E276" s="1063">
        <v>0.15</v>
      </c>
      <c r="F276" s="1064">
        <v>5.8999999999999997E-2</v>
      </c>
    </row>
    <row r="277" spans="1:6" ht="14.25" thickBot="1">
      <c r="A277" s="836" t="s">
        <v>530</v>
      </c>
      <c r="B277" s="830" t="s">
        <v>975</v>
      </c>
      <c r="C277" s="1063">
        <v>0.15</v>
      </c>
      <c r="D277" s="1063">
        <v>0.15</v>
      </c>
      <c r="E277" s="1063">
        <v>0.15</v>
      </c>
      <c r="F277" s="1064">
        <v>0.121</v>
      </c>
    </row>
    <row r="278" spans="1:6" ht="14.25" thickBot="1">
      <c r="A278" s="836" t="s">
        <v>530</v>
      </c>
      <c r="B278" s="830" t="s">
        <v>976</v>
      </c>
      <c r="C278" s="1063">
        <v>0.15</v>
      </c>
      <c r="D278" s="1063">
        <v>0.15</v>
      </c>
      <c r="E278" s="1063">
        <v>0.15</v>
      </c>
      <c r="F278" s="1064">
        <v>0.13800000000000001</v>
      </c>
    </row>
    <row r="279" spans="1:6" ht="24.75" thickBot="1">
      <c r="A279" s="836" t="s">
        <v>530</v>
      </c>
      <c r="B279" s="830" t="s">
        <v>977</v>
      </c>
      <c r="C279" s="1076"/>
      <c r="D279" s="1076"/>
      <c r="E279" s="1076"/>
      <c r="F279" s="1064">
        <v>0.05</v>
      </c>
    </row>
    <row r="280" spans="1:6" ht="24.75" thickBot="1">
      <c r="A280" s="836" t="s">
        <v>530</v>
      </c>
      <c r="B280" s="830" t="s">
        <v>978</v>
      </c>
      <c r="C280" s="1076"/>
      <c r="D280" s="1076"/>
      <c r="E280" s="1076"/>
      <c r="F280" s="1064">
        <v>0.05</v>
      </c>
    </row>
    <row r="281" spans="1:6" ht="24.75" thickBot="1">
      <c r="A281" s="836" t="s">
        <v>530</v>
      </c>
      <c r="B281" s="830" t="s">
        <v>979</v>
      </c>
      <c r="C281" s="1076"/>
      <c r="D281" s="1076"/>
      <c r="E281" s="1076"/>
      <c r="F281" s="1064">
        <v>0.05</v>
      </c>
    </row>
    <row r="282" spans="1:6" ht="24.75" thickBot="1">
      <c r="A282" s="836" t="s">
        <v>530</v>
      </c>
      <c r="B282" s="830" t="s">
        <v>980</v>
      </c>
      <c r="C282" s="1076"/>
      <c r="D282" s="1076"/>
      <c r="E282" s="1076"/>
      <c r="F282" s="1064">
        <v>0.05</v>
      </c>
    </row>
    <row r="283" spans="1:6" ht="24.75" thickBot="1">
      <c r="A283" s="836" t="s">
        <v>530</v>
      </c>
      <c r="B283" s="830" t="s">
        <v>981</v>
      </c>
      <c r="C283" s="1076"/>
      <c r="D283" s="1076"/>
      <c r="E283" s="1076"/>
      <c r="F283" s="1064">
        <v>0.05</v>
      </c>
    </row>
    <row r="284" spans="1:6" ht="24.75" thickBot="1">
      <c r="A284" s="836" t="s">
        <v>530</v>
      </c>
      <c r="B284" s="830" t="s">
        <v>982</v>
      </c>
      <c r="C284" s="1076"/>
      <c r="D284" s="1076"/>
      <c r="E284" s="1076"/>
      <c r="F284" s="1064">
        <v>0.05</v>
      </c>
    </row>
    <row r="285" spans="1:6" ht="24.75" thickBot="1">
      <c r="A285" s="836" t="s">
        <v>530</v>
      </c>
      <c r="B285" s="830" t="s">
        <v>983</v>
      </c>
      <c r="C285" s="1076"/>
      <c r="D285" s="1076"/>
      <c r="E285" s="1076"/>
      <c r="F285" s="1064">
        <v>0.05</v>
      </c>
    </row>
    <row r="286" spans="1:6" ht="24.75" thickBot="1">
      <c r="A286" s="836" t="s">
        <v>530</v>
      </c>
      <c r="B286" s="830" t="s">
        <v>984</v>
      </c>
      <c r="C286" s="1076"/>
      <c r="D286" s="1076"/>
      <c r="E286" s="1076"/>
      <c r="F286" s="1064">
        <v>0.05</v>
      </c>
    </row>
    <row r="287" spans="1:6" ht="24.75" thickBot="1">
      <c r="A287" s="836" t="s">
        <v>530</v>
      </c>
      <c r="B287" s="830" t="s">
        <v>985</v>
      </c>
      <c r="C287" s="1076"/>
      <c r="D287" s="1076"/>
      <c r="E287" s="1076"/>
      <c r="F287" s="1064">
        <v>0.05</v>
      </c>
    </row>
    <row r="288" spans="1:6" ht="24.75" thickBot="1">
      <c r="A288" s="836" t="s">
        <v>530</v>
      </c>
      <c r="B288" s="830" t="s">
        <v>986</v>
      </c>
      <c r="C288" s="1076"/>
      <c r="D288" s="1076"/>
      <c r="E288" s="1076"/>
      <c r="F288" s="1064">
        <v>0.05</v>
      </c>
    </row>
    <row r="289" spans="1:6" ht="24.75" thickBot="1">
      <c r="A289" s="846" t="s">
        <v>530</v>
      </c>
      <c r="B289" s="842" t="s">
        <v>987</v>
      </c>
      <c r="C289" s="1073"/>
      <c r="D289" s="1073"/>
      <c r="E289" s="1073"/>
      <c r="F289" s="1066">
        <v>0.05</v>
      </c>
    </row>
    <row r="290" spans="1:6" ht="14.25" thickBot="1">
      <c r="A290" s="836" t="s">
        <v>534</v>
      </c>
      <c r="B290" s="837" t="s">
        <v>988</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989</v>
      </c>
      <c r="C292" s="1063">
        <v>0.15</v>
      </c>
      <c r="D292" s="1063">
        <v>0.15</v>
      </c>
      <c r="E292" s="1063">
        <v>0.15</v>
      </c>
      <c r="F292" s="1064">
        <v>0.14699999999999999</v>
      </c>
    </row>
    <row r="293" spans="1:6" ht="14.25" thickBot="1">
      <c r="A293" s="836" t="s">
        <v>534</v>
      </c>
      <c r="B293" s="830" t="s">
        <v>990</v>
      </c>
      <c r="C293" s="1076"/>
      <c r="D293" s="1076"/>
      <c r="E293" s="1076"/>
      <c r="F293" s="1064">
        <v>0.1</v>
      </c>
    </row>
    <row r="294" spans="1:6" ht="14.25" thickBot="1">
      <c r="A294" s="836" t="s">
        <v>534</v>
      </c>
      <c r="B294" s="830" t="s">
        <v>991</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992</v>
      </c>
      <c r="C296" s="1063">
        <v>0.15</v>
      </c>
      <c r="D296" s="1063">
        <v>0.15</v>
      </c>
      <c r="E296" s="1063">
        <v>0.15</v>
      </c>
      <c r="F296" s="1064">
        <v>0.15</v>
      </c>
    </row>
    <row r="297" spans="1:6" ht="14.25" thickBot="1">
      <c r="A297" s="836" t="s">
        <v>534</v>
      </c>
      <c r="B297" s="830" t="s">
        <v>993</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994</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995</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996</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997</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998</v>
      </c>
      <c r="C310" s="1063">
        <v>0.15</v>
      </c>
      <c r="D310" s="1063">
        <v>0.15</v>
      </c>
      <c r="E310" s="1063">
        <v>0.15</v>
      </c>
      <c r="F310" s="1064">
        <v>0.13700000000000001</v>
      </c>
    </row>
    <row r="311" spans="1:6" ht="14.25" thickBot="1">
      <c r="A311" s="836" t="s">
        <v>534</v>
      </c>
      <c r="B311" s="830" t="s">
        <v>999</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1000</v>
      </c>
      <c r="C313" s="1063">
        <v>0.15</v>
      </c>
      <c r="D313" s="1063">
        <v>0.15</v>
      </c>
      <c r="E313" s="1063">
        <v>0.15</v>
      </c>
      <c r="F313" s="1064">
        <v>0.15</v>
      </c>
    </row>
    <row r="314" spans="1:6" ht="24.75" thickBot="1">
      <c r="A314" s="836" t="s">
        <v>534</v>
      </c>
      <c r="B314" s="830" t="s">
        <v>1001</v>
      </c>
      <c r="C314" s="1076"/>
      <c r="D314" s="1076"/>
      <c r="E314" s="1076"/>
      <c r="F314" s="1064">
        <v>0.05</v>
      </c>
    </row>
    <row r="315" spans="1:6" ht="24.75" thickBot="1">
      <c r="A315" s="836" t="s">
        <v>534</v>
      </c>
      <c r="B315" s="830" t="s">
        <v>1002</v>
      </c>
      <c r="C315" s="1076"/>
      <c r="D315" s="1076"/>
      <c r="E315" s="1076"/>
      <c r="F315" s="1064">
        <v>0.05</v>
      </c>
    </row>
    <row r="316" spans="1:6" ht="24.75" thickBot="1">
      <c r="A316" s="846" t="s">
        <v>534</v>
      </c>
      <c r="B316" s="842" t="s">
        <v>1003</v>
      </c>
      <c r="C316" s="1073"/>
      <c r="D316" s="1073"/>
      <c r="E316" s="1073"/>
      <c r="F316" s="1066">
        <v>0.05</v>
      </c>
    </row>
    <row r="317" spans="1:6" ht="14.25" thickBot="1">
      <c r="A317" s="836" t="s">
        <v>1004</v>
      </c>
      <c r="B317" s="837" t="s">
        <v>1005</v>
      </c>
      <c r="C317" s="1061">
        <v>0.15</v>
      </c>
      <c r="D317" s="1061">
        <v>0.15</v>
      </c>
      <c r="E317" s="1061">
        <v>0.15</v>
      </c>
      <c r="F317" s="1062">
        <v>0.15</v>
      </c>
    </row>
    <row r="318" spans="1:6" ht="14.25" thickBot="1">
      <c r="A318" s="836" t="s">
        <v>1004</v>
      </c>
      <c r="B318" s="830" t="s">
        <v>1006</v>
      </c>
      <c r="C318" s="1063">
        <v>0.107</v>
      </c>
      <c r="D318" s="1063">
        <v>0.11</v>
      </c>
      <c r="E318" s="1063">
        <v>0.112</v>
      </c>
      <c r="F318" s="1075"/>
    </row>
    <row r="319" spans="1:6" ht="14.25" thickBot="1">
      <c r="A319" s="836" t="s">
        <v>1004</v>
      </c>
      <c r="B319" s="830" t="s">
        <v>1007</v>
      </c>
      <c r="C319" s="1063">
        <v>0.15</v>
      </c>
      <c r="D319" s="1063">
        <v>0.15</v>
      </c>
      <c r="E319" s="1063">
        <v>0.15</v>
      </c>
      <c r="F319" s="1064">
        <v>0.15</v>
      </c>
    </row>
    <row r="320" spans="1:6" ht="14.25" thickBot="1">
      <c r="A320" s="836" t="s">
        <v>1004</v>
      </c>
      <c r="B320" s="830" t="s">
        <v>223</v>
      </c>
      <c r="C320" s="1063">
        <v>0.15</v>
      </c>
      <c r="D320" s="1063">
        <v>0.15</v>
      </c>
      <c r="E320" s="1063">
        <v>0.15</v>
      </c>
      <c r="F320" s="1075"/>
    </row>
    <row r="321" spans="1:6" ht="14.25" thickBot="1">
      <c r="A321" s="836" t="s">
        <v>1004</v>
      </c>
      <c r="B321" s="830" t="s">
        <v>1008</v>
      </c>
      <c r="C321" s="1063">
        <v>0.15</v>
      </c>
      <c r="D321" s="1063">
        <v>0.15</v>
      </c>
      <c r="E321" s="1063">
        <v>0.15</v>
      </c>
      <c r="F321" s="1075"/>
    </row>
    <row r="322" spans="1:6" ht="14.25" thickBot="1">
      <c r="A322" s="836" t="s">
        <v>1004</v>
      </c>
      <c r="B322" s="830" t="s">
        <v>1009</v>
      </c>
      <c r="C322" s="1063">
        <v>0.15</v>
      </c>
      <c r="D322" s="1063">
        <v>0.15</v>
      </c>
      <c r="E322" s="1063">
        <v>0.15</v>
      </c>
      <c r="F322" s="1064">
        <v>0.15</v>
      </c>
    </row>
    <row r="323" spans="1:6" ht="14.25" thickBot="1">
      <c r="A323" s="836" t="s">
        <v>1004</v>
      </c>
      <c r="B323" s="830" t="s">
        <v>1010</v>
      </c>
      <c r="C323" s="1063">
        <v>0.15</v>
      </c>
      <c r="D323" s="1063">
        <v>0.15</v>
      </c>
      <c r="E323" s="1063">
        <v>0.15</v>
      </c>
      <c r="F323" s="1075"/>
    </row>
    <row r="324" spans="1:6" ht="14.25" thickBot="1">
      <c r="A324" s="836" t="s">
        <v>1004</v>
      </c>
      <c r="B324" s="830" t="s">
        <v>1011</v>
      </c>
      <c r="C324" s="1063">
        <v>0.15</v>
      </c>
      <c r="D324" s="1063">
        <v>0.15</v>
      </c>
      <c r="E324" s="1063">
        <v>0.15</v>
      </c>
      <c r="F324" s="1075"/>
    </row>
    <row r="325" spans="1:6" ht="14.25" thickBot="1">
      <c r="A325" s="836" t="s">
        <v>1004</v>
      </c>
      <c r="B325" s="830" t="s">
        <v>1012</v>
      </c>
      <c r="C325" s="1063">
        <v>0.15</v>
      </c>
      <c r="D325" s="1063">
        <v>0.15</v>
      </c>
      <c r="E325" s="1063">
        <v>0.15</v>
      </c>
      <c r="F325" s="1064">
        <v>0.14699999999999999</v>
      </c>
    </row>
    <row r="326" spans="1:6" ht="14.25" thickBot="1">
      <c r="A326" s="836" t="s">
        <v>1004</v>
      </c>
      <c r="B326" s="830" t="s">
        <v>290</v>
      </c>
      <c r="C326" s="1063">
        <v>0.15</v>
      </c>
      <c r="D326" s="1063">
        <v>0.15</v>
      </c>
      <c r="E326" s="1063">
        <v>0.15</v>
      </c>
      <c r="F326" s="1075"/>
    </row>
    <row r="327" spans="1:6" ht="14.25" thickBot="1">
      <c r="A327" s="836" t="s">
        <v>1004</v>
      </c>
      <c r="B327" s="830" t="s">
        <v>1013</v>
      </c>
      <c r="C327" s="1063">
        <v>0.15</v>
      </c>
      <c r="D327" s="1063">
        <v>0.15</v>
      </c>
      <c r="E327" s="1063">
        <v>0.15</v>
      </c>
      <c r="F327" s="1064">
        <v>0.15</v>
      </c>
    </row>
    <row r="328" spans="1:6" ht="14.25" thickBot="1">
      <c r="A328" s="836" t="s">
        <v>1004</v>
      </c>
      <c r="B328" s="830" t="s">
        <v>310</v>
      </c>
      <c r="C328" s="1063">
        <v>0.15</v>
      </c>
      <c r="D328" s="1063">
        <v>0.15</v>
      </c>
      <c r="E328" s="1063">
        <v>0.15</v>
      </c>
      <c r="F328" s="1064">
        <v>0.14099999999999999</v>
      </c>
    </row>
    <row r="329" spans="1:6" ht="14.25" thickBot="1">
      <c r="A329" s="836" t="s">
        <v>1004</v>
      </c>
      <c r="B329" s="830" t="s">
        <v>320</v>
      </c>
      <c r="C329" s="1063">
        <v>0.15</v>
      </c>
      <c r="D329" s="1063">
        <v>0.15</v>
      </c>
      <c r="E329" s="1063">
        <v>0.15</v>
      </c>
      <c r="F329" s="1064">
        <v>0.15</v>
      </c>
    </row>
    <row r="330" spans="1:6" ht="14.25" thickBot="1">
      <c r="A330" s="836" t="s">
        <v>1004</v>
      </c>
      <c r="B330" s="830" t="s">
        <v>331</v>
      </c>
      <c r="C330" s="1063">
        <v>0.15</v>
      </c>
      <c r="D330" s="1063">
        <v>0.15</v>
      </c>
      <c r="E330" s="1063">
        <v>0.15</v>
      </c>
      <c r="F330" s="1075"/>
    </row>
    <row r="331" spans="1:6" ht="14.25" thickBot="1">
      <c r="A331" s="836" t="s">
        <v>1004</v>
      </c>
      <c r="B331" s="830" t="s">
        <v>1014</v>
      </c>
      <c r="C331" s="1063">
        <v>0.15</v>
      </c>
      <c r="D331" s="1063">
        <v>0.15</v>
      </c>
      <c r="E331" s="1063">
        <v>0.15</v>
      </c>
      <c r="F331" s="1064">
        <v>0.15</v>
      </c>
    </row>
    <row r="332" spans="1:6" ht="14.25" thickBot="1">
      <c r="A332" s="836" t="s">
        <v>1004</v>
      </c>
      <c r="B332" s="830" t="s">
        <v>352</v>
      </c>
      <c r="C332" s="1063">
        <v>0.15</v>
      </c>
      <c r="D332" s="1063">
        <v>0.15</v>
      </c>
      <c r="E332" s="1063">
        <v>0.15</v>
      </c>
      <c r="F332" s="1064">
        <v>0.15</v>
      </c>
    </row>
    <row r="333" spans="1:6" ht="14.25" thickBot="1">
      <c r="A333" s="836" t="s">
        <v>1004</v>
      </c>
      <c r="B333" s="830" t="s">
        <v>1015</v>
      </c>
      <c r="C333" s="1063">
        <v>0.15</v>
      </c>
      <c r="D333" s="1063">
        <v>0.15</v>
      </c>
      <c r="E333" s="1063">
        <v>0.15</v>
      </c>
      <c r="F333" s="1064">
        <v>0.14099999999999999</v>
      </c>
    </row>
    <row r="334" spans="1:6" ht="14.25" thickBot="1">
      <c r="A334" s="836" t="s">
        <v>1004</v>
      </c>
      <c r="B334" s="830" t="s">
        <v>372</v>
      </c>
      <c r="C334" s="1063">
        <v>0.15</v>
      </c>
      <c r="D334" s="1063">
        <v>0.15</v>
      </c>
      <c r="E334" s="1063">
        <v>0.15</v>
      </c>
      <c r="F334" s="1064">
        <v>0.15</v>
      </c>
    </row>
    <row r="335" spans="1:6" ht="14.25" thickBot="1">
      <c r="A335" s="836" t="s">
        <v>1004</v>
      </c>
      <c r="B335" s="830" t="s">
        <v>382</v>
      </c>
      <c r="C335" s="1063">
        <v>0.15</v>
      </c>
      <c r="D335" s="1063">
        <v>0.15</v>
      </c>
      <c r="E335" s="1063">
        <v>0.15</v>
      </c>
      <c r="F335" s="1075"/>
    </row>
    <row r="336" spans="1:6" ht="14.25" thickBot="1">
      <c r="A336" s="836" t="s">
        <v>1004</v>
      </c>
      <c r="B336" s="830" t="s">
        <v>1016</v>
      </c>
      <c r="C336" s="1063">
        <v>0.15</v>
      </c>
      <c r="D336" s="1063">
        <v>0.15</v>
      </c>
      <c r="E336" s="1063">
        <v>0.15</v>
      </c>
      <c r="F336" s="1064">
        <v>0.11799999999999999</v>
      </c>
    </row>
    <row r="337" spans="1:6" ht="14.25" thickBot="1">
      <c r="A337" s="846" t="s">
        <v>1004</v>
      </c>
      <c r="B337" s="842" t="s">
        <v>400</v>
      </c>
      <c r="C337" s="1073"/>
      <c r="D337" s="1073"/>
      <c r="E337" s="1073"/>
      <c r="F337" s="1066">
        <v>0.14299999999999999</v>
      </c>
    </row>
    <row r="338" spans="1:6" ht="14.25" thickBot="1">
      <c r="A338" s="836" t="s">
        <v>1017</v>
      </c>
      <c r="B338" s="837" t="s">
        <v>1018</v>
      </c>
      <c r="C338" s="1061">
        <v>0.15</v>
      </c>
      <c r="D338" s="1061">
        <v>0.15</v>
      </c>
      <c r="E338" s="1061">
        <v>0.15</v>
      </c>
      <c r="F338" s="1078"/>
    </row>
    <row r="339" spans="1:6" ht="14.25" thickBot="1">
      <c r="A339" s="836" t="s">
        <v>1017</v>
      </c>
      <c r="B339" s="830" t="s">
        <v>1019</v>
      </c>
      <c r="C339" s="1063">
        <v>0.15</v>
      </c>
      <c r="D339" s="1063">
        <v>0.15</v>
      </c>
      <c r="E339" s="1063">
        <v>0.15</v>
      </c>
      <c r="F339" s="1075"/>
    </row>
    <row r="340" spans="1:6" ht="14.25" thickBot="1">
      <c r="A340" s="836" t="s">
        <v>1017</v>
      </c>
      <c r="B340" s="830" t="s">
        <v>1020</v>
      </c>
      <c r="C340" s="1063">
        <v>0.15</v>
      </c>
      <c r="D340" s="1063">
        <v>0.15</v>
      </c>
      <c r="E340" s="1063">
        <v>0.15</v>
      </c>
      <c r="F340" s="1075"/>
    </row>
    <row r="341" spans="1:6" ht="14.25" thickBot="1">
      <c r="A341" s="836" t="s">
        <v>1017</v>
      </c>
      <c r="B341" s="830" t="s">
        <v>1021</v>
      </c>
      <c r="C341" s="1063">
        <v>0.15</v>
      </c>
      <c r="D341" s="1063">
        <v>0.15</v>
      </c>
      <c r="E341" s="1063">
        <v>0.15</v>
      </c>
      <c r="F341" s="1064">
        <v>0.15</v>
      </c>
    </row>
    <row r="342" spans="1:6" ht="14.25" thickBot="1">
      <c r="A342" s="836" t="s">
        <v>1017</v>
      </c>
      <c r="B342" s="830" t="s">
        <v>1022</v>
      </c>
      <c r="C342" s="1063">
        <v>0.15</v>
      </c>
      <c r="D342" s="1063">
        <v>0.15</v>
      </c>
      <c r="E342" s="1063">
        <v>0.15</v>
      </c>
      <c r="F342" s="1064">
        <v>0.15</v>
      </c>
    </row>
    <row r="343" spans="1:6" ht="14.25" thickBot="1">
      <c r="A343" s="836" t="s">
        <v>1017</v>
      </c>
      <c r="B343" s="830" t="s">
        <v>1023</v>
      </c>
      <c r="C343" s="1063">
        <v>0.15</v>
      </c>
      <c r="D343" s="1063">
        <v>0.15</v>
      </c>
      <c r="E343" s="1063">
        <v>0.15</v>
      </c>
      <c r="F343" s="1064">
        <v>0.15</v>
      </c>
    </row>
    <row r="344" spans="1:6" ht="14.25" thickBot="1">
      <c r="A344" s="846" t="s">
        <v>1017</v>
      </c>
      <c r="B344" s="842"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1292</v>
      </c>
      <c r="C1" s="1692">
        <f>项目基本情况!D3</f>
        <v>43452</v>
      </c>
      <c r="D1" s="1698" t="s">
        <v>1293</v>
      </c>
      <c r="E1" s="1693">
        <f>'数据-取费表'!B22</f>
        <v>2</v>
      </c>
      <c r="F1" s="1698" t="s">
        <v>1294</v>
      </c>
      <c r="G1" s="1694">
        <f ca="1">INDIRECT("d"&amp;$K$1)/100</f>
        <v>4.7500000000000001E-2</v>
      </c>
      <c r="H1" s="1698" t="s">
        <v>1324</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1295</v>
      </c>
      <c r="E2" s="1634"/>
      <c r="F2" s="1634" t="s">
        <v>1296</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1297</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1298</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1299</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1300</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1301</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1302</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1303</v>
      </c>
      <c r="C10" s="1662"/>
      <c r="D10" s="1662"/>
      <c r="E10" s="1662"/>
      <c r="F10" s="1662"/>
      <c r="G10" s="1662"/>
      <c r="H10" s="1662"/>
      <c r="I10" s="1636"/>
      <c r="J10" s="1636"/>
      <c r="K10" s="1662"/>
      <c r="L10" s="1663" t="s">
        <v>1304</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1305</v>
      </c>
      <c r="C11" s="1667" t="s">
        <v>1306</v>
      </c>
      <c r="D11" s="1668" t="s">
        <v>1307</v>
      </c>
      <c r="E11" s="1669"/>
      <c r="F11" s="1668" t="s">
        <v>1308</v>
      </c>
      <c r="G11" s="1670"/>
      <c r="H11" s="1669"/>
      <c r="I11" s="1668" t="s">
        <v>1309</v>
      </c>
      <c r="J11" s="1669"/>
      <c r="K11" s="1665"/>
      <c r="L11" s="1666" t="s">
        <v>1305</v>
      </c>
      <c r="M11" s="1667" t="s">
        <v>1306</v>
      </c>
      <c r="N11" s="1666" t="s">
        <v>1310</v>
      </c>
      <c r="O11" s="1668" t="s">
        <v>1311</v>
      </c>
      <c r="P11" s="1670"/>
      <c r="Q11" s="1670"/>
      <c r="R11" s="1670"/>
      <c r="S11" s="1670"/>
      <c r="T11" s="1669"/>
      <c r="U11" s="1668" t="s">
        <v>1312</v>
      </c>
      <c r="V11" s="1670"/>
      <c r="W11" s="1669"/>
      <c r="X11" s="1666" t="s">
        <v>1313</v>
      </c>
      <c r="Y11" s="1666" t="s">
        <v>1314</v>
      </c>
      <c r="Z11" s="1666" t="s">
        <v>1315</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1316</v>
      </c>
      <c r="E12" s="1675" t="s">
        <v>1317</v>
      </c>
      <c r="F12" s="1675" t="s">
        <v>1318</v>
      </c>
      <c r="G12" s="1675" t="s">
        <v>1319</v>
      </c>
      <c r="H12" s="1675" t="s">
        <v>1301</v>
      </c>
      <c r="I12" s="1676" t="s">
        <v>1320</v>
      </c>
      <c r="J12" s="1676" t="s">
        <v>1320</v>
      </c>
      <c r="K12" s="1672"/>
      <c r="L12" s="1673"/>
      <c r="M12" s="1674"/>
      <c r="N12" s="1673"/>
      <c r="O12" s="1676" t="s">
        <v>1321</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1322</v>
      </c>
      <c r="C13" s="1680">
        <v>42301</v>
      </c>
      <c r="D13" s="1681">
        <v>4.3499999999999996</v>
      </c>
      <c r="E13" s="1681">
        <v>4.3499999999999996</v>
      </c>
      <c r="F13" s="1681">
        <v>4.75</v>
      </c>
      <c r="G13" s="1681">
        <v>4.75</v>
      </c>
      <c r="H13" s="1681">
        <v>4.9000000000000004</v>
      </c>
      <c r="I13" s="1681">
        <v>2.75</v>
      </c>
      <c r="J13" s="1681">
        <v>3.25</v>
      </c>
      <c r="K13" s="1678"/>
      <c r="L13" s="1679" t="s">
        <v>1322</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1323</v>
      </c>
      <c r="Y42" s="1685" t="s">
        <v>1323</v>
      </c>
      <c r="Z42" s="1685" t="s">
        <v>1323</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1323</v>
      </c>
      <c r="Y43" s="1685" t="s">
        <v>1323</v>
      </c>
      <c r="Z43" s="1685" t="s">
        <v>1323</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1323</v>
      </c>
      <c r="Y44" s="1685" t="s">
        <v>1323</v>
      </c>
      <c r="Z44" s="1685" t="s">
        <v>1323</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1323</v>
      </c>
      <c r="Y45" s="1685" t="s">
        <v>1323</v>
      </c>
      <c r="Z45" s="1685" t="s">
        <v>1323</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1323</v>
      </c>
      <c r="Y46" s="1685" t="s">
        <v>1323</v>
      </c>
      <c r="Z46" s="1685" t="s">
        <v>1323</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1323</v>
      </c>
      <c r="Y47" s="1685" t="s">
        <v>1323</v>
      </c>
      <c r="Z47" s="1685" t="s">
        <v>1323</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1323</v>
      </c>
      <c r="Y48" s="1685" t="s">
        <v>1323</v>
      </c>
      <c r="Z48" s="1685" t="s">
        <v>1323</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1323</v>
      </c>
      <c r="Y49" s="1685" t="s">
        <v>1323</v>
      </c>
      <c r="Z49" s="1685" t="s">
        <v>1323</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1323</v>
      </c>
      <c r="Y50" s="1685" t="s">
        <v>1323</v>
      </c>
      <c r="Z50" s="1685" t="s">
        <v>1323</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1323</v>
      </c>
      <c r="V51" s="1685" t="s">
        <v>1323</v>
      </c>
      <c r="W51" s="1685" t="s">
        <v>1323</v>
      </c>
      <c r="X51" s="1685" t="s">
        <v>1323</v>
      </c>
      <c r="Y51" s="1685" t="s">
        <v>1323</v>
      </c>
      <c r="Z51" s="1685" t="s">
        <v>1323</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1323</v>
      </c>
      <c r="J55" s="1685" t="s">
        <v>1323</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1364</v>
      </c>
      <c r="E1" s="1774" t="s">
        <v>1368</v>
      </c>
      <c r="F1" s="1775" t="s">
        <v>1372</v>
      </c>
    </row>
    <row r="2" spans="1:13" ht="20.25">
      <c r="A2" s="1781" t="s">
        <v>1365</v>
      </c>
    </row>
    <row r="3" spans="1:13" ht="16.5">
      <c r="A3" s="1782" t="s">
        <v>1366</v>
      </c>
    </row>
    <row r="4" spans="1:13" ht="14.25">
      <c r="A4" s="1772" t="s">
        <v>1367</v>
      </c>
      <c r="B4" s="1777" t="s">
        <v>1369</v>
      </c>
      <c r="C4" s="1778"/>
      <c r="D4" s="1779"/>
      <c r="E4" s="1777" t="s">
        <v>27</v>
      </c>
      <c r="F4" s="1778"/>
      <c r="G4" s="1779"/>
      <c r="H4" s="1777" t="s">
        <v>1370</v>
      </c>
      <c r="I4" s="1778"/>
      <c r="J4" s="1779"/>
      <c r="K4" s="1777" t="s">
        <v>6</v>
      </c>
      <c r="L4" s="1778"/>
      <c r="M4" s="1779"/>
    </row>
    <row r="5" spans="1:13" ht="14.25">
      <c r="A5" s="1773" t="s">
        <v>1371</v>
      </c>
      <c r="B5" s="1772" t="s">
        <v>1373</v>
      </c>
      <c r="C5" s="1772" t="s">
        <v>1374</v>
      </c>
      <c r="D5" s="1772" t="s">
        <v>1375</v>
      </c>
      <c r="E5" s="1772" t="s">
        <v>1373</v>
      </c>
      <c r="F5" s="1772" t="s">
        <v>1374</v>
      </c>
      <c r="G5" s="1772" t="s">
        <v>1375</v>
      </c>
      <c r="H5" s="1772" t="s">
        <v>1373</v>
      </c>
      <c r="I5" s="1772" t="s">
        <v>1374</v>
      </c>
      <c r="J5" s="1772" t="s">
        <v>1375</v>
      </c>
      <c r="K5" s="1772" t="s">
        <v>1373</v>
      </c>
      <c r="L5" s="1772" t="s">
        <v>1374</v>
      </c>
      <c r="M5" s="1772" t="s">
        <v>1375</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813</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814</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1" zoomScale="90" zoomScaleNormal="90" workbookViewId="0">
      <selection activeCell="K24" sqref="K24"/>
    </sheetView>
  </sheetViews>
  <sheetFormatPr defaultRowHeight="14.25"/>
  <cols>
    <col min="1" max="1" width="10.5" style="402" customWidth="1"/>
    <col min="2" max="2" width="15.75" style="402" customWidth="1"/>
    <col min="3" max="3" width="14.8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2476</v>
      </c>
      <c r="B1" s="2577" t="s">
        <v>2477</v>
      </c>
      <c r="C1" s="1632" t="s">
        <v>2478</v>
      </c>
      <c r="D1" s="1619" t="s">
        <v>3076</v>
      </c>
      <c r="E1" s="2578"/>
      <c r="F1" s="2579" t="s">
        <v>2479</v>
      </c>
      <c r="G1" s="1629" t="s">
        <v>2480</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2" customFormat="1" ht="28.5" customHeight="1" thickTop="1">
      <c r="A2" s="2994" t="s">
        <v>1386</v>
      </c>
      <c r="B2" s="1417">
        <f>IF(C2="——",ROUND(C49*D3/10000,0),ROUND(C49*D3/10000,0)-D2)</f>
        <v>26630</v>
      </c>
      <c r="C2" s="2995" t="s">
        <v>70</v>
      </c>
      <c r="D2" s="1364" t="e">
        <f ca="1">SUMIF(INDIRECT("'"&amp;F2&amp;"'"&amp;"!A:A"),"承租人权益价值",INDIRECT("'"&amp;F2&amp;"'"&amp;"!c:c"))</f>
        <v>#REF!</v>
      </c>
      <c r="E2" s="2996" t="s">
        <v>2481</v>
      </c>
      <c r="F2" s="2997"/>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2" customFormat="1" ht="28.5" customHeight="1" thickBot="1">
      <c r="A3" s="2993" t="s">
        <v>1387</v>
      </c>
      <c r="B3" s="398">
        <f>IF(C2="——",C49,ROUND(B2*10000/D3,0))</f>
        <v>20114</v>
      </c>
      <c r="C3" s="399" t="s">
        <v>2482</v>
      </c>
      <c r="D3" s="398">
        <f>IF(D1="",'数据-汇总表'!E3,SUMIF('数据-汇总表'!$C19:$C33,D1,'数据-汇总表'!$E19:$E33))</f>
        <v>13239.509999999998</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5">
      <c r="A4" s="400" t="s">
        <v>2483</v>
      </c>
      <c r="B4" s="401"/>
      <c r="C4" s="3222" t="s">
        <v>2484</v>
      </c>
      <c r="D4" s="3223"/>
      <c r="E4" s="3224" t="s">
        <v>2485</v>
      </c>
      <c r="F4" s="3225"/>
      <c r="G4" s="3222" t="s">
        <v>2486</v>
      </c>
      <c r="H4" s="3223"/>
      <c r="I4" s="3222" t="s">
        <v>2487</v>
      </c>
      <c r="J4" s="3223"/>
      <c r="K4" s="2591" t="s">
        <v>2488</v>
      </c>
      <c r="L4" s="1129"/>
      <c r="M4" s="1130"/>
      <c r="N4" s="1130"/>
      <c r="O4" s="1130"/>
      <c r="P4" s="3226" t="s">
        <v>2489</v>
      </c>
      <c r="Q4" s="3227"/>
      <c r="R4" s="3208" t="s">
        <v>2485</v>
      </c>
      <c r="S4" s="3209"/>
      <c r="T4" s="3208" t="s">
        <v>2486</v>
      </c>
      <c r="U4" s="3209"/>
      <c r="V4" s="3234" t="s">
        <v>2487</v>
      </c>
      <c r="W4" s="3234"/>
      <c r="X4" s="2942"/>
      <c r="Y4" s="3208" t="s">
        <v>2489</v>
      </c>
      <c r="Z4" s="3209"/>
      <c r="AA4" s="3203" t="s">
        <v>2485</v>
      </c>
      <c r="AB4" s="3203" t="s">
        <v>2486</v>
      </c>
      <c r="AC4" s="3203" t="s">
        <v>2487</v>
      </c>
    </row>
    <row r="5" spans="1:29" ht="15">
      <c r="A5" s="403"/>
      <c r="B5" s="404"/>
      <c r="C5" s="3214" t="s">
        <v>3340</v>
      </c>
      <c r="D5" s="3215"/>
      <c r="E5" s="3258" t="s">
        <v>3344</v>
      </c>
      <c r="F5" s="3213"/>
      <c r="G5" s="3214" t="s">
        <v>3345</v>
      </c>
      <c r="H5" s="3215"/>
      <c r="I5" s="3214" t="s">
        <v>3351</v>
      </c>
      <c r="J5" s="3215"/>
      <c r="K5" s="2592"/>
      <c r="L5" s="1129"/>
      <c r="M5" s="1130"/>
      <c r="N5" s="1130"/>
      <c r="O5" s="1130"/>
      <c r="P5" s="3228"/>
      <c r="Q5" s="3229"/>
      <c r="R5" s="3210"/>
      <c r="S5" s="3211"/>
      <c r="T5" s="3210"/>
      <c r="U5" s="3211"/>
      <c r="V5" s="3234"/>
      <c r="W5" s="3234"/>
      <c r="X5" s="2942"/>
      <c r="Y5" s="3210"/>
      <c r="Z5" s="3211"/>
      <c r="AA5" s="3204"/>
      <c r="AB5" s="3204"/>
      <c r="AC5" s="3204"/>
    </row>
    <row r="6" spans="1:29" ht="15.75" thickBot="1">
      <c r="A6" s="405"/>
      <c r="B6" s="406"/>
      <c r="C6" s="3216" t="s">
        <v>2494</v>
      </c>
      <c r="D6" s="3217"/>
      <c r="E6" s="3219" t="s">
        <v>2494</v>
      </c>
      <c r="F6" s="3220"/>
      <c r="G6" s="3216" t="s">
        <v>2494</v>
      </c>
      <c r="H6" s="3217"/>
      <c r="I6" s="3216" t="s">
        <v>2494</v>
      </c>
      <c r="J6" s="3217"/>
      <c r="K6" s="2592" t="s">
        <v>2495</v>
      </c>
      <c r="L6" s="1129"/>
      <c r="M6" s="1130"/>
      <c r="N6" s="1130"/>
      <c r="O6" s="1130"/>
      <c r="P6" s="3230"/>
      <c r="Q6" s="3231"/>
      <c r="R6" s="3210"/>
      <c r="S6" s="3211"/>
      <c r="T6" s="3232"/>
      <c r="U6" s="3233"/>
      <c r="V6" s="3234"/>
      <c r="W6" s="3234"/>
      <c r="X6" s="2942"/>
      <c r="Y6" s="3232"/>
      <c r="Z6" s="3233"/>
      <c r="AA6" s="3205"/>
      <c r="AB6" s="3205"/>
      <c r="AC6" s="3205"/>
    </row>
    <row r="7" spans="1:29" s="117" customFormat="1" ht="15.75" thickBot="1">
      <c r="A7" s="407" t="s">
        <v>2496</v>
      </c>
      <c r="B7" s="408"/>
      <c r="C7" s="409">
        <f>'数据-取费表'!B2</f>
        <v>43452</v>
      </c>
      <c r="D7" s="410">
        <v>100</v>
      </c>
      <c r="E7" s="411">
        <f>C7</f>
        <v>43452</v>
      </c>
      <c r="F7" s="412">
        <f>SUMIF(58:58,YEAR(E7)&amp;"-"&amp;MONTH(E7),59:59)</f>
        <v>100</v>
      </c>
      <c r="G7" s="411">
        <f>C7</f>
        <v>43452</v>
      </c>
      <c r="H7" s="410">
        <f>SUMIF(58:58,YEAR(G7)&amp;"-"&amp;MONTH(G7),59:59)</f>
        <v>100</v>
      </c>
      <c r="I7" s="411">
        <f>C7</f>
        <v>43452</v>
      </c>
      <c r="J7" s="410">
        <f>SUMIF(58:58,YEAR(I7)&amp;"-"&amp;MONTH(I7),59:59)</f>
        <v>100</v>
      </c>
      <c r="K7" s="2593"/>
      <c r="L7" s="1131"/>
      <c r="M7" s="1132"/>
      <c r="N7" s="1132"/>
      <c r="O7" s="1132"/>
      <c r="P7" s="3206" t="s">
        <v>2497</v>
      </c>
      <c r="Q7" s="3235"/>
      <c r="R7" s="769" t="s">
        <v>23</v>
      </c>
      <c r="S7" s="770">
        <f t="shared" ref="S7:S15" si="0">F7</f>
        <v>100</v>
      </c>
      <c r="T7" s="769" t="s">
        <v>23</v>
      </c>
      <c r="U7" s="770">
        <f t="shared" ref="U7:U15" si="1">H7</f>
        <v>100</v>
      </c>
      <c r="V7" s="769" t="s">
        <v>23</v>
      </c>
      <c r="W7" s="770">
        <f t="shared" ref="W7:W15" si="2">J7</f>
        <v>100</v>
      </c>
      <c r="X7" s="771"/>
      <c r="Y7" s="3206" t="s">
        <v>2497</v>
      </c>
      <c r="Z7" s="3207"/>
      <c r="AA7" s="772">
        <f>D7/F7</f>
        <v>1</v>
      </c>
      <c r="AB7" s="772">
        <f>D7/H7</f>
        <v>1</v>
      </c>
      <c r="AC7" s="772">
        <f>D7/J7</f>
        <v>1</v>
      </c>
    </row>
    <row r="8" spans="1:29" s="117" customFormat="1" ht="15.75" thickBot="1">
      <c r="A8" s="407" t="s">
        <v>2498</v>
      </c>
      <c r="B8" s="408"/>
      <c r="C8" s="413" t="s">
        <v>2499</v>
      </c>
      <c r="D8" s="410">
        <v>100</v>
      </c>
      <c r="E8" s="2594" t="s">
        <v>3309</v>
      </c>
      <c r="F8" s="412">
        <f>SUMIF(61:61,E8,62:62)-SUMIF(61:61,C8,62:62)+100</f>
        <v>100</v>
      </c>
      <c r="G8" s="413" t="s">
        <v>3309</v>
      </c>
      <c r="H8" s="410">
        <f>SUMIF(61:61,G8,62:62)-SUMIF(61:61,C8,62:62)+100</f>
        <v>100</v>
      </c>
      <c r="I8" s="413" t="s">
        <v>3309</v>
      </c>
      <c r="J8" s="410">
        <f>SUMIF(61:61,I8,62:62)-SUMIF(61:61,C8,62:62)+100</f>
        <v>100</v>
      </c>
      <c r="K8" s="2593"/>
      <c r="L8" s="1131"/>
      <c r="M8" s="1132"/>
      <c r="N8" s="1132"/>
      <c r="O8" s="1132"/>
      <c r="P8" s="3206" t="s">
        <v>2500</v>
      </c>
      <c r="Q8" s="3207"/>
      <c r="R8" s="769" t="s">
        <v>23</v>
      </c>
      <c r="S8" s="770">
        <f t="shared" si="0"/>
        <v>100</v>
      </c>
      <c r="T8" s="769" t="s">
        <v>23</v>
      </c>
      <c r="U8" s="770">
        <f t="shared" si="1"/>
        <v>100</v>
      </c>
      <c r="V8" s="769" t="s">
        <v>23</v>
      </c>
      <c r="W8" s="770">
        <f t="shared" si="2"/>
        <v>100</v>
      </c>
      <c r="X8" s="771"/>
      <c r="Y8" s="3206" t="s">
        <v>2500</v>
      </c>
      <c r="Z8" s="3207"/>
      <c r="AA8" s="772">
        <f t="shared" ref="AA8:AA19" si="3">D8/F8</f>
        <v>1</v>
      </c>
      <c r="AB8" s="772">
        <f t="shared" ref="AB8:AB19" si="4">D8/H8</f>
        <v>1</v>
      </c>
      <c r="AC8" s="772">
        <f t="shared" ref="AC8:AC19" si="5">D8/J8</f>
        <v>1</v>
      </c>
    </row>
    <row r="9" spans="1:29" s="117" customFormat="1">
      <c r="A9" s="414" t="s">
        <v>2501</v>
      </c>
      <c r="B9" s="71" t="s">
        <v>2502</v>
      </c>
      <c r="C9" s="3004" t="s">
        <v>3325</v>
      </c>
      <c r="D9" s="134">
        <v>100</v>
      </c>
      <c r="E9" s="416" t="s">
        <v>3003</v>
      </c>
      <c r="F9" s="417">
        <f>SUMIF(63:63,E9,64:64)-SUMIF(63:63,C9,64:64)+100</f>
        <v>100</v>
      </c>
      <c r="G9" s="418" t="s">
        <v>3003</v>
      </c>
      <c r="H9" s="134">
        <f>SUMIF(63:63,G9,64:64)-SUMIF(63:63,C9,64:64)+100</f>
        <v>100</v>
      </c>
      <c r="I9" s="418" t="s">
        <v>3003</v>
      </c>
      <c r="J9" s="134">
        <f>SUMIF(63:63,I9,64:64)-SUMIF(63:63,C9,64:64)+100</f>
        <v>100</v>
      </c>
      <c r="K9" s="2593"/>
      <c r="L9" s="1131"/>
      <c r="M9" s="1132"/>
      <c r="N9" s="1132"/>
      <c r="O9" s="1132"/>
      <c r="P9" s="3245" t="s">
        <v>2503</v>
      </c>
      <c r="Q9" s="2938" t="str">
        <f t="shared" ref="Q9:Q15" si="6">B9</f>
        <v>用途</v>
      </c>
      <c r="R9" s="769" t="s">
        <v>17</v>
      </c>
      <c r="S9" s="770">
        <f t="shared" si="0"/>
        <v>100</v>
      </c>
      <c r="T9" s="769" t="s">
        <v>17</v>
      </c>
      <c r="U9" s="770">
        <f t="shared" si="1"/>
        <v>100</v>
      </c>
      <c r="V9" s="769" t="s">
        <v>17</v>
      </c>
      <c r="W9" s="770">
        <f t="shared" si="2"/>
        <v>100</v>
      </c>
      <c r="X9" s="771"/>
      <c r="Y9" s="3083" t="s">
        <v>2504</v>
      </c>
      <c r="Z9" s="2939" t="str">
        <f t="shared" ref="Z9:Z15" si="7">Q9</f>
        <v>用途</v>
      </c>
      <c r="AA9" s="772">
        <f t="shared" si="3"/>
        <v>1</v>
      </c>
      <c r="AB9" s="772">
        <f t="shared" si="4"/>
        <v>1</v>
      </c>
      <c r="AC9" s="772">
        <f t="shared" si="5"/>
        <v>1</v>
      </c>
    </row>
    <row r="10" spans="1:29" s="426" customFormat="1" ht="27">
      <c r="A10" s="420"/>
      <c r="B10" s="2941" t="s">
        <v>2505</v>
      </c>
      <c r="C10" s="422" t="s">
        <v>3339</v>
      </c>
      <c r="D10" s="135">
        <v>100</v>
      </c>
      <c r="E10" s="423" t="s">
        <v>3339</v>
      </c>
      <c r="F10" s="424">
        <f>SUMIF(65:65,E10,66:66)-SUMIF(65:65,C10,66:66)+100</f>
        <v>100</v>
      </c>
      <c r="G10" s="422" t="s">
        <v>3339</v>
      </c>
      <c r="H10" s="135">
        <f>SUMIF(65:65,G10,66:66)-SUMIF(65:65,C10,66:66)+100</f>
        <v>100</v>
      </c>
      <c r="I10" s="422" t="s">
        <v>3339</v>
      </c>
      <c r="J10" s="135">
        <f>SUMIF(65:65,I10,66:66)-SUMIF(65:65,C10,66:66)+100</f>
        <v>100</v>
      </c>
      <c r="K10" s="425">
        <v>1</v>
      </c>
      <c r="L10" s="1134"/>
      <c r="M10" s="1135"/>
      <c r="N10" s="1135"/>
      <c r="O10" s="1135"/>
      <c r="P10" s="3245"/>
      <c r="Q10" s="2938" t="str">
        <f t="shared" si="6"/>
        <v>土地使用年限（年）</v>
      </c>
      <c r="R10" s="769" t="s">
        <v>17</v>
      </c>
      <c r="S10" s="770">
        <f t="shared" si="0"/>
        <v>100</v>
      </c>
      <c r="T10" s="769" t="s">
        <v>17</v>
      </c>
      <c r="U10" s="770">
        <f t="shared" si="1"/>
        <v>100</v>
      </c>
      <c r="V10" s="769" t="s">
        <v>17</v>
      </c>
      <c r="W10" s="770">
        <f t="shared" si="2"/>
        <v>100</v>
      </c>
      <c r="X10" s="771"/>
      <c r="Y10" s="3083"/>
      <c r="Z10" s="2939" t="str">
        <f t="shared" si="7"/>
        <v>土地使用年限（年）</v>
      </c>
      <c r="AA10" s="772">
        <f t="shared" si="3"/>
        <v>1</v>
      </c>
      <c r="AB10" s="772">
        <f t="shared" si="4"/>
        <v>1</v>
      </c>
      <c r="AC10" s="772">
        <f t="shared" si="5"/>
        <v>1</v>
      </c>
    </row>
    <row r="11" spans="1:29" ht="15">
      <c r="A11" s="427"/>
      <c r="B11" s="2941" t="s">
        <v>2506</v>
      </c>
      <c r="C11" s="428">
        <f>'比较法-高层含地下'!C11</f>
        <v>1.52</v>
      </c>
      <c r="D11" s="135">
        <v>100</v>
      </c>
      <c r="E11" s="429">
        <v>1.83</v>
      </c>
      <c r="F11" s="424">
        <f>LOOKUP(E11,68:68,69:69)-LOOKUP(C11,68:68,69:69)+100</f>
        <v>100</v>
      </c>
      <c r="G11" s="428">
        <v>2</v>
      </c>
      <c r="H11" s="135">
        <f>LOOKUP(G11,68:68,69:69)-LOOKUP(C11,68:68,69:69)+100</f>
        <v>97</v>
      </c>
      <c r="I11" s="428">
        <v>2.5</v>
      </c>
      <c r="J11" s="135">
        <f>LOOKUP(I11,68:68,69:69)-LOOKUP(C11,68:68,69:69)+100</f>
        <v>94</v>
      </c>
      <c r="K11" s="425">
        <v>3</v>
      </c>
      <c r="L11" s="1137"/>
      <c r="M11" s="1130"/>
      <c r="N11" s="1130"/>
      <c r="O11" s="1130"/>
      <c r="P11" s="3245"/>
      <c r="Q11" s="2938" t="str">
        <f t="shared" si="6"/>
        <v>容积率</v>
      </c>
      <c r="R11" s="769" t="s">
        <v>21</v>
      </c>
      <c r="S11" s="770">
        <f t="shared" si="0"/>
        <v>100</v>
      </c>
      <c r="T11" s="769" t="s">
        <v>21</v>
      </c>
      <c r="U11" s="770">
        <f t="shared" si="1"/>
        <v>97</v>
      </c>
      <c r="V11" s="769" t="s">
        <v>21</v>
      </c>
      <c r="W11" s="770">
        <f t="shared" si="2"/>
        <v>94</v>
      </c>
      <c r="X11" s="771"/>
      <c r="Y11" s="3083"/>
      <c r="Z11" s="2939" t="str">
        <f t="shared" si="7"/>
        <v>容积率</v>
      </c>
      <c r="AA11" s="772">
        <f t="shared" si="3"/>
        <v>1</v>
      </c>
      <c r="AB11" s="772">
        <f t="shared" si="4"/>
        <v>1.0309278350515463</v>
      </c>
      <c r="AC11" s="772">
        <f t="shared" si="5"/>
        <v>1.0638297872340425</v>
      </c>
    </row>
    <row r="12" spans="1:29" s="117" customFormat="1" ht="15">
      <c r="A12" s="430"/>
      <c r="B12" s="2595"/>
      <c r="C12" s="431"/>
      <c r="D12" s="432">
        <v>100</v>
      </c>
      <c r="E12" s="431"/>
      <c r="F12" s="424">
        <f>SUMIF(70:70,E12,71:71)-SUMIF(70:70,C12,71:71)+100</f>
        <v>100</v>
      </c>
      <c r="G12" s="431"/>
      <c r="H12" s="135">
        <f>SUMIF(70:70,G12,71:71)-SUMIF(70:70,C12,71:71)+100</f>
        <v>100</v>
      </c>
      <c r="I12" s="431"/>
      <c r="J12" s="135">
        <f>SUMIF(70:70,I12,71:71)-SUMIF(70:70,C12,71:71)+100</f>
        <v>100</v>
      </c>
      <c r="K12" s="2596"/>
      <c r="L12" s="1131"/>
      <c r="M12" s="1132"/>
      <c r="N12" s="1132"/>
      <c r="O12" s="1132"/>
      <c r="P12" s="3245"/>
      <c r="Q12" s="2938">
        <f t="shared" si="6"/>
        <v>0</v>
      </c>
      <c r="R12" s="769" t="s">
        <v>21</v>
      </c>
      <c r="S12" s="770">
        <f t="shared" si="0"/>
        <v>100</v>
      </c>
      <c r="T12" s="769" t="s">
        <v>21</v>
      </c>
      <c r="U12" s="770">
        <f t="shared" si="1"/>
        <v>100</v>
      </c>
      <c r="V12" s="769" t="s">
        <v>21</v>
      </c>
      <c r="W12" s="770">
        <f t="shared" si="2"/>
        <v>100</v>
      </c>
      <c r="X12" s="771"/>
      <c r="Y12" s="3083"/>
      <c r="Z12" s="2939">
        <f t="shared" si="7"/>
        <v>0</v>
      </c>
      <c r="AA12" s="772">
        <f>D12/F12</f>
        <v>1</v>
      </c>
      <c r="AB12" s="772">
        <f>D12/H12</f>
        <v>1</v>
      </c>
      <c r="AC12" s="772">
        <f>D12/J12</f>
        <v>1</v>
      </c>
    </row>
    <row r="13" spans="1:29" ht="15">
      <c r="A13" s="427"/>
      <c r="B13" s="2595"/>
      <c r="C13" s="433"/>
      <c r="D13" s="434">
        <v>100</v>
      </c>
      <c r="E13" s="433"/>
      <c r="F13" s="424">
        <f>SUMIF(72:72,E13,73:73)-SUMIF(72:72,C13,73:73)+100</f>
        <v>100</v>
      </c>
      <c r="G13" s="433"/>
      <c r="H13" s="434">
        <f>SUMIF(72:72,G13,73:73)-SUMIF(72:72,C13,73:73)+100</f>
        <v>100</v>
      </c>
      <c r="I13" s="433"/>
      <c r="J13" s="434">
        <f>SUMIF(72:72,I13,73:73)-SUMIF(72:72,C13,73:73)+100</f>
        <v>100</v>
      </c>
      <c r="K13" s="2596"/>
      <c r="L13" s="1139"/>
      <c r="M13" s="1130"/>
      <c r="N13" s="1130"/>
      <c r="O13" s="1130"/>
      <c r="P13" s="3245"/>
      <c r="Q13" s="2938">
        <f t="shared" si="6"/>
        <v>0</v>
      </c>
      <c r="R13" s="769" t="s">
        <v>21</v>
      </c>
      <c r="S13" s="770">
        <f t="shared" si="0"/>
        <v>100</v>
      </c>
      <c r="T13" s="769" t="s">
        <v>21</v>
      </c>
      <c r="U13" s="770">
        <f t="shared" si="1"/>
        <v>100</v>
      </c>
      <c r="V13" s="769" t="s">
        <v>21</v>
      </c>
      <c r="W13" s="770">
        <f t="shared" si="2"/>
        <v>100</v>
      </c>
      <c r="X13" s="771"/>
      <c r="Y13" s="3083"/>
      <c r="Z13" s="2939">
        <f t="shared" si="7"/>
        <v>0</v>
      </c>
      <c r="AA13" s="772">
        <f t="shared" si="3"/>
        <v>1</v>
      </c>
      <c r="AB13" s="772">
        <f t="shared" si="4"/>
        <v>1</v>
      </c>
      <c r="AC13" s="772">
        <f t="shared" si="5"/>
        <v>1</v>
      </c>
    </row>
    <row r="14" spans="1:29" ht="15.75" thickBot="1">
      <c r="A14" s="435"/>
      <c r="B14" s="2597"/>
      <c r="C14" s="436"/>
      <c r="D14" s="437">
        <v>100</v>
      </c>
      <c r="E14" s="436"/>
      <c r="F14" s="438">
        <f>SUMIF(74:74,E14,75:75)-SUMIF(74:74,C14,75:75)+100</f>
        <v>100</v>
      </c>
      <c r="G14" s="436"/>
      <c r="H14" s="437">
        <f>SUMIF(74:74,G14,75:75)-SUMIF(74:74,C14,75:75)+100</f>
        <v>100</v>
      </c>
      <c r="I14" s="436"/>
      <c r="J14" s="437">
        <f>SUMIF(74:74,I14,75:75)-SUMIF(74:74,C14,75:75)+100</f>
        <v>100</v>
      </c>
      <c r="K14" s="2596"/>
      <c r="L14" s="1139"/>
      <c r="M14" s="1130"/>
      <c r="N14" s="1130"/>
      <c r="O14" s="1130"/>
      <c r="P14" s="3245"/>
      <c r="Q14" s="2938">
        <f t="shared" si="6"/>
        <v>0</v>
      </c>
      <c r="R14" s="769" t="s">
        <v>21</v>
      </c>
      <c r="S14" s="770">
        <f t="shared" si="0"/>
        <v>100</v>
      </c>
      <c r="T14" s="769" t="s">
        <v>21</v>
      </c>
      <c r="U14" s="770">
        <f t="shared" si="1"/>
        <v>100</v>
      </c>
      <c r="V14" s="769" t="s">
        <v>21</v>
      </c>
      <c r="W14" s="770">
        <f t="shared" si="2"/>
        <v>100</v>
      </c>
      <c r="X14" s="771"/>
      <c r="Y14" s="3083"/>
      <c r="Z14" s="2939">
        <f t="shared" si="7"/>
        <v>0</v>
      </c>
      <c r="AA14" s="772">
        <f t="shared" si="3"/>
        <v>1</v>
      </c>
      <c r="AB14" s="772">
        <f t="shared" si="4"/>
        <v>1</v>
      </c>
      <c r="AC14" s="772">
        <f t="shared" si="5"/>
        <v>1</v>
      </c>
    </row>
    <row r="15" spans="1:29" ht="142.5">
      <c r="A15" s="439" t="s">
        <v>2507</v>
      </c>
      <c r="B15" s="69" t="s">
        <v>2043</v>
      </c>
      <c r="C15" s="2598" t="str">
        <f>估价对象房地状况!C3</f>
        <v>估价对象周边居住用地比例较好、居住小区规模和社区发展完善程度较好，周边有碧桂园时代倾城、江山庐州印等，综合评价居住社区成熟度较好</v>
      </c>
      <c r="D15" s="440">
        <v>100</v>
      </c>
      <c r="E15" s="443" t="s">
        <v>3310</v>
      </c>
      <c r="F15" s="440">
        <f>SUMIF(76:76,E16,77:77)-SUMIF(76:76,C16,77:77)+100</f>
        <v>100</v>
      </c>
      <c r="G15" s="441" t="s">
        <v>3310</v>
      </c>
      <c r="H15" s="440">
        <f>SUMIF(76:76,G16,77:77)-SUMIF(76:76,C16,77:77)+100</f>
        <v>100</v>
      </c>
      <c r="I15" s="441" t="s">
        <v>3317</v>
      </c>
      <c r="J15" s="440">
        <f>SUMIF(76:76,I16,77:77)-SUMIF(76:76,C16,77:77)+100</f>
        <v>97</v>
      </c>
      <c r="K15" s="444">
        <v>3</v>
      </c>
      <c r="L15" s="1139"/>
      <c r="M15" s="1130"/>
      <c r="N15" s="1130"/>
      <c r="O15" s="1130"/>
      <c r="P15" s="3252" t="s">
        <v>2508</v>
      </c>
      <c r="Q15" s="2943" t="str">
        <f t="shared" si="6"/>
        <v>居住社区成熟度</v>
      </c>
      <c r="R15" s="773" t="s">
        <v>21</v>
      </c>
      <c r="S15" s="774">
        <f t="shared" si="0"/>
        <v>100</v>
      </c>
      <c r="T15" s="773" t="s">
        <v>21</v>
      </c>
      <c r="U15" s="774">
        <f t="shared" si="1"/>
        <v>100</v>
      </c>
      <c r="V15" s="773" t="s">
        <v>21</v>
      </c>
      <c r="W15" s="774">
        <f t="shared" si="2"/>
        <v>97</v>
      </c>
      <c r="X15" s="2942"/>
      <c r="Y15" s="3236" t="s">
        <v>2508</v>
      </c>
      <c r="Z15" s="2944" t="str">
        <f t="shared" si="7"/>
        <v>居住社区成熟度</v>
      </c>
      <c r="AA15" s="2945">
        <f t="shared" si="3"/>
        <v>1</v>
      </c>
      <c r="AB15" s="2945">
        <f t="shared" si="4"/>
        <v>1</v>
      </c>
      <c r="AC15" s="2945">
        <f t="shared" si="5"/>
        <v>1.0309278350515463</v>
      </c>
    </row>
    <row r="16" spans="1:29" ht="15">
      <c r="A16" s="427"/>
      <c r="B16" s="445"/>
      <c r="C16" s="446" t="s">
        <v>3093</v>
      </c>
      <c r="D16" s="447"/>
      <c r="E16" s="2599" t="s">
        <v>3093</v>
      </c>
      <c r="F16" s="447"/>
      <c r="G16" s="2600" t="s">
        <v>3093</v>
      </c>
      <c r="H16" s="449"/>
      <c r="I16" s="2600" t="s">
        <v>3095</v>
      </c>
      <c r="J16" s="447"/>
      <c r="K16" s="2601"/>
      <c r="L16" s="1139"/>
      <c r="M16" s="1130"/>
      <c r="N16" s="1130"/>
      <c r="O16" s="1130"/>
      <c r="P16" s="3253"/>
      <c r="Q16" s="2943"/>
      <c r="R16" s="773"/>
      <c r="S16" s="774"/>
      <c r="T16" s="773"/>
      <c r="U16" s="774"/>
      <c r="V16" s="773"/>
      <c r="W16" s="774"/>
      <c r="X16" s="2942"/>
      <c r="Y16" s="3237"/>
      <c r="Z16" s="2944"/>
      <c r="AA16" s="2945">
        <v>1</v>
      </c>
      <c r="AB16" s="2945">
        <v>1</v>
      </c>
      <c r="AC16" s="2945">
        <v>1</v>
      </c>
    </row>
    <row r="17" spans="1:29" ht="128.25">
      <c r="A17" s="427"/>
      <c r="B17" s="450" t="s">
        <v>2049</v>
      </c>
      <c r="C17" s="2602" t="str">
        <f>估价对象房地状况!C6</f>
        <v>估价对象周边道路状况一般、公共交通通达情况一般、停车便捷程度较好，周边有143、300路等公交线路，综合评价交通便捷度一般</v>
      </c>
      <c r="D17" s="449">
        <v>100</v>
      </c>
      <c r="E17" s="453" t="s">
        <v>3308</v>
      </c>
      <c r="F17" s="449">
        <f>SUMIF(78:78,E18,79:79)-SUMIF(78:78,C18,79:79)+100</f>
        <v>100</v>
      </c>
      <c r="G17" s="451" t="s">
        <v>3308</v>
      </c>
      <c r="H17" s="454">
        <f>SUMIF(78:78,G18,79:79)-SUMIF(78:78,C18,79:79)+100</f>
        <v>100</v>
      </c>
      <c r="I17" s="451" t="s">
        <v>3352</v>
      </c>
      <c r="J17" s="454">
        <f>SUMIF(78:78,I18,79:79)-SUMIF(78:78,C18,79:79)+100</f>
        <v>100</v>
      </c>
      <c r="K17" s="444">
        <v>1</v>
      </c>
      <c r="L17" s="1139"/>
      <c r="M17" s="1130"/>
      <c r="N17" s="1130"/>
      <c r="O17" s="1130"/>
      <c r="P17" s="3253"/>
      <c r="Q17" s="2943" t="str">
        <f>B17</f>
        <v>交通便捷度</v>
      </c>
      <c r="R17" s="773" t="s">
        <v>21</v>
      </c>
      <c r="S17" s="774">
        <f>F17</f>
        <v>100</v>
      </c>
      <c r="T17" s="773" t="s">
        <v>21</v>
      </c>
      <c r="U17" s="774">
        <f>H17</f>
        <v>100</v>
      </c>
      <c r="V17" s="773" t="s">
        <v>21</v>
      </c>
      <c r="W17" s="774">
        <f>J17</f>
        <v>100</v>
      </c>
      <c r="X17" s="2942"/>
      <c r="Y17" s="3237"/>
      <c r="Z17" s="2944" t="str">
        <f>Q17</f>
        <v>交通便捷度</v>
      </c>
      <c r="AA17" s="2945">
        <f t="shared" si="3"/>
        <v>1</v>
      </c>
      <c r="AB17" s="2945">
        <f t="shared" si="4"/>
        <v>1</v>
      </c>
      <c r="AC17" s="2945">
        <f t="shared" si="5"/>
        <v>1</v>
      </c>
    </row>
    <row r="18" spans="1:29" ht="15">
      <c r="A18" s="427"/>
      <c r="B18" s="455"/>
      <c r="C18" s="3014" t="s">
        <v>3093</v>
      </c>
      <c r="D18" s="449"/>
      <c r="E18" s="3015" t="s">
        <v>3093</v>
      </c>
      <c r="F18" s="449"/>
      <c r="G18" s="3016" t="s">
        <v>3093</v>
      </c>
      <c r="H18" s="447"/>
      <c r="I18" s="3016" t="s">
        <v>3093</v>
      </c>
      <c r="J18" s="447"/>
      <c r="K18" s="2601"/>
      <c r="L18" s="1139"/>
      <c r="M18" s="1130"/>
      <c r="N18" s="1130"/>
      <c r="O18" s="1130"/>
      <c r="P18" s="3253"/>
      <c r="Q18" s="2943"/>
      <c r="R18" s="773"/>
      <c r="S18" s="774"/>
      <c r="T18" s="773"/>
      <c r="U18" s="774"/>
      <c r="V18" s="773"/>
      <c r="W18" s="774"/>
      <c r="X18" s="2942"/>
      <c r="Y18" s="3237"/>
      <c r="Z18" s="2944"/>
      <c r="AA18" s="2945">
        <v>1</v>
      </c>
      <c r="AB18" s="2945">
        <v>1</v>
      </c>
      <c r="AC18" s="2945">
        <v>1</v>
      </c>
    </row>
    <row r="19" spans="1:29" ht="42.75">
      <c r="A19" s="427"/>
      <c r="B19" s="450" t="s">
        <v>2048</v>
      </c>
      <c r="C19" s="2602" t="str">
        <f>估价对象房地状况!C7</f>
        <v>估价对象所在区域公共配套设施齐备情况一般</v>
      </c>
      <c r="D19" s="454">
        <v>100</v>
      </c>
      <c r="E19" s="458" t="s">
        <v>3085</v>
      </c>
      <c r="F19" s="454">
        <f>SUMIF(80:80,E20,81:81)-SUMIF(80:80,C20,81:81)+100</f>
        <v>100</v>
      </c>
      <c r="G19" s="456" t="s">
        <v>3085</v>
      </c>
      <c r="H19" s="449">
        <f>SUMIF(80:80,G20,81:81)-SUMIF(80:80,C20,81:81)+100</f>
        <v>100</v>
      </c>
      <c r="I19" s="456" t="s">
        <v>3085</v>
      </c>
      <c r="J19" s="449">
        <f>SUMIF(80:80,I20,81:81)-SUMIF(80:80,C20,81:81)+100</f>
        <v>100</v>
      </c>
      <c r="K19" s="444">
        <v>1</v>
      </c>
      <c r="L19" s="1139"/>
      <c r="M19" s="1130"/>
      <c r="N19" s="1130"/>
      <c r="O19" s="1130"/>
      <c r="P19" s="3253"/>
      <c r="Q19" s="2943" t="str">
        <f>B19</f>
        <v>公共配套设施</v>
      </c>
      <c r="R19" s="773" t="s">
        <v>21</v>
      </c>
      <c r="S19" s="774">
        <f>F19</f>
        <v>100</v>
      </c>
      <c r="T19" s="773" t="s">
        <v>21</v>
      </c>
      <c r="U19" s="774">
        <f>H19</f>
        <v>100</v>
      </c>
      <c r="V19" s="773" t="s">
        <v>21</v>
      </c>
      <c r="W19" s="774">
        <f>J19</f>
        <v>100</v>
      </c>
      <c r="X19" s="2942"/>
      <c r="Y19" s="3237"/>
      <c r="Z19" s="2944" t="str">
        <f>Q19</f>
        <v>公共配套设施</v>
      </c>
      <c r="AA19" s="2945">
        <f t="shared" si="3"/>
        <v>1</v>
      </c>
      <c r="AB19" s="2945">
        <f t="shared" si="4"/>
        <v>1</v>
      </c>
      <c r="AC19" s="2945">
        <f t="shared" si="5"/>
        <v>1</v>
      </c>
    </row>
    <row r="20" spans="1:29" ht="15">
      <c r="A20" s="427"/>
      <c r="B20" s="455"/>
      <c r="C20" s="446" t="s">
        <v>3095</v>
      </c>
      <c r="D20" s="447"/>
      <c r="E20" s="2599" t="s">
        <v>3095</v>
      </c>
      <c r="F20" s="447"/>
      <c r="G20" s="2600" t="s">
        <v>3095</v>
      </c>
      <c r="H20" s="447"/>
      <c r="I20" s="2600" t="s">
        <v>3095</v>
      </c>
      <c r="J20" s="447"/>
      <c r="K20" s="2601"/>
      <c r="L20" s="1139"/>
      <c r="M20" s="1130"/>
      <c r="N20" s="1130"/>
      <c r="O20" s="1130"/>
      <c r="P20" s="3253"/>
      <c r="Q20" s="2943"/>
      <c r="R20" s="773"/>
      <c r="S20" s="774"/>
      <c r="T20" s="773"/>
      <c r="U20" s="774"/>
      <c r="V20" s="773"/>
      <c r="W20" s="774"/>
      <c r="X20" s="2942"/>
      <c r="Y20" s="3237"/>
      <c r="Z20" s="2944"/>
      <c r="AA20" s="2945">
        <v>1</v>
      </c>
      <c r="AB20" s="2945">
        <v>1</v>
      </c>
      <c r="AC20" s="2945">
        <v>1</v>
      </c>
    </row>
    <row r="21" spans="1:29" ht="42.75">
      <c r="A21" s="427"/>
      <c r="B21" s="1383" t="s">
        <v>2050</v>
      </c>
      <c r="C21" s="2602" t="str">
        <f>估价对象房地状况!C8</f>
        <v>估价对象所在区域基础设施水平较好</v>
      </c>
      <c r="D21" s="449">
        <v>100</v>
      </c>
      <c r="E21" s="458" t="s">
        <v>3083</v>
      </c>
      <c r="F21" s="454">
        <f>SUMIF(82:82,E22,83:83)-SUMIF(82:82,C22,83:83)+100</f>
        <v>100</v>
      </c>
      <c r="G21" s="456" t="s">
        <v>3083</v>
      </c>
      <c r="H21" s="449">
        <f>SUMIF(82:82,G22,83:83)-SUMIF(82:82,C22,83:83)+100</f>
        <v>100</v>
      </c>
      <c r="I21" s="456" t="s">
        <v>3083</v>
      </c>
      <c r="J21" s="449">
        <f>SUMIF(82:82,I22,83:83)-SUMIF(82:82,C22,83:83)+100</f>
        <v>100</v>
      </c>
      <c r="K21" s="444">
        <v>1</v>
      </c>
      <c r="L21" s="1139"/>
      <c r="M21" s="1130"/>
      <c r="N21" s="1130"/>
      <c r="O21" s="1130"/>
      <c r="P21" s="3253"/>
      <c r="Q21" s="2943" t="str">
        <f>B21</f>
        <v>基础设施水平</v>
      </c>
      <c r="R21" s="773" t="s">
        <v>17</v>
      </c>
      <c r="S21" s="774">
        <f>F21</f>
        <v>100</v>
      </c>
      <c r="T21" s="773" t="s">
        <v>17</v>
      </c>
      <c r="U21" s="774">
        <f>H21</f>
        <v>100</v>
      </c>
      <c r="V21" s="773" t="s">
        <v>17</v>
      </c>
      <c r="W21" s="774">
        <f>J21</f>
        <v>100</v>
      </c>
      <c r="X21" s="2942"/>
      <c r="Y21" s="3237"/>
      <c r="Z21" s="2944" t="str">
        <f>Q21</f>
        <v>基础设施水平</v>
      </c>
      <c r="AA21" s="2945">
        <f t="shared" ref="AA21" si="8">D21/F21</f>
        <v>1</v>
      </c>
      <c r="AB21" s="2945">
        <f t="shared" ref="AB21" si="9">D21/H21</f>
        <v>1</v>
      </c>
      <c r="AC21" s="2945">
        <f t="shared" ref="AC21" si="10">D21/J21</f>
        <v>1</v>
      </c>
    </row>
    <row r="22" spans="1:29" ht="15">
      <c r="A22" s="427"/>
      <c r="B22" s="1383"/>
      <c r="C22" s="2603" t="s">
        <v>3096</v>
      </c>
      <c r="D22" s="447"/>
      <c r="E22" s="446" t="s">
        <v>3096</v>
      </c>
      <c r="F22" s="447"/>
      <c r="G22" s="2606" t="s">
        <v>3096</v>
      </c>
      <c r="H22" s="447"/>
      <c r="I22" s="2606" t="s">
        <v>3096</v>
      </c>
      <c r="J22" s="447"/>
      <c r="K22" s="2607"/>
      <c r="L22" s="1139"/>
      <c r="M22" s="1130"/>
      <c r="N22" s="1130"/>
      <c r="O22" s="1130"/>
      <c r="P22" s="3253"/>
      <c r="Q22" s="2943"/>
      <c r="R22" s="773"/>
      <c r="S22" s="774"/>
      <c r="T22" s="773"/>
      <c r="U22" s="774"/>
      <c r="V22" s="773"/>
      <c r="W22" s="774"/>
      <c r="X22" s="2942"/>
      <c r="Y22" s="3237"/>
      <c r="Z22" s="2944"/>
      <c r="AA22" s="2945">
        <v>1</v>
      </c>
      <c r="AB22" s="2945">
        <v>1</v>
      </c>
      <c r="AC22" s="2945">
        <v>1</v>
      </c>
    </row>
    <row r="23" spans="1:29" ht="114">
      <c r="A23" s="427"/>
      <c r="B23" s="450" t="s">
        <v>2052</v>
      </c>
      <c r="C23" s="2602" t="str">
        <f>估价对象房地状况!C9</f>
        <v>区域自然环境及人文环境好；周边有合肥半岛花博园、大房郢水库、合肥经济技术职业学院等，综合评价环境状况好</v>
      </c>
      <c r="D23" s="449">
        <v>100</v>
      </c>
      <c r="E23" s="453" t="s">
        <v>3312</v>
      </c>
      <c r="F23" s="449">
        <f>SUMIF(84:84,E24,85:85)-SUMIF(84:84,C24,85:85)+100</f>
        <v>95</v>
      </c>
      <c r="G23" s="451" t="s">
        <v>3312</v>
      </c>
      <c r="H23" s="449">
        <f>SUMIF(84:84,G24,85:85)-SUMIF(84:84,C24,85:85)+100</f>
        <v>95</v>
      </c>
      <c r="I23" s="451" t="s">
        <v>3315</v>
      </c>
      <c r="J23" s="449">
        <f>SUMIF(84:84,I24,85:85)-SUMIF(84:84,C24,85:85)+100</f>
        <v>95</v>
      </c>
      <c r="K23" s="444">
        <f>'比较法-高层不含'!K23</f>
        <v>5</v>
      </c>
      <c r="L23" s="1139"/>
      <c r="M23" s="1130"/>
      <c r="N23" s="1130"/>
      <c r="O23" s="1130"/>
      <c r="P23" s="3253"/>
      <c r="Q23" s="2943" t="str">
        <f>B23</f>
        <v>自然及人文环境</v>
      </c>
      <c r="R23" s="773" t="s">
        <v>21</v>
      </c>
      <c r="S23" s="774">
        <f>F23</f>
        <v>95</v>
      </c>
      <c r="T23" s="773" t="s">
        <v>21</v>
      </c>
      <c r="U23" s="774">
        <f>H23</f>
        <v>95</v>
      </c>
      <c r="V23" s="773" t="s">
        <v>21</v>
      </c>
      <c r="W23" s="774">
        <f>J23</f>
        <v>95</v>
      </c>
      <c r="X23" s="2942"/>
      <c r="Y23" s="3237"/>
      <c r="Z23" s="2944" t="str">
        <f>Q23</f>
        <v>自然及人文环境</v>
      </c>
      <c r="AA23" s="2945">
        <f>D23/F23</f>
        <v>1.0526315789473684</v>
      </c>
      <c r="AB23" s="2945">
        <f>D23/H23</f>
        <v>1.0526315789473684</v>
      </c>
      <c r="AC23" s="2945">
        <f>D23/J23</f>
        <v>1.0526315789473684</v>
      </c>
    </row>
    <row r="24" spans="1:29" ht="15">
      <c r="A24" s="427"/>
      <c r="B24" s="455"/>
      <c r="C24" s="446" t="s">
        <v>3094</v>
      </c>
      <c r="D24" s="447"/>
      <c r="E24" s="2599" t="s">
        <v>3093</v>
      </c>
      <c r="F24" s="447"/>
      <c r="G24" s="2600" t="s">
        <v>3093</v>
      </c>
      <c r="H24" s="447"/>
      <c r="I24" s="2600" t="s">
        <v>3093</v>
      </c>
      <c r="J24" s="447"/>
      <c r="K24" s="2601"/>
      <c r="L24" s="1139"/>
      <c r="M24" s="1130"/>
      <c r="N24" s="1130"/>
      <c r="O24" s="1130"/>
      <c r="P24" s="3253"/>
      <c r="Q24" s="2943"/>
      <c r="R24" s="773"/>
      <c r="S24" s="774"/>
      <c r="T24" s="773"/>
      <c r="U24" s="774"/>
      <c r="V24" s="773"/>
      <c r="W24" s="774"/>
      <c r="X24" s="2942"/>
      <c r="Y24" s="3237"/>
      <c r="Z24" s="2944"/>
      <c r="AA24" s="2945">
        <v>1</v>
      </c>
      <c r="AB24" s="2945">
        <v>1</v>
      </c>
      <c r="AC24" s="2945">
        <v>1</v>
      </c>
    </row>
    <row r="25" spans="1:29" ht="15">
      <c r="A25" s="427"/>
      <c r="B25" s="2941" t="s">
        <v>2509</v>
      </c>
      <c r="C25" s="459" t="s">
        <v>3326</v>
      </c>
      <c r="D25" s="434">
        <v>100</v>
      </c>
      <c r="E25" s="459" t="s">
        <v>3326</v>
      </c>
      <c r="F25" s="434">
        <f>SUMIF(86:86,E25,87:87)-SUMIF(86:86,C25,87:87)+100</f>
        <v>100</v>
      </c>
      <c r="G25" s="2609" t="s">
        <v>70</v>
      </c>
      <c r="H25" s="434">
        <f>SUMIF(86:86,G25,87:87)-SUMIF(86:86,C25,87:87)+100</f>
        <v>100</v>
      </c>
      <c r="I25" s="2609" t="s">
        <v>70</v>
      </c>
      <c r="J25" s="434">
        <f>SUMIF(86:86,I25,87:87)-SUMIF(86:86,C25,87:87)+100</f>
        <v>100</v>
      </c>
      <c r="K25" s="425">
        <v>1</v>
      </c>
      <c r="L25" s="1139"/>
      <c r="M25" s="1130"/>
      <c r="N25" s="1130"/>
      <c r="O25" s="1130"/>
      <c r="P25" s="3253"/>
      <c r="Q25" s="2943" t="str">
        <f t="shared" ref="Q25:Q46" si="11">B25</f>
        <v>楼层-1</v>
      </c>
      <c r="R25" s="773" t="s">
        <v>21</v>
      </c>
      <c r="S25" s="774">
        <f t="shared" ref="S25:S46" si="12">F25</f>
        <v>100</v>
      </c>
      <c r="T25" s="773" t="s">
        <v>21</v>
      </c>
      <c r="U25" s="774">
        <f t="shared" ref="U25:U46" si="13">H25</f>
        <v>100</v>
      </c>
      <c r="V25" s="773" t="s">
        <v>21</v>
      </c>
      <c r="W25" s="774">
        <f t="shared" ref="W25:W46" si="14">J25</f>
        <v>100</v>
      </c>
      <c r="X25" s="2942"/>
      <c r="Y25" s="3237"/>
      <c r="Z25" s="2944" t="str">
        <f>Q25</f>
        <v>楼层-1</v>
      </c>
      <c r="AA25" s="2945">
        <f t="shared" ref="AA25:AA46" si="15">D25/F25</f>
        <v>1</v>
      </c>
      <c r="AB25" s="2945">
        <f t="shared" ref="AB25:AB46" si="16">D25/H25</f>
        <v>1</v>
      </c>
      <c r="AC25" s="2945">
        <f t="shared" ref="AC25:AC46" si="17">D25/J25</f>
        <v>1</v>
      </c>
    </row>
    <row r="26" spans="1:29" ht="15">
      <c r="A26" s="427"/>
      <c r="B26" s="2941" t="s">
        <v>2510</v>
      </c>
      <c r="C26" s="459" t="s">
        <v>3327</v>
      </c>
      <c r="D26" s="434">
        <v>100</v>
      </c>
      <c r="E26" s="459" t="s">
        <v>3327</v>
      </c>
      <c r="F26" s="434">
        <f>SUMIF(88:88,E26,89:89)-SUMIF(88:88,C26,89:89)+100</f>
        <v>100</v>
      </c>
      <c r="G26" s="2609" t="s">
        <v>70</v>
      </c>
      <c r="H26" s="434">
        <f>SUMIF(88:88,G26,89:89)-SUMIF(88:88,C26,89:89)+100</f>
        <v>100</v>
      </c>
      <c r="I26" s="2609" t="s">
        <v>70</v>
      </c>
      <c r="J26" s="434">
        <f>SUMIF(88:88,I26,89:89)-SUMIF(88:88,C26,89:89)+100</f>
        <v>100</v>
      </c>
      <c r="K26" s="425">
        <v>1</v>
      </c>
      <c r="L26" s="1139"/>
      <c r="M26" s="1130"/>
      <c r="N26" s="1130"/>
      <c r="O26" s="1130"/>
      <c r="P26" s="3253"/>
      <c r="Q26" s="2943" t="str">
        <f t="shared" si="11"/>
        <v>朝向</v>
      </c>
      <c r="R26" s="773" t="s">
        <v>21</v>
      </c>
      <c r="S26" s="774">
        <f t="shared" si="12"/>
        <v>100</v>
      </c>
      <c r="T26" s="773" t="s">
        <v>21</v>
      </c>
      <c r="U26" s="774">
        <f t="shared" si="13"/>
        <v>100</v>
      </c>
      <c r="V26" s="773" t="s">
        <v>21</v>
      </c>
      <c r="W26" s="774">
        <f t="shared" si="14"/>
        <v>100</v>
      </c>
      <c r="X26" s="2942"/>
      <c r="Y26" s="3237"/>
      <c r="Z26" s="2944" t="str">
        <f>Q26</f>
        <v>朝向</v>
      </c>
      <c r="AA26" s="2945">
        <f t="shared" si="15"/>
        <v>1</v>
      </c>
      <c r="AB26" s="2945">
        <f t="shared" si="16"/>
        <v>1</v>
      </c>
      <c r="AC26" s="2945">
        <f t="shared" si="17"/>
        <v>1</v>
      </c>
    </row>
    <row r="27" spans="1:29" s="117" customFormat="1" ht="15">
      <c r="A27" s="430"/>
      <c r="B27" s="1385"/>
      <c r="C27" s="3007" t="s">
        <v>3348</v>
      </c>
      <c r="D27" s="461">
        <v>100</v>
      </c>
      <c r="E27" s="3006" t="s">
        <v>3347</v>
      </c>
      <c r="F27" s="461">
        <f>SUMIF(90:90,E27,91:91)-SUMIF(90:90,C27,91:91)+100</f>
        <v>100</v>
      </c>
      <c r="G27" s="3005" t="s">
        <v>3346</v>
      </c>
      <c r="H27" s="461">
        <f>SUMIF(90:90,G27,91:91)-SUMIF(90:90,C27,91:91)+100</f>
        <v>100</v>
      </c>
      <c r="I27" s="3005" t="s">
        <v>3347</v>
      </c>
      <c r="J27" s="461">
        <f>SUMIF(90:90,I27,91:91)-SUMIF(90:90,C27,91:91)+100</f>
        <v>100</v>
      </c>
      <c r="K27" s="2596"/>
      <c r="L27" s="1131"/>
      <c r="M27" s="1132"/>
      <c r="N27" s="1132"/>
      <c r="O27" s="1132"/>
      <c r="P27" s="3253"/>
      <c r="Q27" s="2938">
        <f t="shared" si="11"/>
        <v>0</v>
      </c>
      <c r="R27" s="769" t="s">
        <v>21</v>
      </c>
      <c r="S27" s="770">
        <f t="shared" si="12"/>
        <v>100</v>
      </c>
      <c r="T27" s="769" t="s">
        <v>21</v>
      </c>
      <c r="U27" s="770">
        <f t="shared" si="13"/>
        <v>100</v>
      </c>
      <c r="V27" s="769" t="s">
        <v>21</v>
      </c>
      <c r="W27" s="770">
        <f t="shared" si="14"/>
        <v>100</v>
      </c>
      <c r="X27" s="771"/>
      <c r="Y27" s="3237"/>
      <c r="Z27" s="2939">
        <f>Q27</f>
        <v>0</v>
      </c>
      <c r="AA27" s="2945">
        <f t="shared" si="15"/>
        <v>1</v>
      </c>
      <c r="AB27" s="2945">
        <f t="shared" si="16"/>
        <v>1</v>
      </c>
      <c r="AC27" s="2945">
        <f t="shared" si="17"/>
        <v>1</v>
      </c>
    </row>
    <row r="28" spans="1:29" ht="15">
      <c r="A28" s="427"/>
      <c r="B28" s="3008" t="s">
        <v>3355</v>
      </c>
      <c r="C28" s="3009" t="s">
        <v>3358</v>
      </c>
      <c r="D28" s="434">
        <v>100</v>
      </c>
      <c r="E28" s="3009" t="s">
        <v>3357</v>
      </c>
      <c r="F28" s="434">
        <f>SUMIF(92:92,E28,93:93)-SUMIF(92:92,C28,93:93)+100</f>
        <v>101</v>
      </c>
      <c r="G28" s="3009" t="s">
        <v>3357</v>
      </c>
      <c r="H28" s="434">
        <f>SUMIF(92:92,G28,93:93)-SUMIF(92:92,C28,93:93)+100</f>
        <v>101</v>
      </c>
      <c r="I28" s="3009" t="s">
        <v>3357</v>
      </c>
      <c r="J28" s="434">
        <f>SUMIF(92:92,I28,93:93)-SUMIF(92:92,C28,93:93)+100</f>
        <v>101</v>
      </c>
      <c r="K28" s="2596"/>
      <c r="L28" s="1139"/>
      <c r="M28" s="1130"/>
      <c r="N28" s="1130"/>
      <c r="O28" s="1130"/>
      <c r="P28" s="3253"/>
      <c r="Q28" s="2943" t="str">
        <f t="shared" si="11"/>
        <v>其他</v>
      </c>
      <c r="R28" s="773" t="s">
        <v>21</v>
      </c>
      <c r="S28" s="774">
        <f t="shared" si="12"/>
        <v>101</v>
      </c>
      <c r="T28" s="773" t="s">
        <v>21</v>
      </c>
      <c r="U28" s="774">
        <f t="shared" si="13"/>
        <v>101</v>
      </c>
      <c r="V28" s="773" t="s">
        <v>21</v>
      </c>
      <c r="W28" s="774">
        <f t="shared" si="14"/>
        <v>101</v>
      </c>
      <c r="X28" s="2942"/>
      <c r="Y28" s="3237"/>
      <c r="Z28" s="2944" t="str">
        <f t="shared" ref="Z28:Z46" si="18">Q28</f>
        <v>其他</v>
      </c>
      <c r="AA28" s="2945">
        <f t="shared" si="15"/>
        <v>0.99009900990099009</v>
      </c>
      <c r="AB28" s="2945">
        <f t="shared" si="16"/>
        <v>0.99009900990099009</v>
      </c>
      <c r="AC28" s="2945">
        <f t="shared" si="17"/>
        <v>0.99009900990099009</v>
      </c>
    </row>
    <row r="29" spans="1:29" ht="15">
      <c r="A29" s="427"/>
      <c r="B29" s="1385"/>
      <c r="C29" s="433"/>
      <c r="D29" s="434">
        <v>100</v>
      </c>
      <c r="E29" s="433"/>
      <c r="F29" s="434">
        <f>SUMIF(94:94,E29,95:95)-SUMIF(94:94,C29,95:95)+100</f>
        <v>100</v>
      </c>
      <c r="G29" s="2610"/>
      <c r="H29" s="434">
        <f>SUMIF(94:94,G29,95:95)-SUMIF(94:94,C29,95:95)+100</f>
        <v>100</v>
      </c>
      <c r="I29" s="433"/>
      <c r="J29" s="434">
        <f>SUMIF(94:94,I29,95:95)-SUMIF(94:94,C29,95:95)+100</f>
        <v>100</v>
      </c>
      <c r="K29" s="2596"/>
      <c r="L29" s="1139"/>
      <c r="M29" s="1130"/>
      <c r="N29" s="1130"/>
      <c r="O29" s="1130"/>
      <c r="P29" s="3253"/>
      <c r="Q29" s="2943">
        <f t="shared" si="11"/>
        <v>0</v>
      </c>
      <c r="R29" s="773" t="s">
        <v>21</v>
      </c>
      <c r="S29" s="774">
        <f t="shared" si="12"/>
        <v>100</v>
      </c>
      <c r="T29" s="773" t="s">
        <v>21</v>
      </c>
      <c r="U29" s="774">
        <f t="shared" si="13"/>
        <v>100</v>
      </c>
      <c r="V29" s="773" t="s">
        <v>21</v>
      </c>
      <c r="W29" s="774">
        <f t="shared" si="14"/>
        <v>100</v>
      </c>
      <c r="X29" s="2942"/>
      <c r="Y29" s="3237"/>
      <c r="Z29" s="2944">
        <f t="shared" si="18"/>
        <v>0</v>
      </c>
      <c r="AA29" s="2945">
        <f t="shared" si="15"/>
        <v>1</v>
      </c>
      <c r="AB29" s="2945">
        <f t="shared" si="16"/>
        <v>1</v>
      </c>
      <c r="AC29" s="2945">
        <f t="shared" si="17"/>
        <v>1</v>
      </c>
    </row>
    <row r="30" spans="1:29" ht="15">
      <c r="A30" s="427"/>
      <c r="B30" s="1385"/>
      <c r="C30" s="433"/>
      <c r="D30" s="434">
        <v>100</v>
      </c>
      <c r="E30" s="433"/>
      <c r="F30" s="434">
        <f>SUMIF(96:96,E30,97:97)-SUMIF(96:96,C30,97:97)+100</f>
        <v>100</v>
      </c>
      <c r="G30" s="2610"/>
      <c r="H30" s="434">
        <f>SUMIF(96:96,G30,97:97)-SUMIF(96:96,C30,97:97)+100</f>
        <v>100</v>
      </c>
      <c r="I30" s="433"/>
      <c r="J30" s="434">
        <f>SUMIF(96:96,I30,97:97)-SUMIF(96:96,C30,97:97)+100</f>
        <v>100</v>
      </c>
      <c r="K30" s="2596"/>
      <c r="L30" s="1139"/>
      <c r="M30" s="1130"/>
      <c r="N30" s="1130"/>
      <c r="O30" s="1130"/>
      <c r="P30" s="3253"/>
      <c r="Q30" s="2943">
        <f t="shared" si="11"/>
        <v>0</v>
      </c>
      <c r="R30" s="773" t="s">
        <v>21</v>
      </c>
      <c r="S30" s="774">
        <f t="shared" si="12"/>
        <v>100</v>
      </c>
      <c r="T30" s="773" t="s">
        <v>21</v>
      </c>
      <c r="U30" s="774">
        <f t="shared" si="13"/>
        <v>100</v>
      </c>
      <c r="V30" s="773" t="s">
        <v>21</v>
      </c>
      <c r="W30" s="774">
        <f t="shared" si="14"/>
        <v>100</v>
      </c>
      <c r="X30" s="2942"/>
      <c r="Y30" s="3237"/>
      <c r="Z30" s="2944">
        <f t="shared" si="18"/>
        <v>0</v>
      </c>
      <c r="AA30" s="2945">
        <f t="shared" si="15"/>
        <v>1</v>
      </c>
      <c r="AB30" s="2945">
        <f t="shared" si="16"/>
        <v>1</v>
      </c>
      <c r="AC30" s="2945">
        <f t="shared" si="17"/>
        <v>1</v>
      </c>
    </row>
    <row r="31" spans="1:29" ht="15.75" thickBot="1">
      <c r="A31" s="435"/>
      <c r="B31" s="1385"/>
      <c r="C31" s="436"/>
      <c r="D31" s="437">
        <v>100</v>
      </c>
      <c r="E31" s="436"/>
      <c r="F31" s="437">
        <f>SUMIF(98:98,E31,99:99)-SUMIF(98:98,C31,99:99)+100</f>
        <v>100</v>
      </c>
      <c r="G31" s="2611"/>
      <c r="H31" s="437">
        <f>SUMIF(98:98,G31,99:99)-SUMIF(98:98,C31,99:99)+100</f>
        <v>100</v>
      </c>
      <c r="I31" s="436"/>
      <c r="J31" s="437">
        <f>SUMIF(98:98,I31,99:99)-SUMIF(98:98,C31,99:99)+100</f>
        <v>100</v>
      </c>
      <c r="K31" s="2596"/>
      <c r="L31" s="1139"/>
      <c r="M31" s="1130"/>
      <c r="N31" s="1130"/>
      <c r="O31" s="1130"/>
      <c r="P31" s="3253"/>
      <c r="Q31" s="2943">
        <f t="shared" si="11"/>
        <v>0</v>
      </c>
      <c r="R31" s="773" t="s">
        <v>21</v>
      </c>
      <c r="S31" s="774">
        <f t="shared" si="12"/>
        <v>100</v>
      </c>
      <c r="T31" s="773" t="s">
        <v>21</v>
      </c>
      <c r="U31" s="774">
        <f t="shared" si="13"/>
        <v>100</v>
      </c>
      <c r="V31" s="773" t="s">
        <v>21</v>
      </c>
      <c r="W31" s="774">
        <f t="shared" si="14"/>
        <v>100</v>
      </c>
      <c r="X31" s="2942"/>
      <c r="Y31" s="3237"/>
      <c r="Z31" s="2944">
        <f t="shared" si="18"/>
        <v>0</v>
      </c>
      <c r="AA31" s="2945">
        <f t="shared" si="15"/>
        <v>1</v>
      </c>
      <c r="AB31" s="2945">
        <f t="shared" si="16"/>
        <v>1</v>
      </c>
      <c r="AC31" s="2945">
        <f t="shared" si="17"/>
        <v>1</v>
      </c>
    </row>
    <row r="32" spans="1:29" ht="15">
      <c r="A32" s="439" t="s">
        <v>2511</v>
      </c>
      <c r="B32" s="71" t="s">
        <v>2512</v>
      </c>
      <c r="C32" s="2612" t="s">
        <v>3343</v>
      </c>
      <c r="D32" s="466">
        <v>100</v>
      </c>
      <c r="E32" s="2613" t="s">
        <v>3341</v>
      </c>
      <c r="F32" s="460">
        <f>SUMIF(100:100,E32,101:101)-SUMIF(100:100,C32,101:101)+100</f>
        <v>98</v>
      </c>
      <c r="G32" s="2612" t="s">
        <v>3341</v>
      </c>
      <c r="H32" s="466">
        <f>SUMIF(100:100,G32,101:101)-SUMIF(100:100,C32,101:101)+100</f>
        <v>98</v>
      </c>
      <c r="I32" s="2613" t="s">
        <v>3060</v>
      </c>
      <c r="J32" s="434">
        <f>SUMIF(100:100,I32,101:101)-SUMIF(100:100,C32,101:101)+100</f>
        <v>102</v>
      </c>
      <c r="K32" s="425">
        <v>2</v>
      </c>
      <c r="L32" s="1139"/>
      <c r="M32" s="1130"/>
      <c r="N32" s="1130"/>
      <c r="O32" s="1130"/>
      <c r="P32" s="3254" t="s">
        <v>2513</v>
      </c>
      <c r="Q32" s="2943" t="str">
        <f t="shared" si="11"/>
        <v>建筑类型</v>
      </c>
      <c r="R32" s="773" t="s">
        <v>21</v>
      </c>
      <c r="S32" s="774">
        <f t="shared" si="12"/>
        <v>98</v>
      </c>
      <c r="T32" s="773" t="s">
        <v>21</v>
      </c>
      <c r="U32" s="774">
        <f t="shared" si="13"/>
        <v>98</v>
      </c>
      <c r="V32" s="773" t="s">
        <v>21</v>
      </c>
      <c r="W32" s="774">
        <f t="shared" si="14"/>
        <v>102</v>
      </c>
      <c r="X32" s="2942"/>
      <c r="Y32" s="3239" t="s">
        <v>2513</v>
      </c>
      <c r="Z32" s="2944" t="str">
        <f t="shared" si="18"/>
        <v>建筑类型</v>
      </c>
      <c r="AA32" s="2945">
        <f t="shared" si="15"/>
        <v>1.0204081632653061</v>
      </c>
      <c r="AB32" s="2945">
        <f t="shared" si="16"/>
        <v>1.0204081632653061</v>
      </c>
      <c r="AC32" s="2945">
        <f t="shared" si="17"/>
        <v>0.98039215686274506</v>
      </c>
    </row>
    <row r="33" spans="1:29" s="470" customFormat="1" ht="15">
      <c r="A33" s="467"/>
      <c r="B33" s="2941" t="s">
        <v>2514</v>
      </c>
      <c r="C33" s="468">
        <f>'数据-基础表'!B3</f>
        <v>218843.90000000005</v>
      </c>
      <c r="D33" s="135">
        <v>100</v>
      </c>
      <c r="E33" s="429">
        <v>99000</v>
      </c>
      <c r="F33" s="424">
        <f>LOOKUP(E33,103:103,104:104)-LOOKUP(C33,103:103,104:104)+100</f>
        <v>98</v>
      </c>
      <c r="G33" s="428">
        <v>290000</v>
      </c>
      <c r="H33" s="135">
        <f>LOOKUP(G33,103:103,104:104)-LOOKUP(C33,103:103,104:104)+100</f>
        <v>100</v>
      </c>
      <c r="I33" s="429">
        <v>74431</v>
      </c>
      <c r="J33" s="135">
        <f>LOOKUP(I33,103:103,104:104)-LOOKUP(C33,103:103,104:104)+100</f>
        <v>98</v>
      </c>
      <c r="K33" s="2596"/>
      <c r="L33" s="1137"/>
      <c r="M33" s="1140"/>
      <c r="N33" s="1140"/>
      <c r="O33" s="1140"/>
      <c r="P33" s="3255"/>
      <c r="Q33" s="775" t="str">
        <f t="shared" si="11"/>
        <v>项目建筑规模</v>
      </c>
      <c r="R33" s="776" t="s">
        <v>21</v>
      </c>
      <c r="S33" s="777">
        <f t="shared" si="12"/>
        <v>98</v>
      </c>
      <c r="T33" s="776" t="s">
        <v>21</v>
      </c>
      <c r="U33" s="777">
        <f t="shared" si="13"/>
        <v>100</v>
      </c>
      <c r="V33" s="776" t="s">
        <v>21</v>
      </c>
      <c r="W33" s="777">
        <f t="shared" si="14"/>
        <v>98</v>
      </c>
      <c r="X33" s="778"/>
      <c r="Y33" s="3239"/>
      <c r="Z33" s="779" t="str">
        <f t="shared" si="18"/>
        <v>项目建筑规模</v>
      </c>
      <c r="AA33" s="2945">
        <f t="shared" si="15"/>
        <v>1.0204081632653061</v>
      </c>
      <c r="AB33" s="2945">
        <f t="shared" si="16"/>
        <v>1</v>
      </c>
      <c r="AC33" s="2945">
        <f t="shared" si="17"/>
        <v>1.0204081632653061</v>
      </c>
    </row>
    <row r="34" spans="1:29" ht="15">
      <c r="A34" s="471"/>
      <c r="B34" s="2941" t="s">
        <v>2515</v>
      </c>
      <c r="C34" s="2614" t="s">
        <v>3322</v>
      </c>
      <c r="D34" s="434">
        <v>100</v>
      </c>
      <c r="E34" s="2614" t="s">
        <v>3322</v>
      </c>
      <c r="F34" s="460">
        <f>SUMIF(105:105,E34,106:106)-SUMIF(105:105,C34,106:106)+100</f>
        <v>100</v>
      </c>
      <c r="G34" s="2614" t="s">
        <v>3322</v>
      </c>
      <c r="H34" s="434">
        <f>SUMIF(105:105,G34,106:106)-SUMIF(105:105,C34,106:106)+100</f>
        <v>100</v>
      </c>
      <c r="I34" s="2614" t="s">
        <v>3322</v>
      </c>
      <c r="J34" s="434">
        <f>SUMIF(105:105,I34,106:106)-SUMIF(105:105,C34,106:106)+100</f>
        <v>100</v>
      </c>
      <c r="K34" s="425">
        <v>1</v>
      </c>
      <c r="L34" s="1139"/>
      <c r="M34" s="1130"/>
      <c r="N34" s="1130"/>
      <c r="O34" s="1130"/>
      <c r="P34" s="3255"/>
      <c r="Q34" s="2943" t="str">
        <f t="shared" si="11"/>
        <v>建筑结构</v>
      </c>
      <c r="R34" s="773" t="s">
        <v>21</v>
      </c>
      <c r="S34" s="774">
        <f t="shared" si="12"/>
        <v>100</v>
      </c>
      <c r="T34" s="773" t="s">
        <v>21</v>
      </c>
      <c r="U34" s="774">
        <f t="shared" si="13"/>
        <v>100</v>
      </c>
      <c r="V34" s="773" t="s">
        <v>21</v>
      </c>
      <c r="W34" s="774">
        <f t="shared" si="14"/>
        <v>100</v>
      </c>
      <c r="X34" s="2942"/>
      <c r="Y34" s="3239"/>
      <c r="Z34" s="2944" t="str">
        <f t="shared" si="18"/>
        <v>建筑结构</v>
      </c>
      <c r="AA34" s="2945">
        <f t="shared" si="15"/>
        <v>1</v>
      </c>
      <c r="AB34" s="2945">
        <f t="shared" si="16"/>
        <v>1</v>
      </c>
      <c r="AC34" s="2945">
        <f t="shared" si="17"/>
        <v>1</v>
      </c>
    </row>
    <row r="35" spans="1:29" ht="15">
      <c r="A35" s="471"/>
      <c r="B35" s="2941" t="s">
        <v>2516</v>
      </c>
      <c r="C35" s="2608" t="s">
        <v>3329</v>
      </c>
      <c r="D35" s="434">
        <v>100</v>
      </c>
      <c r="E35" s="2608" t="s">
        <v>3329</v>
      </c>
      <c r="F35" s="460">
        <f>SUMIF(107:107,E35,108:108)-SUMIF(107:107,C35,108:108)+100</f>
        <v>100</v>
      </c>
      <c r="G35" s="2608" t="s">
        <v>3349</v>
      </c>
      <c r="H35" s="434">
        <f>SUMIF(107:107,G35,108:108)-SUMIF(107:107,C35,108:108)+100</f>
        <v>95</v>
      </c>
      <c r="I35" s="2608" t="s">
        <v>3329</v>
      </c>
      <c r="J35" s="434">
        <f>SUMIF(107:107,I35,108:108)-SUMIF(107:107,C35,108:108)+100</f>
        <v>100</v>
      </c>
      <c r="K35" s="425">
        <v>5</v>
      </c>
      <c r="L35" s="1139"/>
      <c r="M35" s="1130"/>
      <c r="N35" s="1130"/>
      <c r="O35" s="1130"/>
      <c r="P35" s="3255"/>
      <c r="Q35" s="2943" t="str">
        <f t="shared" si="11"/>
        <v>建筑品质</v>
      </c>
      <c r="R35" s="773" t="s">
        <v>21</v>
      </c>
      <c r="S35" s="774">
        <f t="shared" si="12"/>
        <v>100</v>
      </c>
      <c r="T35" s="773" t="s">
        <v>21</v>
      </c>
      <c r="U35" s="774">
        <f t="shared" si="13"/>
        <v>95</v>
      </c>
      <c r="V35" s="773" t="s">
        <v>21</v>
      </c>
      <c r="W35" s="774">
        <f t="shared" si="14"/>
        <v>100</v>
      </c>
      <c r="X35" s="2942"/>
      <c r="Y35" s="3239"/>
      <c r="Z35" s="2944" t="str">
        <f t="shared" si="18"/>
        <v>建筑品质</v>
      </c>
      <c r="AA35" s="2945">
        <f t="shared" si="15"/>
        <v>1</v>
      </c>
      <c r="AB35" s="2945">
        <f t="shared" si="16"/>
        <v>1.0526315789473684</v>
      </c>
      <c r="AC35" s="2945">
        <f t="shared" si="17"/>
        <v>1</v>
      </c>
    </row>
    <row r="36" spans="1:29" ht="15">
      <c r="A36" s="471"/>
      <c r="B36" s="2941" t="s">
        <v>2517</v>
      </c>
      <c r="C36" s="2608" t="s">
        <v>3331</v>
      </c>
      <c r="D36" s="434">
        <v>100</v>
      </c>
      <c r="E36" s="2608" t="s">
        <v>3331</v>
      </c>
      <c r="F36" s="460">
        <f>SUMIF(109:109,E36,110:110)-SUMIF(109:109,C36,110:110)+100</f>
        <v>100</v>
      </c>
      <c r="G36" s="2608" t="s">
        <v>3331</v>
      </c>
      <c r="H36" s="434">
        <f>SUMIF(109:109,G36,110:110)-SUMIF(109:109,C36,110:110)+100</f>
        <v>100</v>
      </c>
      <c r="I36" s="2608" t="s">
        <v>3331</v>
      </c>
      <c r="J36" s="434">
        <f>SUMIF(109:109,I36,110:110)-SUMIF(109:109,C36,110:110)+100</f>
        <v>100</v>
      </c>
      <c r="K36" s="425">
        <v>1</v>
      </c>
      <c r="L36" s="1139"/>
      <c r="M36" s="1130"/>
      <c r="N36" s="1130"/>
      <c r="O36" s="1130"/>
      <c r="P36" s="3255"/>
      <c r="Q36" s="2943" t="str">
        <f t="shared" si="11"/>
        <v>公共部分装修</v>
      </c>
      <c r="R36" s="773" t="s">
        <v>21</v>
      </c>
      <c r="S36" s="774">
        <f t="shared" si="12"/>
        <v>100</v>
      </c>
      <c r="T36" s="773" t="s">
        <v>21</v>
      </c>
      <c r="U36" s="774">
        <f t="shared" si="13"/>
        <v>100</v>
      </c>
      <c r="V36" s="773" t="s">
        <v>21</v>
      </c>
      <c r="W36" s="774">
        <f t="shared" si="14"/>
        <v>100</v>
      </c>
      <c r="X36" s="2942"/>
      <c r="Y36" s="3239"/>
      <c r="Z36" s="2944" t="str">
        <f t="shared" si="18"/>
        <v>公共部分装修</v>
      </c>
      <c r="AA36" s="2945">
        <f t="shared" si="15"/>
        <v>1</v>
      </c>
      <c r="AB36" s="2945">
        <f t="shared" si="16"/>
        <v>1</v>
      </c>
      <c r="AC36" s="2945">
        <f t="shared" si="17"/>
        <v>1</v>
      </c>
    </row>
    <row r="37" spans="1:29" s="117" customFormat="1" ht="15">
      <c r="A37" s="472"/>
      <c r="B37" s="2941" t="s">
        <v>2518</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1"/>
      <c r="M37" s="1132"/>
      <c r="N37" s="1132"/>
      <c r="O37" s="1132"/>
      <c r="P37" s="3255"/>
      <c r="Q37" s="2938" t="str">
        <f t="shared" si="11"/>
        <v>成新度</v>
      </c>
      <c r="R37" s="769" t="s">
        <v>21</v>
      </c>
      <c r="S37" s="770">
        <f t="shared" si="12"/>
        <v>100</v>
      </c>
      <c r="T37" s="769" t="s">
        <v>21</v>
      </c>
      <c r="U37" s="770">
        <f t="shared" si="13"/>
        <v>100</v>
      </c>
      <c r="V37" s="769" t="s">
        <v>21</v>
      </c>
      <c r="W37" s="770">
        <f t="shared" si="14"/>
        <v>100</v>
      </c>
      <c r="X37" s="771"/>
      <c r="Y37" s="3239"/>
      <c r="Z37" s="2939" t="str">
        <f t="shared" si="18"/>
        <v>成新度</v>
      </c>
      <c r="AA37" s="772">
        <f t="shared" si="15"/>
        <v>1</v>
      </c>
      <c r="AB37" s="772">
        <f t="shared" si="16"/>
        <v>1</v>
      </c>
      <c r="AC37" s="772">
        <f t="shared" si="17"/>
        <v>1</v>
      </c>
    </row>
    <row r="38" spans="1:29" ht="15">
      <c r="A38" s="471"/>
      <c r="B38" s="2941" t="s">
        <v>2519</v>
      </c>
      <c r="C38" s="2608" t="s">
        <v>3333</v>
      </c>
      <c r="D38" s="434">
        <v>100</v>
      </c>
      <c r="E38" s="2608" t="s">
        <v>3333</v>
      </c>
      <c r="F38" s="460">
        <f>SUMIF(114:114,E38,115:115)-SUMIF(114:114,C38,115:115)+100</f>
        <v>100</v>
      </c>
      <c r="G38" s="2608" t="s">
        <v>3333</v>
      </c>
      <c r="H38" s="434">
        <f>SUMIF(114:114,G38,115:115)-SUMIF(114:114,C38,115:115)+100</f>
        <v>100</v>
      </c>
      <c r="I38" s="2608" t="s">
        <v>3333</v>
      </c>
      <c r="J38" s="434">
        <f>SUMIF(114:114,I38,115:115)-SUMIF(114:114,C38,115:115)+100</f>
        <v>100</v>
      </c>
      <c r="K38" s="425">
        <v>1</v>
      </c>
      <c r="L38" s="1139"/>
      <c r="M38" s="1130"/>
      <c r="N38" s="1130"/>
      <c r="O38" s="1130"/>
      <c r="P38" s="3255" t="s">
        <v>2513</v>
      </c>
      <c r="Q38" s="2943" t="str">
        <f t="shared" si="11"/>
        <v>物业管理</v>
      </c>
      <c r="R38" s="773" t="s">
        <v>21</v>
      </c>
      <c r="S38" s="774">
        <f t="shared" si="12"/>
        <v>100</v>
      </c>
      <c r="T38" s="773" t="s">
        <v>21</v>
      </c>
      <c r="U38" s="774">
        <f t="shared" si="13"/>
        <v>100</v>
      </c>
      <c r="V38" s="773" t="s">
        <v>21</v>
      </c>
      <c r="W38" s="774">
        <f t="shared" si="14"/>
        <v>100</v>
      </c>
      <c r="X38" s="2942"/>
      <c r="Y38" s="3239" t="s">
        <v>2513</v>
      </c>
      <c r="Z38" s="2944" t="str">
        <f t="shared" si="18"/>
        <v>物业管理</v>
      </c>
      <c r="AA38" s="2945">
        <f t="shared" si="15"/>
        <v>1</v>
      </c>
      <c r="AB38" s="2945">
        <f t="shared" si="16"/>
        <v>1</v>
      </c>
      <c r="AC38" s="2945">
        <f t="shared" si="17"/>
        <v>1</v>
      </c>
    </row>
    <row r="39" spans="1:29" ht="15">
      <c r="A39" s="471"/>
      <c r="B39" s="2941" t="s">
        <v>2520</v>
      </c>
      <c r="C39" s="2608" t="s">
        <v>3096</v>
      </c>
      <c r="D39" s="434">
        <v>100</v>
      </c>
      <c r="E39" s="2608" t="s">
        <v>3096</v>
      </c>
      <c r="F39" s="460">
        <f>SUMIF(116:116,E39,117:117)-SUMIF(116:116,C39,117:117)+100</f>
        <v>100</v>
      </c>
      <c r="G39" s="2608" t="s">
        <v>3096</v>
      </c>
      <c r="H39" s="434">
        <f>SUMIF(116:116,G39,117:117)-SUMIF(116:116,C39,117:117)+100</f>
        <v>100</v>
      </c>
      <c r="I39" s="2608" t="s">
        <v>3096</v>
      </c>
      <c r="J39" s="434">
        <f>SUMIF(116:116,I39,117:117)-SUMIF(116:116,C39,117:117)+100</f>
        <v>100</v>
      </c>
      <c r="K39" s="425">
        <v>1</v>
      </c>
      <c r="L39" s="1139"/>
      <c r="M39" s="1130"/>
      <c r="N39" s="1130"/>
      <c r="O39" s="1130"/>
      <c r="P39" s="3255"/>
      <c r="Q39" s="2943" t="str">
        <f t="shared" si="11"/>
        <v>市政基础设施</v>
      </c>
      <c r="R39" s="773" t="s">
        <v>21</v>
      </c>
      <c r="S39" s="774">
        <f t="shared" si="12"/>
        <v>100</v>
      </c>
      <c r="T39" s="773" t="s">
        <v>21</v>
      </c>
      <c r="U39" s="774">
        <f t="shared" si="13"/>
        <v>100</v>
      </c>
      <c r="V39" s="773" t="s">
        <v>21</v>
      </c>
      <c r="W39" s="774">
        <f t="shared" si="14"/>
        <v>100</v>
      </c>
      <c r="X39" s="2942"/>
      <c r="Y39" s="3239"/>
      <c r="Z39" s="2944" t="str">
        <f t="shared" si="18"/>
        <v>市政基础设施</v>
      </c>
      <c r="AA39" s="2945">
        <f t="shared" si="15"/>
        <v>1</v>
      </c>
      <c r="AB39" s="2945">
        <f t="shared" si="16"/>
        <v>1</v>
      </c>
      <c r="AC39" s="2945">
        <f t="shared" si="17"/>
        <v>1</v>
      </c>
    </row>
    <row r="40" spans="1:29" ht="15">
      <c r="A40" s="471"/>
      <c r="B40" s="2941" t="s">
        <v>2521</v>
      </c>
      <c r="C40" s="2608" t="s">
        <v>70</v>
      </c>
      <c r="D40" s="434">
        <v>100</v>
      </c>
      <c r="E40" s="2608" t="s">
        <v>70</v>
      </c>
      <c r="F40" s="460">
        <f>SUMIF(118:118,E40,119:119)-SUMIF(118:118,C40,119:119)+100</f>
        <v>100</v>
      </c>
      <c r="G40" s="2608" t="s">
        <v>70</v>
      </c>
      <c r="H40" s="434">
        <f>SUMIF(118:118,G40,119:119)-SUMIF(118:118,C40,119:119)+100</f>
        <v>100</v>
      </c>
      <c r="I40" s="2608" t="s">
        <v>70</v>
      </c>
      <c r="J40" s="434">
        <f>SUMIF(118:118,I40,119:119)-SUMIF(118:118,C40,119:119)+100</f>
        <v>100</v>
      </c>
      <c r="K40" s="425">
        <v>1</v>
      </c>
      <c r="L40" s="1139"/>
      <c r="M40" s="1130"/>
      <c r="N40" s="1130"/>
      <c r="O40" s="1130"/>
      <c r="P40" s="3255"/>
      <c r="Q40" s="2943" t="str">
        <f t="shared" si="11"/>
        <v>房型</v>
      </c>
      <c r="R40" s="773" t="s">
        <v>21</v>
      </c>
      <c r="S40" s="774">
        <f t="shared" si="12"/>
        <v>100</v>
      </c>
      <c r="T40" s="773" t="s">
        <v>21</v>
      </c>
      <c r="U40" s="774">
        <f t="shared" si="13"/>
        <v>100</v>
      </c>
      <c r="V40" s="773" t="s">
        <v>21</v>
      </c>
      <c r="W40" s="774">
        <f t="shared" si="14"/>
        <v>100</v>
      </c>
      <c r="X40" s="2942"/>
      <c r="Y40" s="3239"/>
      <c r="Z40" s="2944" t="str">
        <f t="shared" si="18"/>
        <v>房型</v>
      </c>
      <c r="AA40" s="2945">
        <f t="shared" si="15"/>
        <v>1</v>
      </c>
      <c r="AB40" s="2945">
        <f t="shared" si="16"/>
        <v>1</v>
      </c>
      <c r="AC40" s="2945">
        <f t="shared" si="17"/>
        <v>1</v>
      </c>
    </row>
    <row r="41" spans="1:29" s="470" customFormat="1" ht="28.5">
      <c r="A41" s="467"/>
      <c r="B41" s="2941" t="s">
        <v>2522</v>
      </c>
      <c r="C41" s="468" t="s">
        <v>3326</v>
      </c>
      <c r="D41" s="135">
        <v>100</v>
      </c>
      <c r="E41" s="468" t="s">
        <v>3326</v>
      </c>
      <c r="F41" s="424">
        <f>SUMIF(120:120,E41,121:121)-SUMIF(120:120,C41,121:121)+100</f>
        <v>100</v>
      </c>
      <c r="G41" s="468" t="s">
        <v>3326</v>
      </c>
      <c r="H41" s="135">
        <f>SUMIF(120:120,G41,121:121)-SUMIF(120:120,C41,121:121)+100</f>
        <v>100</v>
      </c>
      <c r="I41" s="468" t="s">
        <v>3326</v>
      </c>
      <c r="J41" s="434">
        <f>SUMIF(120:120,I41,121:121)-SUMIF(120:120,C41,121:121)+100</f>
        <v>100</v>
      </c>
      <c r="K41" s="2596"/>
      <c r="L41" s="1137"/>
      <c r="M41" s="1140"/>
      <c r="N41" s="1140"/>
      <c r="O41" s="1140"/>
      <c r="P41" s="3255"/>
      <c r="Q41" s="775" t="str">
        <f t="shared" si="11"/>
        <v>单套/主力户型建筑面积</v>
      </c>
      <c r="R41" s="776" t="s">
        <v>21</v>
      </c>
      <c r="S41" s="777">
        <f t="shared" si="12"/>
        <v>100</v>
      </c>
      <c r="T41" s="776" t="s">
        <v>21</v>
      </c>
      <c r="U41" s="777">
        <f t="shared" si="13"/>
        <v>100</v>
      </c>
      <c r="V41" s="776" t="s">
        <v>21</v>
      </c>
      <c r="W41" s="777">
        <f t="shared" si="14"/>
        <v>100</v>
      </c>
      <c r="X41" s="778"/>
      <c r="Y41" s="3239"/>
      <c r="Z41" s="779" t="str">
        <f t="shared" si="18"/>
        <v>单套/主力户型建筑面积</v>
      </c>
      <c r="AA41" s="2945">
        <f t="shared" si="15"/>
        <v>1</v>
      </c>
      <c r="AB41" s="2945">
        <f t="shared" si="16"/>
        <v>1</v>
      </c>
      <c r="AC41" s="2945">
        <f t="shared" si="17"/>
        <v>1</v>
      </c>
    </row>
    <row r="42" spans="1:29" ht="15">
      <c r="A42" s="471"/>
      <c r="B42" s="2941" t="s">
        <v>2523</v>
      </c>
      <c r="C42" s="2608" t="s">
        <v>3335</v>
      </c>
      <c r="D42" s="434">
        <v>100</v>
      </c>
      <c r="E42" s="2608" t="s">
        <v>3335</v>
      </c>
      <c r="F42" s="460">
        <f>SUMIF(122:122,E42,123:123)-SUMIF(122:122,C42,123:123)+100</f>
        <v>100</v>
      </c>
      <c r="G42" s="2608" t="s">
        <v>3331</v>
      </c>
      <c r="H42" s="434">
        <f>SUMIF(122:122,G42,123:123)-SUMIF(122:122,C42,123:123)+100</f>
        <v>103</v>
      </c>
      <c r="I42" s="2609" t="s">
        <v>3335</v>
      </c>
      <c r="J42" s="434">
        <f>SUMIF(122:122,I42,123:123)-SUMIF(122:122,C42,123:123)+100</f>
        <v>100</v>
      </c>
      <c r="K42" s="425">
        <v>1</v>
      </c>
      <c r="L42" s="1139"/>
      <c r="M42" s="1130"/>
      <c r="N42" s="1130"/>
      <c r="O42" s="1130"/>
      <c r="P42" s="3255"/>
      <c r="Q42" s="2943" t="str">
        <f t="shared" si="11"/>
        <v>内部装修</v>
      </c>
      <c r="R42" s="773" t="s">
        <v>21</v>
      </c>
      <c r="S42" s="774">
        <f t="shared" si="12"/>
        <v>100</v>
      </c>
      <c r="T42" s="773" t="s">
        <v>21</v>
      </c>
      <c r="U42" s="774">
        <f t="shared" si="13"/>
        <v>103</v>
      </c>
      <c r="V42" s="773" t="s">
        <v>21</v>
      </c>
      <c r="W42" s="774">
        <f t="shared" si="14"/>
        <v>100</v>
      </c>
      <c r="X42" s="2942"/>
      <c r="Y42" s="3239"/>
      <c r="Z42" s="2944" t="str">
        <f t="shared" si="18"/>
        <v>内部装修</v>
      </c>
      <c r="AA42" s="2945">
        <f t="shared" si="15"/>
        <v>1</v>
      </c>
      <c r="AB42" s="2945">
        <f t="shared" si="16"/>
        <v>0.970873786407767</v>
      </c>
      <c r="AC42" s="2945">
        <f t="shared" si="17"/>
        <v>1</v>
      </c>
    </row>
    <row r="43" spans="1:29" ht="15">
      <c r="A43" s="471"/>
      <c r="B43" s="2941" t="s">
        <v>2524</v>
      </c>
      <c r="C43" s="2608" t="s">
        <v>3093</v>
      </c>
      <c r="D43" s="434">
        <v>100</v>
      </c>
      <c r="E43" s="2608" t="s">
        <v>3093</v>
      </c>
      <c r="F43" s="460">
        <f>SUMIF(124:124,E43,125:125)-SUMIF(124:124,C43,125:125)+100</f>
        <v>100</v>
      </c>
      <c r="G43" s="2608" t="s">
        <v>3093</v>
      </c>
      <c r="H43" s="434">
        <f>SUMIF(124:124,G43,125:125)-SUMIF(124:124,C43,125:125)+100</f>
        <v>100</v>
      </c>
      <c r="I43" s="2608" t="s">
        <v>3093</v>
      </c>
      <c r="J43" s="434">
        <f>SUMIF(124:124,I43,125:125)-SUMIF(124:124,C43,125:125)+100</f>
        <v>100</v>
      </c>
      <c r="K43" s="425">
        <v>1</v>
      </c>
      <c r="L43" s="1139"/>
      <c r="M43" s="1130"/>
      <c r="N43" s="1130"/>
      <c r="O43" s="1130"/>
      <c r="P43" s="3255"/>
      <c r="Q43" s="2943" t="str">
        <f t="shared" si="11"/>
        <v>内部装修维护情况</v>
      </c>
      <c r="R43" s="773" t="s">
        <v>21</v>
      </c>
      <c r="S43" s="774">
        <f t="shared" si="12"/>
        <v>100</v>
      </c>
      <c r="T43" s="773" t="s">
        <v>21</v>
      </c>
      <c r="U43" s="774">
        <f t="shared" si="13"/>
        <v>100</v>
      </c>
      <c r="V43" s="773" t="s">
        <v>21</v>
      </c>
      <c r="W43" s="774">
        <f t="shared" si="14"/>
        <v>100</v>
      </c>
      <c r="X43" s="2942"/>
      <c r="Y43" s="3239"/>
      <c r="Z43" s="2944" t="str">
        <f t="shared" si="18"/>
        <v>内部装修维护情况</v>
      </c>
      <c r="AA43" s="2945">
        <f t="shared" si="15"/>
        <v>1</v>
      </c>
      <c r="AB43" s="2945">
        <f t="shared" si="16"/>
        <v>1</v>
      </c>
      <c r="AC43" s="2945">
        <f t="shared" si="17"/>
        <v>1</v>
      </c>
    </row>
    <row r="44" spans="1:29" s="117" customFormat="1" ht="15">
      <c r="A44" s="472"/>
      <c r="B44" s="1385"/>
      <c r="C44" s="468"/>
      <c r="D44" s="135">
        <v>100</v>
      </c>
      <c r="E44" s="468"/>
      <c r="F44" s="424">
        <f>SUMIF(126:126,E44,127:127)-SUMIF(126:126,C44,127:127)+100</f>
        <v>100</v>
      </c>
      <c r="G44" s="468"/>
      <c r="H44" s="135">
        <f>SUMIF(126:126,G44,127:127)-SUMIF(126:126,C44,127:127)+100</f>
        <v>100</v>
      </c>
      <c r="I44" s="468"/>
      <c r="J44" s="135">
        <f>SUMIF(126:126,I44,127:127)-SUMIF(126:126,C44,127:127)+100</f>
        <v>100</v>
      </c>
      <c r="K44" s="2596"/>
      <c r="L44" s="1131"/>
      <c r="M44" s="1132"/>
      <c r="N44" s="1132"/>
      <c r="O44" s="1132"/>
      <c r="P44" s="3255"/>
      <c r="Q44" s="2938">
        <f t="shared" si="11"/>
        <v>0</v>
      </c>
      <c r="R44" s="769" t="s">
        <v>21</v>
      </c>
      <c r="S44" s="770">
        <f t="shared" si="12"/>
        <v>100</v>
      </c>
      <c r="T44" s="769" t="s">
        <v>21</v>
      </c>
      <c r="U44" s="770">
        <f t="shared" si="13"/>
        <v>100</v>
      </c>
      <c r="V44" s="769" t="s">
        <v>21</v>
      </c>
      <c r="W44" s="770">
        <f t="shared" si="14"/>
        <v>100</v>
      </c>
      <c r="X44" s="771"/>
      <c r="Y44" s="3239"/>
      <c r="Z44" s="2939">
        <f t="shared" si="18"/>
        <v>0</v>
      </c>
      <c r="AA44" s="772">
        <f t="shared" si="15"/>
        <v>1</v>
      </c>
      <c r="AB44" s="772">
        <f t="shared" si="16"/>
        <v>1</v>
      </c>
      <c r="AC44" s="772">
        <f t="shared" si="17"/>
        <v>1</v>
      </c>
    </row>
    <row r="45" spans="1:29" ht="15">
      <c r="A45" s="471"/>
      <c r="B45" s="1385"/>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39"/>
      <c r="M45" s="1130"/>
      <c r="N45" s="1130"/>
      <c r="O45" s="1130"/>
      <c r="P45" s="3255"/>
      <c r="Q45" s="2943">
        <f t="shared" si="11"/>
        <v>0</v>
      </c>
      <c r="R45" s="773" t="s">
        <v>21</v>
      </c>
      <c r="S45" s="774">
        <f t="shared" si="12"/>
        <v>100</v>
      </c>
      <c r="T45" s="773" t="s">
        <v>21</v>
      </c>
      <c r="U45" s="774">
        <f t="shared" si="13"/>
        <v>100</v>
      </c>
      <c r="V45" s="773" t="s">
        <v>21</v>
      </c>
      <c r="W45" s="774">
        <f t="shared" si="14"/>
        <v>100</v>
      </c>
      <c r="X45" s="2942"/>
      <c r="Y45" s="3239"/>
      <c r="Z45" s="2944">
        <f t="shared" si="18"/>
        <v>0</v>
      </c>
      <c r="AA45" s="2945">
        <f t="shared" si="15"/>
        <v>1</v>
      </c>
      <c r="AB45" s="2945">
        <f t="shared" si="16"/>
        <v>1</v>
      </c>
      <c r="AC45" s="2945">
        <f t="shared" si="17"/>
        <v>1</v>
      </c>
    </row>
    <row r="46" spans="1:29" ht="15.75" thickBot="1">
      <c r="A46" s="477"/>
      <c r="B46" s="2597"/>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39"/>
      <c r="M46" s="1130"/>
      <c r="N46" s="1130"/>
      <c r="O46" s="1130"/>
      <c r="P46" s="3256"/>
      <c r="Q46" s="2943">
        <f t="shared" si="11"/>
        <v>0</v>
      </c>
      <c r="R46" s="773" t="s">
        <v>20</v>
      </c>
      <c r="S46" s="774">
        <f t="shared" si="12"/>
        <v>100</v>
      </c>
      <c r="T46" s="773" t="s">
        <v>20</v>
      </c>
      <c r="U46" s="774">
        <f t="shared" si="13"/>
        <v>100</v>
      </c>
      <c r="V46" s="773" t="s">
        <v>20</v>
      </c>
      <c r="W46" s="774">
        <f t="shared" si="14"/>
        <v>100</v>
      </c>
      <c r="X46" s="2942"/>
      <c r="Y46" s="3257"/>
      <c r="Z46" s="2944">
        <f t="shared" si="18"/>
        <v>0</v>
      </c>
      <c r="AA46" s="2945">
        <f t="shared" si="15"/>
        <v>1</v>
      </c>
      <c r="AB46" s="2945">
        <f t="shared" si="16"/>
        <v>1</v>
      </c>
      <c r="AC46" s="2945">
        <f t="shared" si="17"/>
        <v>1</v>
      </c>
    </row>
    <row r="47" spans="1:29" ht="15">
      <c r="A47" s="478" t="s">
        <v>2525</v>
      </c>
      <c r="B47" s="479"/>
      <c r="C47" s="1406" t="s">
        <v>19</v>
      </c>
      <c r="D47" s="1407"/>
      <c r="E47" s="1408">
        <v>17000</v>
      </c>
      <c r="F47" s="1409"/>
      <c r="G47" s="1410">
        <v>18000</v>
      </c>
      <c r="H47" s="1411"/>
      <c r="I47" s="1408">
        <v>19000</v>
      </c>
      <c r="J47" s="1411"/>
      <c r="K47" s="2615"/>
      <c r="L47" s="1142"/>
      <c r="M47" s="1143"/>
      <c r="N47" s="1130"/>
      <c r="O47" s="1143"/>
      <c r="P47" s="3221" t="str">
        <f>A47</f>
        <v>成交单价（元/平方米）</v>
      </c>
      <c r="Q47" s="3221"/>
      <c r="R47" s="3250">
        <f>E47</f>
        <v>17000</v>
      </c>
      <c r="S47" s="3250"/>
      <c r="T47" s="3250">
        <f>G47</f>
        <v>18000</v>
      </c>
      <c r="U47" s="3250"/>
      <c r="V47" s="3250">
        <f>I47</f>
        <v>19000</v>
      </c>
      <c r="W47" s="3250"/>
      <c r="X47" s="758"/>
      <c r="Y47" s="780"/>
      <c r="Z47" s="758"/>
      <c r="AA47" s="758"/>
      <c r="AB47" s="758"/>
      <c r="AC47" s="758"/>
    </row>
    <row r="48" spans="1:29" ht="15.75" thickBot="1">
      <c r="A48" s="485" t="s">
        <v>2526</v>
      </c>
      <c r="B48" s="486"/>
      <c r="C48" s="1412">
        <f>R49</f>
        <v>20114</v>
      </c>
      <c r="D48" s="1413"/>
      <c r="E48" s="1414">
        <f>R48</f>
        <v>18448</v>
      </c>
      <c r="F48" s="1414"/>
      <c r="G48" s="1412">
        <f>T48</f>
        <v>20168</v>
      </c>
      <c r="H48" s="1413"/>
      <c r="I48" s="1414">
        <f>V48</f>
        <v>21726</v>
      </c>
      <c r="J48" s="1413"/>
      <c r="K48" s="2616"/>
      <c r="L48" s="1142"/>
      <c r="M48" s="1143"/>
      <c r="N48" s="1143"/>
      <c r="O48" s="1143"/>
      <c r="P48" s="3221" t="str">
        <f>A48</f>
        <v>比较价值（元/平方米）</v>
      </c>
      <c r="Q48" s="3221"/>
      <c r="R48" s="3250">
        <f>IF(F1="售价",ROUND(PRODUCT(R47,AA7:AA46),0),ROUND(PRODUCT(R47,AA7:AA46),1))</f>
        <v>18448</v>
      </c>
      <c r="S48" s="3250"/>
      <c r="T48" s="3250">
        <f>IF(F1="售价",ROUND(PRODUCT(T47,AB7:AB46),0),ROUND(PRODUCT(T47,AB7:AB46),1))</f>
        <v>20168</v>
      </c>
      <c r="U48" s="3250"/>
      <c r="V48" s="3250">
        <f>IF(F1="售价",ROUND(PRODUCT(V47,AC7:AC46),0),ROUND(PRODUCT(V47,AC7:AC46),1))</f>
        <v>21726</v>
      </c>
      <c r="W48" s="3250"/>
      <c r="X48" s="758"/>
      <c r="Y48" s="758"/>
      <c r="Z48" s="758"/>
      <c r="AA48" s="758"/>
      <c r="AB48" s="758"/>
      <c r="AC48" s="758"/>
    </row>
    <row r="49" spans="1:29" ht="15.75" thickBot="1">
      <c r="A49" s="491" t="s">
        <v>3089</v>
      </c>
      <c r="B49" s="492"/>
      <c r="C49" s="1415">
        <f>R49</f>
        <v>20114</v>
      </c>
      <c r="D49" s="1416"/>
      <c r="E49" s="1416"/>
      <c r="F49" s="1416"/>
      <c r="G49" s="1416"/>
      <c r="H49" s="1416"/>
      <c r="I49" s="1416"/>
      <c r="J49" s="1416"/>
      <c r="K49" s="2617"/>
      <c r="L49" s="1142"/>
      <c r="M49" s="1143"/>
      <c r="N49" s="1143"/>
      <c r="O49" s="1143"/>
      <c r="P49" s="3241" t="str">
        <f>A49</f>
        <v>估价对象住宅用房的比较价值（楼面单价，元/平方米）</v>
      </c>
      <c r="Q49" s="3242"/>
      <c r="R49" s="3251">
        <f>IF(F1="售价",ROUND(AVERAGE(R48:V48),0),ROUND(AVERAGE(R48:V48),1))</f>
        <v>20114</v>
      </c>
      <c r="S49" s="3251"/>
      <c r="T49" s="3251"/>
      <c r="U49" s="3251"/>
      <c r="V49" s="3251"/>
      <c r="W49" s="325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2527</v>
      </c>
      <c r="D52" s="497"/>
      <c r="E52" s="498">
        <f>IF(E47&lt;E48,E48/E47-1,E47/E48-1)</f>
        <v>8.5176470588235187E-2</v>
      </c>
      <c r="F52" s="499" t="str">
        <f>IF(OR(E52&gt;=0.3,E52&lt;=-0.3),"超过30%","")</f>
        <v/>
      </c>
      <c r="G52" s="498">
        <f>IF(G47&lt;G48,G48/G47-1,G47/G48-1)</f>
        <v>0.12044444444444435</v>
      </c>
      <c r="H52" s="499" t="str">
        <f>IF(OR(G52&gt;=0.3,G52&lt;=-0.3),"超过30%","")</f>
        <v/>
      </c>
      <c r="I52" s="498">
        <f>IF(I47&lt;I48,I48/I47-1,I47/I48-1)</f>
        <v>0.14347368421052642</v>
      </c>
      <c r="J52" s="499" t="str">
        <f>IF(OR(I52&gt;=0.3,I52&lt;=-0.3),"超过30%","")</f>
        <v/>
      </c>
      <c r="K52" s="1104"/>
      <c r="L52" s="1105"/>
      <c r="M52" s="1143"/>
      <c r="N52" s="1143"/>
      <c r="O52" s="1143"/>
    </row>
    <row r="53" spans="1:29" ht="13.5" customHeight="1">
      <c r="A53" s="1143"/>
      <c r="B53" s="1143"/>
      <c r="C53" s="496" t="s">
        <v>2528</v>
      </c>
      <c r="D53" s="500"/>
      <c r="E53" s="498">
        <f>IF(E48&lt;G48,G48/E48-1,E48/G48-1)</f>
        <v>9.3235039028620958E-2</v>
      </c>
      <c r="F53" s="499" t="str">
        <f>IF(OR(E53&gt;=0.2,E53&lt;=-0.2),"超过20%","")</f>
        <v/>
      </c>
      <c r="G53" s="498">
        <f>IF(G48&lt;I48,I48/G48-1,G48/I48-1)</f>
        <v>7.725109083696946E-2</v>
      </c>
      <c r="H53" s="499" t="str">
        <f>IF(OR(G53&gt;=0.2,G53&lt;=-0.2),"超过20%","")</f>
        <v/>
      </c>
      <c r="I53" s="498">
        <f>IF(I48&lt;E48,E48/I48-1,I48/E48-1)</f>
        <v>0.17768863833477888</v>
      </c>
      <c r="J53" s="499" t="str">
        <f>IF(OR(I53&gt;=0.2,I53&lt;=-0.2),"超过20%","")</f>
        <v/>
      </c>
      <c r="K53" s="1104"/>
      <c r="L53" s="1105"/>
      <c r="M53" s="1143"/>
      <c r="N53" s="1143"/>
      <c r="O53" s="1143"/>
    </row>
    <row r="54" spans="1:29" s="501" customFormat="1" ht="13.5" customHeight="1">
      <c r="A54" s="1144"/>
      <c r="B54" s="1144"/>
      <c r="C54" s="496" t="s">
        <v>2529</v>
      </c>
      <c r="D54" s="500"/>
      <c r="E54" s="498">
        <f>IF(E47&lt;G47,G47/E47-1,E47/G47-1)</f>
        <v>5.8823529411764719E-2</v>
      </c>
      <c r="F54" s="499" t="str">
        <f>IF(OR(E54&gt;=0.3,E54&lt;=-0.3),"超过30%","")</f>
        <v/>
      </c>
      <c r="G54" s="498">
        <f>IF(G47&lt;I47,I47/G47-1,G47/I47-1)</f>
        <v>5.555555555555558E-2</v>
      </c>
      <c r="H54" s="499" t="str">
        <f>IF(OR(G54&gt;=0.3,G54&lt;=-0.3),"超过30%","")</f>
        <v/>
      </c>
      <c r="I54" s="498">
        <f>IF(I47&lt;E47,E47/I47-1,I47/E47-1)</f>
        <v>0.11764705882352944</v>
      </c>
      <c r="J54" s="499" t="str">
        <f>IF(OR(I54&gt;=0.3,I54&lt;=-0.3),"超过30%","")</f>
        <v/>
      </c>
      <c r="K54" s="1147"/>
      <c r="L54" s="1148"/>
      <c r="M54" s="1144"/>
      <c r="N54" s="1144"/>
      <c r="O54" s="1144"/>
      <c r="P54" s="2619"/>
    </row>
    <row r="55" spans="1:29" s="501" customFormat="1">
      <c r="A55" s="1144"/>
      <c r="B55" s="1145"/>
      <c r="C55" s="1149"/>
      <c r="D55" s="1144"/>
      <c r="E55" s="1144"/>
      <c r="F55" s="1144"/>
      <c r="G55" s="1144"/>
      <c r="H55" s="1144"/>
      <c r="I55" s="1144"/>
      <c r="J55" s="1144"/>
      <c r="K55" s="1147"/>
      <c r="L55" s="1148"/>
      <c r="M55" s="1144"/>
      <c r="N55" s="1144"/>
      <c r="O55" s="1144"/>
      <c r="P55" s="2619"/>
    </row>
    <row r="56" spans="1:29">
      <c r="A56" s="1143"/>
      <c r="B56" s="1145"/>
      <c r="C56" s="1149"/>
      <c r="D56" s="1143"/>
      <c r="E56" s="1143"/>
      <c r="F56" s="1143"/>
      <c r="G56" s="1143"/>
      <c r="H56" s="1143"/>
      <c r="I56" s="1143"/>
      <c r="J56" s="1143"/>
      <c r="K56" s="1104"/>
      <c r="L56" s="1105"/>
      <c r="M56" s="1143"/>
      <c r="N56" s="1143"/>
      <c r="O56" s="1143"/>
    </row>
    <row r="57" spans="1:29" ht="21.75" thickBot="1">
      <c r="A57" s="762" t="s">
        <v>2530</v>
      </c>
      <c r="B57" s="758"/>
      <c r="C57" s="763"/>
      <c r="D57" s="763"/>
      <c r="E57" s="763"/>
      <c r="F57" s="764"/>
      <c r="G57" s="764"/>
      <c r="H57" s="763"/>
      <c r="I57" s="763"/>
      <c r="J57" s="763"/>
      <c r="K57" s="1159"/>
      <c r="L57" s="1160"/>
      <c r="M57" s="1158"/>
      <c r="N57" s="1158"/>
      <c r="O57" s="1158"/>
      <c r="P57" s="2620"/>
      <c r="Q57" s="503"/>
    </row>
    <row r="58" spans="1:29" s="507" customFormat="1" ht="15">
      <c r="A58" s="504" t="s">
        <v>2531</v>
      </c>
      <c r="B58" s="505"/>
      <c r="C58" s="1574" t="str">
        <f>YEAR(C7)&amp;"-"&amp;MONTH(C7)</f>
        <v>2018-12</v>
      </c>
      <c r="D58" s="1573">
        <f>EDATE(C58,-1)</f>
        <v>43405</v>
      </c>
      <c r="E58" s="1573">
        <f>EDATE(D58,-1)</f>
        <v>43374</v>
      </c>
      <c r="F58" s="1573">
        <f t="shared" ref="F58:O58" si="19">EDATE(E58,-1)</f>
        <v>43344</v>
      </c>
      <c r="G58" s="1573">
        <f t="shared" si="19"/>
        <v>43313</v>
      </c>
      <c r="H58" s="1573">
        <f t="shared" si="19"/>
        <v>43282</v>
      </c>
      <c r="I58" s="1573">
        <f t="shared" si="19"/>
        <v>43252</v>
      </c>
      <c r="J58" s="1573">
        <f t="shared" si="19"/>
        <v>43221</v>
      </c>
      <c r="K58" s="1573">
        <f t="shared" si="19"/>
        <v>43191</v>
      </c>
      <c r="L58" s="1573">
        <f t="shared" si="19"/>
        <v>43160</v>
      </c>
      <c r="M58" s="1573">
        <f t="shared" si="19"/>
        <v>43132</v>
      </c>
      <c r="N58" s="1573">
        <f t="shared" si="19"/>
        <v>43101</v>
      </c>
      <c r="O58" s="1573">
        <f t="shared" si="19"/>
        <v>43070</v>
      </c>
      <c r="P58" s="1568"/>
    </row>
    <row r="59" spans="1:29" s="117" customFormat="1" ht="15">
      <c r="A59" s="508"/>
      <c r="B59" s="2621"/>
      <c r="C59" s="1571">
        <v>100</v>
      </c>
      <c r="D59" s="510">
        <v>99.5</v>
      </c>
      <c r="E59" s="511">
        <v>99</v>
      </c>
      <c r="F59" s="510">
        <v>98.5</v>
      </c>
      <c r="G59" s="511">
        <v>98</v>
      </c>
      <c r="H59" s="510">
        <v>97.5</v>
      </c>
      <c r="I59" s="511">
        <v>97</v>
      </c>
      <c r="J59" s="510">
        <v>96.5</v>
      </c>
      <c r="K59" s="511">
        <v>96</v>
      </c>
      <c r="L59" s="510">
        <v>95.5</v>
      </c>
      <c r="M59" s="511">
        <v>95</v>
      </c>
      <c r="N59" s="510">
        <v>94.5</v>
      </c>
      <c r="O59" s="511">
        <v>94</v>
      </c>
      <c r="P59" s="2622"/>
    </row>
    <row r="60" spans="1:29" s="117" customFormat="1" ht="15.75" thickBot="1">
      <c r="A60" s="514" t="s">
        <v>2532</v>
      </c>
      <c r="B60" s="515"/>
      <c r="C60" s="516"/>
      <c r="D60" s="517"/>
      <c r="E60" s="517"/>
      <c r="F60" s="517"/>
      <c r="G60" s="517"/>
      <c r="H60" s="517"/>
      <c r="I60" s="517"/>
      <c r="J60" s="517"/>
      <c r="K60" s="517"/>
      <c r="L60" s="517"/>
      <c r="M60" s="518"/>
      <c r="N60" s="517"/>
      <c r="O60" s="518"/>
      <c r="P60" s="2622"/>
      <c r="Q60" s="503"/>
    </row>
    <row r="61" spans="1:29" s="117" customFormat="1" ht="15">
      <c r="A61" s="520" t="s">
        <v>2533</v>
      </c>
      <c r="B61" s="509"/>
      <c r="C61" s="521" t="s">
        <v>2534</v>
      </c>
      <c r="D61" s="522"/>
      <c r="E61" s="522"/>
      <c r="F61" s="522"/>
      <c r="G61" s="522"/>
      <c r="H61" s="522"/>
      <c r="I61" s="522"/>
      <c r="J61" s="522"/>
      <c r="K61" s="522"/>
      <c r="L61" s="523"/>
      <c r="M61" s="524"/>
      <c r="N61" s="1150"/>
      <c r="O61" s="1150"/>
      <c r="P61" s="2623"/>
      <c r="Q61" s="503"/>
    </row>
    <row r="62" spans="1:29" s="117" customFormat="1" ht="15.75" thickBot="1">
      <c r="A62" s="520"/>
      <c r="B62" s="509"/>
      <c r="C62" s="510">
        <v>100</v>
      </c>
      <c r="D62" s="511"/>
      <c r="E62" s="511"/>
      <c r="F62" s="511"/>
      <c r="G62" s="511"/>
      <c r="H62" s="511"/>
      <c r="I62" s="511"/>
      <c r="J62" s="511"/>
      <c r="K62" s="511"/>
      <c r="L62" s="511"/>
      <c r="M62" s="513"/>
      <c r="N62" s="1150"/>
      <c r="O62" s="1150"/>
      <c r="P62" s="2622"/>
      <c r="Q62" s="503"/>
    </row>
    <row r="63" spans="1:29">
      <c r="A63" s="526" t="s">
        <v>2535</v>
      </c>
      <c r="B63" s="527" t="s">
        <v>2502</v>
      </c>
      <c r="C63" s="528" t="str">
        <f>C9</f>
        <v>住宅</v>
      </c>
      <c r="D63" s="529"/>
      <c r="E63" s="529"/>
      <c r="F63" s="529"/>
      <c r="G63" s="529"/>
      <c r="H63" s="529"/>
      <c r="I63" s="529"/>
      <c r="J63" s="529"/>
      <c r="K63" s="530"/>
      <c r="L63" s="531"/>
      <c r="M63" s="532"/>
      <c r="N63" s="1151"/>
      <c r="O63" s="1151"/>
      <c r="P63" s="2624"/>
      <c r="Q63" s="503"/>
    </row>
    <row r="64" spans="1:29" ht="15.75" thickBot="1">
      <c r="A64" s="533"/>
      <c r="B64" s="534"/>
      <c r="C64" s="535">
        <v>100</v>
      </c>
      <c r="D64" s="535"/>
      <c r="E64" s="535"/>
      <c r="F64" s="535"/>
      <c r="G64" s="535"/>
      <c r="H64" s="535"/>
      <c r="I64" s="535"/>
      <c r="J64" s="535"/>
      <c r="K64" s="535"/>
      <c r="L64" s="535"/>
      <c r="M64" s="536"/>
      <c r="N64" s="1152"/>
      <c r="O64" s="1152"/>
      <c r="P64" s="2624"/>
      <c r="Q64" s="503"/>
    </row>
    <row r="65" spans="1:17" ht="27.75" thickTop="1">
      <c r="A65" s="533"/>
      <c r="B65" s="537" t="s">
        <v>2505</v>
      </c>
      <c r="C65" s="538" t="s">
        <v>2536</v>
      </c>
      <c r="D65" s="538" t="s">
        <v>2537</v>
      </c>
      <c r="E65" s="538" t="s">
        <v>2538</v>
      </c>
      <c r="F65" s="538" t="s">
        <v>2539</v>
      </c>
      <c r="G65" s="538" t="s">
        <v>2540</v>
      </c>
      <c r="H65" s="538" t="s">
        <v>2541</v>
      </c>
      <c r="I65" s="538" t="s">
        <v>2542</v>
      </c>
      <c r="J65" s="538"/>
      <c r="K65" s="539"/>
      <c r="L65" s="540"/>
      <c r="M65" s="541"/>
      <c r="N65" s="1151"/>
      <c r="O65" s="1151"/>
      <c r="P65" s="2624"/>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2"/>
      <c r="O66" s="1152"/>
      <c r="P66" s="2624"/>
      <c r="Q66" s="503"/>
    </row>
    <row r="67" spans="1:17" ht="15.75" thickTop="1">
      <c r="A67" s="533"/>
      <c r="B67" s="545" t="s">
        <v>2506</v>
      </c>
      <c r="C67" s="546" t="str">
        <f>C68&amp;"（含）"&amp;"-"&amp;D68</f>
        <v>0（含）-0.5</v>
      </c>
      <c r="D67" s="546" t="str">
        <f t="shared" ref="D67:L67" si="21">D68&amp;"（含）"&amp;"-"&amp;E68</f>
        <v>0.5（含）-1</v>
      </c>
      <c r="E67" s="546" t="str">
        <f t="shared" si="21"/>
        <v>1（含）-1.5</v>
      </c>
      <c r="F67" s="546" t="str">
        <f t="shared" si="21"/>
        <v>1.5（含）-2</v>
      </c>
      <c r="G67" s="546" t="str">
        <f t="shared" si="21"/>
        <v>2（含）-2.5</v>
      </c>
      <c r="H67" s="546" t="str">
        <f t="shared" si="21"/>
        <v>2.5（含）-3</v>
      </c>
      <c r="I67" s="546" t="str">
        <f t="shared" si="21"/>
        <v>3（含）-3.5</v>
      </c>
      <c r="J67" s="546" t="str">
        <f t="shared" si="21"/>
        <v>3.5（含）-4</v>
      </c>
      <c r="K67" s="546" t="str">
        <f>K68&amp;"（含）"&amp;"-"&amp;L68</f>
        <v>4（含）-4.5</v>
      </c>
      <c r="L67" s="546" t="str">
        <f t="shared" si="21"/>
        <v>4.5（含）-5</v>
      </c>
      <c r="M67" s="447" t="str">
        <f>M68&amp;"（含）"&amp;"-"&amp;P68</f>
        <v>5（含）-</v>
      </c>
      <c r="N67" s="1152"/>
      <c r="O67" s="1152"/>
      <c r="P67" s="2624"/>
      <c r="Q67" s="503"/>
    </row>
    <row r="68" spans="1:17" ht="15">
      <c r="A68" s="533"/>
      <c r="B68" s="547"/>
      <c r="C68" s="548">
        <v>0</v>
      </c>
      <c r="D68" s="548">
        <v>0.5</v>
      </c>
      <c r="E68" s="548">
        <v>1</v>
      </c>
      <c r="F68" s="548">
        <v>1.5</v>
      </c>
      <c r="G68" s="548">
        <v>2</v>
      </c>
      <c r="H68" s="548">
        <v>2.5</v>
      </c>
      <c r="I68" s="548">
        <v>3</v>
      </c>
      <c r="J68" s="548">
        <v>3.5</v>
      </c>
      <c r="K68" s="548">
        <v>4</v>
      </c>
      <c r="L68" s="548">
        <v>4.5</v>
      </c>
      <c r="M68" s="548">
        <v>5</v>
      </c>
      <c r="N68" s="1151"/>
      <c r="O68" s="1151"/>
      <c r="P68" s="2624"/>
      <c r="Q68" s="503"/>
    </row>
    <row r="69" spans="1:17" ht="15.75" thickBot="1">
      <c r="A69" s="533"/>
      <c r="B69" s="534"/>
      <c r="C69" s="543">
        <v>100</v>
      </c>
      <c r="D69" s="543">
        <f t="shared" ref="D69:M69" si="22">C69-$K11</f>
        <v>97</v>
      </c>
      <c r="E69" s="543">
        <f t="shared" si="22"/>
        <v>94</v>
      </c>
      <c r="F69" s="543">
        <f t="shared" si="22"/>
        <v>91</v>
      </c>
      <c r="G69" s="543">
        <f t="shared" si="22"/>
        <v>88</v>
      </c>
      <c r="H69" s="543">
        <f t="shared" si="22"/>
        <v>85</v>
      </c>
      <c r="I69" s="543">
        <f t="shared" si="22"/>
        <v>82</v>
      </c>
      <c r="J69" s="543">
        <f t="shared" si="22"/>
        <v>79</v>
      </c>
      <c r="K69" s="543">
        <f t="shared" si="22"/>
        <v>76</v>
      </c>
      <c r="L69" s="543">
        <f t="shared" si="22"/>
        <v>73</v>
      </c>
      <c r="M69" s="544">
        <f t="shared" si="22"/>
        <v>70</v>
      </c>
      <c r="N69" s="1152"/>
      <c r="O69" s="1152"/>
      <c r="P69" s="2624"/>
      <c r="Q69" s="503"/>
    </row>
    <row r="70" spans="1:17" s="470" customFormat="1" ht="15.75" thickTop="1">
      <c r="A70" s="552"/>
      <c r="B70" s="537">
        <f>B12</f>
        <v>0</v>
      </c>
      <c r="C70" s="553"/>
      <c r="D70" s="553"/>
      <c r="E70" s="553"/>
      <c r="F70" s="553"/>
      <c r="G70" s="553"/>
      <c r="H70" s="554"/>
      <c r="I70" s="554"/>
      <c r="J70" s="554"/>
      <c r="K70" s="554"/>
      <c r="L70" s="555"/>
      <c r="M70" s="556"/>
      <c r="N70" s="1153"/>
      <c r="O70" s="1153"/>
      <c r="P70" s="2625"/>
      <c r="Q70" s="558"/>
    </row>
    <row r="71" spans="1:17" s="470" customFormat="1" ht="15.75" thickBot="1">
      <c r="A71" s="552"/>
      <c r="B71" s="542"/>
      <c r="C71" s="559"/>
      <c r="D71" s="535"/>
      <c r="E71" s="535"/>
      <c r="F71" s="535"/>
      <c r="G71" s="535"/>
      <c r="H71" s="535"/>
      <c r="I71" s="535"/>
      <c r="J71" s="535"/>
      <c r="K71" s="535"/>
      <c r="L71" s="535"/>
      <c r="M71" s="536"/>
      <c r="N71" s="1152"/>
      <c r="O71" s="1152"/>
      <c r="P71" s="2625"/>
      <c r="Q71" s="558"/>
    </row>
    <row r="72" spans="1:17" s="470" customFormat="1" ht="15.75" thickTop="1">
      <c r="A72" s="552"/>
      <c r="B72" s="537">
        <f>B13</f>
        <v>0</v>
      </c>
      <c r="C72" s="553"/>
      <c r="D72" s="553"/>
      <c r="E72" s="553"/>
      <c r="F72" s="553"/>
      <c r="G72" s="553"/>
      <c r="H72" s="554"/>
      <c r="I72" s="554"/>
      <c r="J72" s="554"/>
      <c r="K72" s="554"/>
      <c r="L72" s="555"/>
      <c r="M72" s="556"/>
      <c r="N72" s="1153"/>
      <c r="O72" s="1153"/>
      <c r="P72" s="2626"/>
      <c r="Q72" s="560"/>
    </row>
    <row r="73" spans="1:17" s="470" customFormat="1" ht="15.75" thickBot="1">
      <c r="A73" s="552"/>
      <c r="B73" s="542"/>
      <c r="C73" s="559"/>
      <c r="D73" s="559"/>
      <c r="E73" s="559"/>
      <c r="F73" s="559"/>
      <c r="G73" s="559"/>
      <c r="H73" s="561"/>
      <c r="I73" s="561"/>
      <c r="J73" s="561"/>
      <c r="K73" s="561"/>
      <c r="L73" s="561"/>
      <c r="M73" s="562"/>
      <c r="N73" s="1153"/>
      <c r="O73" s="1153"/>
      <c r="P73" s="2625"/>
      <c r="Q73" s="558"/>
    </row>
    <row r="74" spans="1:17" s="470" customFormat="1" ht="15.75" thickTop="1">
      <c r="A74" s="552"/>
      <c r="B74" s="545">
        <f>B14</f>
        <v>0</v>
      </c>
      <c r="C74" s="553"/>
      <c r="D74" s="553"/>
      <c r="E74" s="553"/>
      <c r="F74" s="553"/>
      <c r="G74" s="522"/>
      <c r="H74" s="563"/>
      <c r="I74" s="563"/>
      <c r="J74" s="563"/>
      <c r="K74" s="563"/>
      <c r="L74" s="564"/>
      <c r="M74" s="565"/>
      <c r="N74" s="1153"/>
      <c r="O74" s="1153"/>
      <c r="P74" s="2627"/>
      <c r="Q74" s="558"/>
    </row>
    <row r="75" spans="1:17" s="470" customFormat="1" ht="15.75" thickBot="1">
      <c r="A75" s="567"/>
      <c r="B75" s="568"/>
      <c r="C75" s="569"/>
      <c r="D75" s="569"/>
      <c r="E75" s="569"/>
      <c r="F75" s="569"/>
      <c r="G75" s="569"/>
      <c r="H75" s="570"/>
      <c r="I75" s="570"/>
      <c r="J75" s="570"/>
      <c r="K75" s="570"/>
      <c r="L75" s="570"/>
      <c r="M75" s="571"/>
      <c r="N75" s="1153"/>
      <c r="O75" s="1153"/>
      <c r="P75" s="2625"/>
      <c r="Q75" s="558"/>
    </row>
    <row r="76" spans="1:17">
      <c r="A76" s="526" t="s">
        <v>2507</v>
      </c>
      <c r="B76" s="527" t="s">
        <v>2543</v>
      </c>
      <c r="C76" s="572" t="s">
        <v>2544</v>
      </c>
      <c r="D76" s="572" t="s">
        <v>2545</v>
      </c>
      <c r="E76" s="572" t="s">
        <v>2546</v>
      </c>
      <c r="F76" s="572" t="s">
        <v>2547</v>
      </c>
      <c r="G76" s="572" t="s">
        <v>2548</v>
      </c>
      <c r="H76" s="528"/>
      <c r="I76" s="528"/>
      <c r="J76" s="528"/>
      <c r="K76" s="573"/>
      <c r="L76" s="574"/>
      <c r="M76" s="575"/>
      <c r="N76" s="1151"/>
      <c r="O76" s="1151"/>
      <c r="P76" s="2628"/>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2"/>
      <c r="O77" s="1152"/>
      <c r="P77" s="2624"/>
      <c r="Q77" s="503"/>
    </row>
    <row r="78" spans="1:17" ht="15.75" thickTop="1">
      <c r="A78" s="533"/>
      <c r="B78" s="537" t="s">
        <v>2549</v>
      </c>
      <c r="C78" s="577" t="s">
        <v>2544</v>
      </c>
      <c r="D78" s="577" t="s">
        <v>2545</v>
      </c>
      <c r="E78" s="577" t="s">
        <v>2546</v>
      </c>
      <c r="F78" s="577" t="s">
        <v>2547</v>
      </c>
      <c r="G78" s="577" t="s">
        <v>2548</v>
      </c>
      <c r="H78" s="538"/>
      <c r="I78" s="538"/>
      <c r="J78" s="538"/>
      <c r="K78" s="539"/>
      <c r="L78" s="540"/>
      <c r="M78" s="541"/>
      <c r="N78" s="1151"/>
      <c r="O78" s="1151"/>
      <c r="P78" s="2624"/>
      <c r="Q78" s="503"/>
    </row>
    <row r="79" spans="1:17" ht="15.75" thickBot="1">
      <c r="A79" s="533"/>
      <c r="B79" s="542"/>
      <c r="C79" s="543">
        <v>100</v>
      </c>
      <c r="D79" s="543">
        <f>C79-$K17</f>
        <v>99</v>
      </c>
      <c r="E79" s="543">
        <f>D79-$K17</f>
        <v>98</v>
      </c>
      <c r="F79" s="543">
        <f>E79-$K17</f>
        <v>97</v>
      </c>
      <c r="G79" s="543">
        <f>F79-$K17</f>
        <v>96</v>
      </c>
      <c r="H79" s="543"/>
      <c r="I79" s="543"/>
      <c r="J79" s="543"/>
      <c r="K79" s="543"/>
      <c r="L79" s="543"/>
      <c r="M79" s="544"/>
      <c r="N79" s="1152"/>
      <c r="O79" s="1152"/>
      <c r="P79" s="2624"/>
      <c r="Q79" s="503"/>
    </row>
    <row r="80" spans="1:17" ht="15.75" thickTop="1">
      <c r="A80" s="533"/>
      <c r="B80" s="537" t="s">
        <v>2550</v>
      </c>
      <c r="C80" s="577" t="s">
        <v>2544</v>
      </c>
      <c r="D80" s="577" t="s">
        <v>2545</v>
      </c>
      <c r="E80" s="577" t="s">
        <v>2546</v>
      </c>
      <c r="F80" s="577" t="s">
        <v>2547</v>
      </c>
      <c r="G80" s="577" t="s">
        <v>2548</v>
      </c>
      <c r="H80" s="538"/>
      <c r="I80" s="538"/>
      <c r="J80" s="538"/>
      <c r="K80" s="539"/>
      <c r="L80" s="540"/>
      <c r="M80" s="541"/>
      <c r="N80" s="1151"/>
      <c r="O80" s="1151"/>
      <c r="P80" s="2624"/>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2"/>
      <c r="O81" s="1152"/>
      <c r="P81" s="2624"/>
      <c r="Q81" s="503"/>
    </row>
    <row r="82" spans="1:17" ht="15.75" thickTop="1">
      <c r="A82" s="533"/>
      <c r="B82" s="545" t="s">
        <v>2050</v>
      </c>
      <c r="C82" s="538" t="s">
        <v>2551</v>
      </c>
      <c r="D82" s="538" t="s">
        <v>2552</v>
      </c>
      <c r="E82" s="538" t="s">
        <v>2553</v>
      </c>
      <c r="F82" s="538" t="s">
        <v>2554</v>
      </c>
      <c r="G82" s="538" t="s">
        <v>2555</v>
      </c>
      <c r="H82" s="538"/>
      <c r="I82" s="538"/>
      <c r="J82" s="538"/>
      <c r="K82" s="538"/>
      <c r="L82" s="538"/>
      <c r="M82" s="1381"/>
      <c r="N82" s="1152"/>
      <c r="O82" s="1152"/>
      <c r="P82" s="2624"/>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24"/>
      <c r="Q83" s="503"/>
    </row>
    <row r="84" spans="1:17" ht="15.75" thickTop="1">
      <c r="A84" s="533"/>
      <c r="B84" s="537" t="s">
        <v>2556</v>
      </c>
      <c r="C84" s="577" t="s">
        <v>2544</v>
      </c>
      <c r="D84" s="577" t="s">
        <v>2545</v>
      </c>
      <c r="E84" s="577" t="s">
        <v>2546</v>
      </c>
      <c r="F84" s="577" t="s">
        <v>2547</v>
      </c>
      <c r="G84" s="577" t="s">
        <v>2548</v>
      </c>
      <c r="H84" s="538"/>
      <c r="I84" s="538"/>
      <c r="J84" s="538"/>
      <c r="K84" s="539"/>
      <c r="L84" s="540"/>
      <c r="M84" s="541"/>
      <c r="N84" s="1151"/>
      <c r="O84" s="1151"/>
      <c r="P84" s="2624"/>
      <c r="Q84" s="503"/>
    </row>
    <row r="85" spans="1:17" ht="15.75" thickBot="1">
      <c r="A85" s="533"/>
      <c r="B85" s="542"/>
      <c r="C85" s="543">
        <v>100</v>
      </c>
      <c r="D85" s="543">
        <f>C85-$K23</f>
        <v>95</v>
      </c>
      <c r="E85" s="543">
        <f>D85-$K23</f>
        <v>90</v>
      </c>
      <c r="F85" s="543">
        <f>E85-$K23</f>
        <v>85</v>
      </c>
      <c r="G85" s="543">
        <f>F85-$K23</f>
        <v>80</v>
      </c>
      <c r="H85" s="543"/>
      <c r="I85" s="543"/>
      <c r="J85" s="543"/>
      <c r="K85" s="543"/>
      <c r="L85" s="543"/>
      <c r="M85" s="544"/>
      <c r="N85" s="1152"/>
      <c r="O85" s="1152"/>
      <c r="P85" s="2624"/>
      <c r="Q85" s="503"/>
    </row>
    <row r="86" spans="1:17" s="117" customFormat="1" ht="15.75" thickTop="1">
      <c r="A86" s="578"/>
      <c r="B86" s="537" t="s">
        <v>2557</v>
      </c>
      <c r="C86" s="553" t="s">
        <v>3326</v>
      </c>
      <c r="D86" s="553"/>
      <c r="E86" s="553"/>
      <c r="F86" s="553"/>
      <c r="G86" s="553"/>
      <c r="H86" s="553"/>
      <c r="I86" s="553"/>
      <c r="J86" s="553"/>
      <c r="K86" s="553"/>
      <c r="L86" s="579"/>
      <c r="M86" s="580"/>
      <c r="N86" s="1150"/>
      <c r="O86" s="1150"/>
      <c r="P86" s="2624"/>
      <c r="Q86" s="503"/>
    </row>
    <row r="87" spans="1:17" s="117" customFormat="1" ht="15.75" thickBot="1">
      <c r="A87" s="578"/>
      <c r="B87" s="542"/>
      <c r="C87" s="581">
        <v>100</v>
      </c>
      <c r="D87" s="543" t="e">
        <f t="shared" ref="D87:M87" si="24">$C$87-($C$86-D86)*$K$25</f>
        <v>#VALUE!</v>
      </c>
      <c r="E87" s="543" t="e">
        <f t="shared" si="24"/>
        <v>#VALUE!</v>
      </c>
      <c r="F87" s="543" t="e">
        <f t="shared" si="24"/>
        <v>#VALUE!</v>
      </c>
      <c r="G87" s="543" t="e">
        <f t="shared" si="24"/>
        <v>#VALUE!</v>
      </c>
      <c r="H87" s="543" t="e">
        <f t="shared" si="24"/>
        <v>#VALUE!</v>
      </c>
      <c r="I87" s="543" t="e">
        <f t="shared" si="24"/>
        <v>#VALUE!</v>
      </c>
      <c r="J87" s="543" t="e">
        <f t="shared" si="24"/>
        <v>#VALUE!</v>
      </c>
      <c r="K87" s="543" t="e">
        <f t="shared" si="24"/>
        <v>#VALUE!</v>
      </c>
      <c r="L87" s="543" t="e">
        <f t="shared" si="24"/>
        <v>#VALUE!</v>
      </c>
      <c r="M87" s="543" t="e">
        <f t="shared" si="24"/>
        <v>#VALUE!</v>
      </c>
      <c r="N87" s="1152"/>
      <c r="O87" s="1152"/>
      <c r="P87" s="2624"/>
      <c r="Q87" s="503"/>
    </row>
    <row r="88" spans="1:17" s="117" customFormat="1" ht="15.75" thickTop="1">
      <c r="A88" s="578"/>
      <c r="B88" s="537" t="s">
        <v>2558</v>
      </c>
      <c r="C88" s="553" t="s">
        <v>3326</v>
      </c>
      <c r="D88" s="553"/>
      <c r="E88" s="553"/>
      <c r="F88" s="2629"/>
      <c r="G88" s="553"/>
      <c r="H88" s="553"/>
      <c r="I88" s="553"/>
      <c r="J88" s="553"/>
      <c r="K88" s="553"/>
      <c r="L88" s="553"/>
      <c r="M88" s="580"/>
      <c r="N88" s="1150"/>
      <c r="O88" s="1150"/>
      <c r="P88" s="2624"/>
      <c r="Q88" s="503"/>
    </row>
    <row r="89" spans="1:17" s="117" customFormat="1" ht="15.75" thickBot="1">
      <c r="A89" s="578"/>
      <c r="B89" s="542"/>
      <c r="C89" s="581">
        <v>100</v>
      </c>
      <c r="D89" s="543">
        <f t="shared" ref="D89:M89" si="25">C89-$K26</f>
        <v>99</v>
      </c>
      <c r="E89" s="543">
        <f t="shared" si="25"/>
        <v>98</v>
      </c>
      <c r="F89" s="543">
        <f t="shared" si="25"/>
        <v>97</v>
      </c>
      <c r="G89" s="543">
        <f t="shared" si="25"/>
        <v>96</v>
      </c>
      <c r="H89" s="543">
        <f t="shared" si="25"/>
        <v>95</v>
      </c>
      <c r="I89" s="543">
        <f t="shared" si="25"/>
        <v>94</v>
      </c>
      <c r="J89" s="543">
        <f t="shared" si="25"/>
        <v>93</v>
      </c>
      <c r="K89" s="543">
        <f t="shared" si="25"/>
        <v>92</v>
      </c>
      <c r="L89" s="543">
        <f t="shared" si="25"/>
        <v>91</v>
      </c>
      <c r="M89" s="543">
        <f t="shared" si="25"/>
        <v>90</v>
      </c>
      <c r="N89" s="1152"/>
      <c r="O89" s="1152"/>
      <c r="P89" s="2624"/>
      <c r="Q89" s="503"/>
    </row>
    <row r="90" spans="1:17" s="470" customFormat="1" ht="15.75" thickTop="1">
      <c r="A90" s="552"/>
      <c r="B90" s="537">
        <f>B27</f>
        <v>0</v>
      </c>
      <c r="C90" s="553"/>
      <c r="D90" s="553"/>
      <c r="E90" s="553"/>
      <c r="F90" s="553"/>
      <c r="G90" s="553"/>
      <c r="H90" s="554"/>
      <c r="I90" s="554"/>
      <c r="J90" s="554"/>
      <c r="K90" s="554"/>
      <c r="L90" s="555"/>
      <c r="M90" s="556"/>
      <c r="N90" s="1153"/>
      <c r="O90" s="1153"/>
      <c r="P90" s="2625"/>
      <c r="Q90" s="558"/>
    </row>
    <row r="91" spans="1:17" s="470" customFormat="1" ht="15.75" thickBot="1">
      <c r="A91" s="552"/>
      <c r="B91" s="542"/>
      <c r="C91" s="559"/>
      <c r="D91" s="559"/>
      <c r="E91" s="559"/>
      <c r="F91" s="559"/>
      <c r="G91" s="559"/>
      <c r="H91" s="561"/>
      <c r="I91" s="561"/>
      <c r="J91" s="561"/>
      <c r="K91" s="561"/>
      <c r="L91" s="561"/>
      <c r="M91" s="562"/>
      <c r="N91" s="1153"/>
      <c r="O91" s="1153"/>
      <c r="P91" s="2625"/>
      <c r="Q91" s="558"/>
    </row>
    <row r="92" spans="1:17" ht="15.75" thickTop="1">
      <c r="A92" s="533"/>
      <c r="B92" s="537" t="str">
        <f>B28</f>
        <v>其他</v>
      </c>
      <c r="C92" s="2988" t="s">
        <v>3358</v>
      </c>
      <c r="D92" s="2988" t="s">
        <v>3357</v>
      </c>
      <c r="E92" s="553"/>
      <c r="F92" s="553"/>
      <c r="G92" s="582"/>
      <c r="H92" s="582"/>
      <c r="I92" s="582"/>
      <c r="J92" s="582"/>
      <c r="K92" s="583"/>
      <c r="L92" s="584"/>
      <c r="M92" s="585"/>
      <c r="N92" s="1151"/>
      <c r="O92" s="1151"/>
      <c r="P92" s="2624"/>
      <c r="Q92" s="503"/>
    </row>
    <row r="93" spans="1:17" ht="15.75" thickBot="1">
      <c r="A93" s="533"/>
      <c r="B93" s="542"/>
      <c r="C93" s="559">
        <v>100</v>
      </c>
      <c r="D93" s="535">
        <v>101</v>
      </c>
      <c r="E93" s="535"/>
      <c r="F93" s="535"/>
      <c r="G93" s="535"/>
      <c r="H93" s="535"/>
      <c r="I93" s="535"/>
      <c r="J93" s="535"/>
      <c r="K93" s="535"/>
      <c r="L93" s="535"/>
      <c r="M93" s="536"/>
      <c r="N93" s="1152"/>
      <c r="O93" s="1152"/>
      <c r="P93" s="2624"/>
      <c r="Q93" s="503"/>
    </row>
    <row r="94" spans="1:17" ht="15.75" thickTop="1">
      <c r="A94" s="533"/>
      <c r="B94" s="537">
        <f>B29</f>
        <v>0</v>
      </c>
      <c r="C94" s="553"/>
      <c r="D94" s="553"/>
      <c r="E94" s="553"/>
      <c r="F94" s="553"/>
      <c r="G94" s="582"/>
      <c r="H94" s="582"/>
      <c r="I94" s="582"/>
      <c r="J94" s="582"/>
      <c r="K94" s="583"/>
      <c r="L94" s="584"/>
      <c r="M94" s="585"/>
      <c r="N94" s="1151"/>
      <c r="O94" s="1151"/>
      <c r="P94" s="2624"/>
      <c r="Q94" s="503"/>
    </row>
    <row r="95" spans="1:17" ht="15.75" thickBot="1">
      <c r="A95" s="533"/>
      <c r="B95" s="542"/>
      <c r="C95" s="559"/>
      <c r="D95" s="559"/>
      <c r="E95" s="559"/>
      <c r="F95" s="559"/>
      <c r="G95" s="535"/>
      <c r="H95" s="535"/>
      <c r="I95" s="535"/>
      <c r="J95" s="535"/>
      <c r="K95" s="535"/>
      <c r="L95" s="535"/>
      <c r="M95" s="536"/>
      <c r="N95" s="1152"/>
      <c r="O95" s="1152"/>
      <c r="P95" s="2624"/>
      <c r="Q95" s="503"/>
    </row>
    <row r="96" spans="1:17" ht="15.75" thickTop="1">
      <c r="A96" s="533"/>
      <c r="B96" s="537">
        <f>B30</f>
        <v>0</v>
      </c>
      <c r="C96" s="553"/>
      <c r="D96" s="553"/>
      <c r="E96" s="553"/>
      <c r="F96" s="553"/>
      <c r="G96" s="582"/>
      <c r="H96" s="582"/>
      <c r="I96" s="582"/>
      <c r="J96" s="582"/>
      <c r="K96" s="583"/>
      <c r="L96" s="584"/>
      <c r="M96" s="585"/>
      <c r="N96" s="1151"/>
      <c r="O96" s="1151"/>
      <c r="P96" s="2624"/>
      <c r="Q96" s="503"/>
    </row>
    <row r="97" spans="1:17" ht="15.75" thickBot="1">
      <c r="A97" s="533"/>
      <c r="B97" s="542"/>
      <c r="C97" s="569"/>
      <c r="D97" s="569"/>
      <c r="E97" s="569"/>
      <c r="F97" s="569"/>
      <c r="G97" s="535"/>
      <c r="H97" s="535"/>
      <c r="I97" s="535"/>
      <c r="J97" s="535"/>
      <c r="K97" s="535"/>
      <c r="L97" s="535"/>
      <c r="M97" s="536"/>
      <c r="N97" s="1152"/>
      <c r="O97" s="1152"/>
      <c r="P97" s="2624"/>
      <c r="Q97" s="503"/>
    </row>
    <row r="98" spans="1:17" ht="15.75" thickTop="1">
      <c r="A98" s="533"/>
      <c r="B98" s="545">
        <f>B31</f>
        <v>0</v>
      </c>
      <c r="C98" s="586"/>
      <c r="D98" s="586"/>
      <c r="E98" s="586"/>
      <c r="F98" s="586"/>
      <c r="G98" s="586"/>
      <c r="H98" s="586"/>
      <c r="I98" s="586"/>
      <c r="J98" s="586"/>
      <c r="K98" s="587"/>
      <c r="L98" s="588"/>
      <c r="M98" s="589"/>
      <c r="N98" s="1151"/>
      <c r="O98" s="1151"/>
      <c r="P98" s="2624"/>
      <c r="Q98" s="503"/>
    </row>
    <row r="99" spans="1:17" ht="15.75" thickBot="1">
      <c r="A99" s="2630"/>
      <c r="B99" s="568"/>
      <c r="C99" s="590"/>
      <c r="D99" s="590"/>
      <c r="E99" s="590"/>
      <c r="F99" s="590"/>
      <c r="G99" s="590"/>
      <c r="H99" s="590"/>
      <c r="I99" s="590"/>
      <c r="J99" s="590"/>
      <c r="K99" s="590"/>
      <c r="L99" s="590"/>
      <c r="M99" s="591"/>
      <c r="N99" s="1152"/>
      <c r="O99" s="1152"/>
      <c r="P99" s="2624"/>
      <c r="Q99" s="503"/>
    </row>
    <row r="100" spans="1:17">
      <c r="A100" s="526" t="s">
        <v>2511</v>
      </c>
      <c r="B100" s="527" t="s">
        <v>2559</v>
      </c>
      <c r="C100" s="2987" t="s">
        <v>3353</v>
      </c>
      <c r="D100" s="2987" t="s">
        <v>3354</v>
      </c>
      <c r="E100" s="2987" t="s">
        <v>3342</v>
      </c>
      <c r="F100" s="529"/>
      <c r="G100" s="529"/>
      <c r="H100" s="529"/>
      <c r="I100" s="529"/>
      <c r="J100" s="529"/>
      <c r="K100" s="530"/>
      <c r="L100" s="531"/>
      <c r="M100" s="532"/>
      <c r="N100" s="1151"/>
      <c r="O100" s="1151"/>
      <c r="P100" s="2624"/>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2"/>
      <c r="O101" s="1152"/>
      <c r="P101" s="2624"/>
      <c r="Q101" s="503"/>
    </row>
    <row r="102" spans="1:17" ht="29.25" thickTop="1">
      <c r="A102" s="533"/>
      <c r="B102" s="537" t="s">
        <v>2560</v>
      </c>
      <c r="C102" s="577" t="str">
        <f>C103&amp;"(含)"&amp;"-"&amp;D103</f>
        <v>0(含)-100000</v>
      </c>
      <c r="D102" s="577" t="str">
        <f t="shared" ref="D102:L102" si="27">D103&amp;"(含)"&amp;"-"&amp;E103</f>
        <v>100000(含)-200000</v>
      </c>
      <c r="E102" s="577" t="str">
        <f t="shared" si="27"/>
        <v>200000(含)-300000</v>
      </c>
      <c r="F102" s="577" t="str">
        <f t="shared" si="27"/>
        <v>300000(含)-400000</v>
      </c>
      <c r="G102" s="577" t="str">
        <f t="shared" si="27"/>
        <v>400000(含)-500000</v>
      </c>
      <c r="H102" s="577" t="str">
        <f t="shared" si="27"/>
        <v>500000(含)-</v>
      </c>
      <c r="I102" s="577" t="str">
        <f t="shared" si="27"/>
        <v>(含)-</v>
      </c>
      <c r="J102" s="577" t="str">
        <f t="shared" si="27"/>
        <v>(含)-</v>
      </c>
      <c r="K102" s="577" t="str">
        <f>K103&amp;"(含)"&amp;"-"&amp;L103</f>
        <v>(含)-</v>
      </c>
      <c r="L102" s="577" t="str">
        <f t="shared" si="27"/>
        <v>(含)-</v>
      </c>
      <c r="M102" s="577" t="str">
        <f>M103&amp;"(含)"&amp;"-"&amp;P103</f>
        <v>(含)-</v>
      </c>
      <c r="N102" s="1150"/>
      <c r="O102" s="1150"/>
      <c r="P102" s="2624"/>
      <c r="Q102" s="503"/>
    </row>
    <row r="103" spans="1:17" s="470" customFormat="1">
      <c r="A103" s="592"/>
      <c r="B103" s="593"/>
      <c r="C103" s="594">
        <v>0</v>
      </c>
      <c r="D103" s="594">
        <v>100000</v>
      </c>
      <c r="E103" s="594">
        <v>200000</v>
      </c>
      <c r="F103" s="594">
        <v>300000</v>
      </c>
      <c r="G103" s="594">
        <v>400000</v>
      </c>
      <c r="H103" s="594">
        <v>500000</v>
      </c>
      <c r="I103" s="594"/>
      <c r="J103" s="595"/>
      <c r="K103" s="595"/>
      <c r="L103" s="596"/>
      <c r="M103" s="597"/>
      <c r="N103" s="1153"/>
      <c r="O103" s="1153"/>
      <c r="P103" s="2625"/>
      <c r="Q103" s="558"/>
    </row>
    <row r="104" spans="1:17" s="470" customFormat="1" ht="15.75" thickBot="1">
      <c r="A104" s="552"/>
      <c r="B104" s="542"/>
      <c r="C104" s="559">
        <v>100</v>
      </c>
      <c r="D104" s="535">
        <v>101</v>
      </c>
      <c r="E104" s="535">
        <v>102</v>
      </c>
      <c r="F104" s="535">
        <v>103</v>
      </c>
      <c r="G104" s="535">
        <v>104</v>
      </c>
      <c r="H104" s="535">
        <v>105</v>
      </c>
      <c r="I104" s="535"/>
      <c r="J104" s="535"/>
      <c r="K104" s="535"/>
      <c r="L104" s="535"/>
      <c r="M104" s="535"/>
      <c r="N104" s="1152"/>
      <c r="O104" s="1152"/>
      <c r="P104" s="2625"/>
      <c r="Q104" s="558"/>
    </row>
    <row r="105" spans="1:17" ht="15" thickTop="1">
      <c r="A105" s="598"/>
      <c r="B105" s="537" t="s">
        <v>2561</v>
      </c>
      <c r="C105" s="2988" t="s">
        <v>3328</v>
      </c>
      <c r="D105" s="553"/>
      <c r="E105" s="582"/>
      <c r="F105" s="582"/>
      <c r="G105" s="582"/>
      <c r="H105" s="582"/>
      <c r="I105" s="582"/>
      <c r="J105" s="582"/>
      <c r="K105" s="583"/>
      <c r="L105" s="584"/>
      <c r="M105" s="585"/>
      <c r="N105" s="1151"/>
      <c r="O105" s="1151"/>
      <c r="P105" s="2624"/>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52"/>
      <c r="O106" s="1152"/>
      <c r="P106" s="2624"/>
      <c r="Q106" s="503"/>
    </row>
    <row r="107" spans="1:17" ht="15" thickTop="1">
      <c r="A107" s="598"/>
      <c r="B107" s="537" t="s">
        <v>2562</v>
      </c>
      <c r="C107" s="2989" t="s">
        <v>3330</v>
      </c>
      <c r="D107" s="2989" t="s">
        <v>3350</v>
      </c>
      <c r="E107" s="582"/>
      <c r="F107" s="582"/>
      <c r="G107" s="582"/>
      <c r="H107" s="582"/>
      <c r="I107" s="582"/>
      <c r="J107" s="582"/>
      <c r="K107" s="583"/>
      <c r="L107" s="584"/>
      <c r="M107" s="585"/>
      <c r="N107" s="1151"/>
      <c r="O107" s="1151"/>
      <c r="P107" s="2624"/>
      <c r="Q107" s="503"/>
    </row>
    <row r="108" spans="1:17" ht="15.75"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2"/>
      <c r="O108" s="1152"/>
      <c r="P108" s="2624"/>
      <c r="Q108" s="503"/>
    </row>
    <row r="109" spans="1:17" ht="15" thickTop="1">
      <c r="A109" s="598"/>
      <c r="B109" s="537" t="s">
        <v>2563</v>
      </c>
      <c r="C109" s="2988" t="s">
        <v>3332</v>
      </c>
      <c r="D109" s="553"/>
      <c r="E109" s="553"/>
      <c r="F109" s="582"/>
      <c r="G109" s="582"/>
      <c r="H109" s="582"/>
      <c r="I109" s="582"/>
      <c r="J109" s="582"/>
      <c r="K109" s="583"/>
      <c r="L109" s="584"/>
      <c r="M109" s="585"/>
      <c r="N109" s="1151"/>
      <c r="O109" s="1151"/>
      <c r="P109" s="2624"/>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52"/>
      <c r="O110" s="1152"/>
      <c r="P110" s="2624"/>
      <c r="Q110" s="503"/>
    </row>
    <row r="111" spans="1:17" s="470" customFormat="1" ht="15" thickTop="1">
      <c r="A111" s="592"/>
      <c r="B111" s="537" t="s">
        <v>1953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5"/>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25"/>
      <c r="Q113" s="558"/>
    </row>
    <row r="114" spans="1:17" ht="15" thickTop="1">
      <c r="A114" s="598"/>
      <c r="B114" s="537" t="s">
        <v>2564</v>
      </c>
      <c r="C114" s="2988" t="s">
        <v>3334</v>
      </c>
      <c r="D114" s="553"/>
      <c r="E114" s="582"/>
      <c r="F114" s="582"/>
      <c r="G114" s="582"/>
      <c r="H114" s="582"/>
      <c r="I114" s="582"/>
      <c r="J114" s="582"/>
      <c r="K114" s="583"/>
      <c r="L114" s="584"/>
      <c r="M114" s="585"/>
      <c r="N114" s="1151"/>
      <c r="O114" s="1151"/>
      <c r="P114" s="2624"/>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52"/>
      <c r="O115" s="1152"/>
      <c r="P115" s="2624"/>
      <c r="Q115" s="503"/>
    </row>
    <row r="116" spans="1:17" ht="15" thickTop="1">
      <c r="A116" s="598"/>
      <c r="B116" s="537" t="s">
        <v>2565</v>
      </c>
      <c r="C116" s="553" t="s">
        <v>3107</v>
      </c>
      <c r="D116" s="553" t="s">
        <v>3096</v>
      </c>
      <c r="E116" s="553" t="s">
        <v>3108</v>
      </c>
      <c r="F116" s="553" t="s">
        <v>3109</v>
      </c>
      <c r="G116" s="553" t="s">
        <v>3110</v>
      </c>
      <c r="H116" s="582"/>
      <c r="I116" s="582"/>
      <c r="J116" s="582"/>
      <c r="K116" s="583"/>
      <c r="L116" s="584"/>
      <c r="M116" s="585"/>
      <c r="N116" s="1151"/>
      <c r="O116" s="1151"/>
      <c r="P116" s="2624"/>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24"/>
      <c r="Q117" s="503"/>
    </row>
    <row r="118" spans="1:17" ht="15" thickTop="1">
      <c r="A118" s="598"/>
      <c r="B118" s="537" t="s">
        <v>2566</v>
      </c>
      <c r="C118" s="582" t="s">
        <v>3326</v>
      </c>
      <c r="D118" s="582"/>
      <c r="E118" s="582"/>
      <c r="F118" s="582"/>
      <c r="G118" s="582"/>
      <c r="H118" s="582"/>
      <c r="I118" s="582"/>
      <c r="J118" s="582"/>
      <c r="K118" s="583"/>
      <c r="L118" s="584"/>
      <c r="M118" s="585"/>
      <c r="N118" s="1151"/>
      <c r="O118" s="1151"/>
      <c r="P118" s="2624"/>
      <c r="Q118" s="503"/>
    </row>
    <row r="119" spans="1:17" ht="15.75" thickBot="1">
      <c r="A119" s="533"/>
      <c r="B119" s="542"/>
      <c r="C119" s="543">
        <v>100</v>
      </c>
      <c r="D119" s="543">
        <f t="shared" ref="D119:M119" si="32">C119-$K40</f>
        <v>99</v>
      </c>
      <c r="E119" s="543">
        <f t="shared" si="32"/>
        <v>98</v>
      </c>
      <c r="F119" s="543">
        <f t="shared" si="32"/>
        <v>97</v>
      </c>
      <c r="G119" s="543">
        <f t="shared" si="32"/>
        <v>96</v>
      </c>
      <c r="H119" s="543">
        <f t="shared" si="32"/>
        <v>95</v>
      </c>
      <c r="I119" s="543">
        <f t="shared" si="32"/>
        <v>94</v>
      </c>
      <c r="J119" s="543">
        <f t="shared" si="32"/>
        <v>93</v>
      </c>
      <c r="K119" s="543">
        <f t="shared" si="32"/>
        <v>92</v>
      </c>
      <c r="L119" s="543">
        <f t="shared" si="32"/>
        <v>91</v>
      </c>
      <c r="M119" s="543">
        <f t="shared" si="32"/>
        <v>90</v>
      </c>
      <c r="N119" s="1152"/>
      <c r="O119" s="1152"/>
      <c r="P119" s="2624"/>
      <c r="Q119" s="503"/>
    </row>
    <row r="120" spans="1:17" s="470" customFormat="1" ht="28.5" thickTop="1">
      <c r="A120" s="592"/>
      <c r="B120" s="537" t="s">
        <v>2522</v>
      </c>
      <c r="C120" s="553" t="s">
        <v>3326</v>
      </c>
      <c r="D120" s="553"/>
      <c r="E120" s="553"/>
      <c r="F120" s="553"/>
      <c r="G120" s="553"/>
      <c r="H120" s="553"/>
      <c r="I120" s="553"/>
      <c r="J120" s="553"/>
      <c r="K120" s="553"/>
      <c r="L120" s="579"/>
      <c r="M120" s="580"/>
      <c r="N120" s="1153"/>
      <c r="O120" s="1153"/>
      <c r="P120" s="2625"/>
      <c r="Q120" s="558"/>
    </row>
    <row r="121" spans="1:17" s="470" customFormat="1" ht="15.75" thickBot="1">
      <c r="A121" s="552"/>
      <c r="B121" s="534"/>
      <c r="C121" s="559">
        <v>100</v>
      </c>
      <c r="D121" s="535"/>
      <c r="E121" s="535"/>
      <c r="F121" s="535"/>
      <c r="G121" s="535"/>
      <c r="H121" s="535"/>
      <c r="I121" s="535"/>
      <c r="J121" s="535"/>
      <c r="K121" s="535"/>
      <c r="L121" s="535"/>
      <c r="M121" s="535"/>
      <c r="N121" s="1153"/>
      <c r="O121" s="1153"/>
      <c r="P121" s="2625"/>
      <c r="Q121" s="558"/>
    </row>
    <row r="122" spans="1:17" ht="15" thickTop="1">
      <c r="A122" s="598"/>
      <c r="B122" s="537" t="s">
        <v>2567</v>
      </c>
      <c r="C122" s="2988" t="s">
        <v>3332</v>
      </c>
      <c r="D122" s="2988" t="s">
        <v>3337</v>
      </c>
      <c r="E122" s="2988" t="s">
        <v>3338</v>
      </c>
      <c r="F122" s="2989" t="s">
        <v>3336</v>
      </c>
      <c r="G122" s="582"/>
      <c r="H122" s="582"/>
      <c r="I122" s="582"/>
      <c r="J122" s="582"/>
      <c r="K122" s="583"/>
      <c r="L122" s="584"/>
      <c r="M122" s="585"/>
      <c r="N122" s="1151"/>
      <c r="O122" s="1151"/>
      <c r="P122" s="2624"/>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2"/>
      <c r="O123" s="1152"/>
      <c r="P123" s="2624"/>
      <c r="Q123" s="503"/>
    </row>
    <row r="124" spans="1:17" ht="15" thickTop="1">
      <c r="A124" s="598"/>
      <c r="B124" s="537" t="s">
        <v>2568</v>
      </c>
      <c r="C124" s="577" t="s">
        <v>2544</v>
      </c>
      <c r="D124" s="577" t="s">
        <v>2545</v>
      </c>
      <c r="E124" s="577" t="s">
        <v>2546</v>
      </c>
      <c r="F124" s="577" t="s">
        <v>2547</v>
      </c>
      <c r="G124" s="577" t="s">
        <v>2548</v>
      </c>
      <c r="H124" s="538"/>
      <c r="I124" s="538"/>
      <c r="J124" s="538"/>
      <c r="K124" s="539"/>
      <c r="L124" s="540"/>
      <c r="M124" s="541"/>
      <c r="N124" s="1151"/>
      <c r="O124" s="1151"/>
      <c r="P124" s="2625"/>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24"/>
      <c r="Q125" s="503"/>
    </row>
    <row r="126" spans="1:17" s="470" customFormat="1" ht="15" thickTop="1">
      <c r="A126" s="592"/>
      <c r="B126" s="537">
        <f>B44</f>
        <v>0</v>
      </c>
      <c r="C126" s="553"/>
      <c r="D126" s="553"/>
      <c r="E126" s="553"/>
      <c r="F126" s="553"/>
      <c r="G126" s="553"/>
      <c r="H126" s="554"/>
      <c r="I126" s="554"/>
      <c r="J126" s="554"/>
      <c r="K126" s="554"/>
      <c r="L126" s="555"/>
      <c r="M126" s="556"/>
      <c r="N126" s="1153"/>
      <c r="O126" s="1153"/>
      <c r="P126" s="2625"/>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5"/>
      <c r="Q127" s="558"/>
    </row>
    <row r="128" spans="1:17" ht="15" thickTop="1">
      <c r="A128" s="598"/>
      <c r="B128" s="537">
        <f>B45</f>
        <v>0</v>
      </c>
      <c r="C128" s="553"/>
      <c r="D128" s="553"/>
      <c r="E128" s="553"/>
      <c r="F128" s="553"/>
      <c r="G128" s="582"/>
      <c r="H128" s="582"/>
      <c r="I128" s="582"/>
      <c r="J128" s="582"/>
      <c r="K128" s="583"/>
      <c r="L128" s="584"/>
      <c r="M128" s="585"/>
      <c r="N128" s="1151"/>
      <c r="O128" s="1151"/>
      <c r="P128" s="2624"/>
      <c r="Q128" s="503"/>
    </row>
    <row r="129" spans="1:17" ht="15.75" thickBot="1">
      <c r="A129" s="533"/>
      <c r="B129" s="542"/>
      <c r="C129" s="559"/>
      <c r="D129" s="559"/>
      <c r="E129" s="559"/>
      <c r="F129" s="559"/>
      <c r="G129" s="535"/>
      <c r="H129" s="535"/>
      <c r="I129" s="535"/>
      <c r="J129" s="535"/>
      <c r="K129" s="535"/>
      <c r="L129" s="535"/>
      <c r="M129" s="536"/>
      <c r="N129" s="1152"/>
      <c r="O129" s="1152"/>
      <c r="P129" s="2624"/>
      <c r="Q129" s="503"/>
    </row>
    <row r="130" spans="1:17" ht="15" thickTop="1">
      <c r="A130" s="598"/>
      <c r="B130" s="545">
        <f>B46</f>
        <v>0</v>
      </c>
      <c r="C130" s="553"/>
      <c r="D130" s="553"/>
      <c r="E130" s="553"/>
      <c r="F130" s="553"/>
      <c r="G130" s="586"/>
      <c r="H130" s="586"/>
      <c r="I130" s="586"/>
      <c r="J130" s="586"/>
      <c r="K130" s="522"/>
      <c r="L130" s="523"/>
      <c r="M130" s="589"/>
      <c r="N130" s="1151"/>
      <c r="O130" s="1151"/>
      <c r="P130" s="2624"/>
      <c r="Q130" s="503"/>
    </row>
    <row r="131" spans="1:17" ht="15.75" thickBot="1">
      <c r="A131" s="2630"/>
      <c r="B131" s="568"/>
      <c r="C131" s="569"/>
      <c r="D131" s="569"/>
      <c r="E131" s="569"/>
      <c r="F131" s="569"/>
      <c r="G131" s="590"/>
      <c r="H131" s="590"/>
      <c r="I131" s="590"/>
      <c r="J131" s="590"/>
      <c r="K131" s="590"/>
      <c r="L131" s="590"/>
      <c r="M131" s="591"/>
      <c r="N131" s="1152"/>
      <c r="O131" s="1152"/>
      <c r="P131" s="2624"/>
      <c r="Q131" s="503"/>
    </row>
    <row r="136" spans="1:17" ht="15" thickBot="1">
      <c r="B136" s="2631" t="s">
        <v>2569</v>
      </c>
    </row>
    <row r="137" spans="1:17" ht="15">
      <c r="B137" s="2632" t="s">
        <v>2570</v>
      </c>
      <c r="C137" s="2633"/>
      <c r="D137" s="2633"/>
      <c r="E137" s="2633"/>
      <c r="F137" s="2633"/>
      <c r="G137" s="2634"/>
      <c r="H137" s="2635"/>
      <c r="I137" s="2636" t="s">
        <v>2571</v>
      </c>
      <c r="J137" s="2633"/>
      <c r="K137" s="2637"/>
    </row>
    <row r="138" spans="1:17" ht="15">
      <c r="B138" s="2638"/>
      <c r="C138" s="145" t="s">
        <v>2572</v>
      </c>
      <c r="D138" s="145" t="s">
        <v>2573</v>
      </c>
      <c r="E138" s="2639" t="s">
        <v>2574</v>
      </c>
      <c r="F138" s="2640" t="s">
        <v>2575</v>
      </c>
      <c r="G138" s="145" t="s">
        <v>2573</v>
      </c>
      <c r="H138" s="146" t="s">
        <v>2574</v>
      </c>
      <c r="I138" s="2641"/>
      <c r="J138" s="145" t="s">
        <v>2576</v>
      </c>
      <c r="K138" s="146" t="s">
        <v>2577</v>
      </c>
    </row>
    <row r="139" spans="1:17" ht="15">
      <c r="B139" s="1083">
        <v>6</v>
      </c>
      <c r="C139" s="1084">
        <v>96</v>
      </c>
      <c r="D139" s="2642" t="s">
        <v>2578</v>
      </c>
      <c r="E139" s="1085">
        <v>100</v>
      </c>
      <c r="F139" s="1086">
        <v>102.5</v>
      </c>
      <c r="G139" s="2642" t="s">
        <v>2578</v>
      </c>
      <c r="H139" s="1087">
        <v>105</v>
      </c>
      <c r="I139" s="2643" t="s">
        <v>2579</v>
      </c>
      <c r="J139" s="1084">
        <v>20</v>
      </c>
      <c r="K139" s="1088">
        <f>C145/(J139-2)</f>
        <v>4.0555555555555553E-3</v>
      </c>
    </row>
    <row r="140" spans="1:17" ht="15">
      <c r="B140" s="1089">
        <v>5</v>
      </c>
      <c r="C140" s="1090">
        <v>100</v>
      </c>
      <c r="D140" s="1090"/>
      <c r="E140" s="1091"/>
      <c r="F140" s="1092">
        <v>102</v>
      </c>
      <c r="G140" s="1090"/>
      <c r="H140" s="1093"/>
      <c r="I140" s="2644" t="s">
        <v>2580</v>
      </c>
      <c r="J140" s="314">
        <f>ROUNDUP((J139-1)/2,0)</f>
        <v>10</v>
      </c>
      <c r="K140" s="1094">
        <v>100</v>
      </c>
    </row>
    <row r="141" spans="1:17" ht="15">
      <c r="B141" s="1089">
        <v>4</v>
      </c>
      <c r="C141" s="1090">
        <v>102</v>
      </c>
      <c r="D141" s="1090"/>
      <c r="E141" s="1091"/>
      <c r="F141" s="1092">
        <v>101.5</v>
      </c>
      <c r="G141" s="1090"/>
      <c r="H141" s="1093"/>
      <c r="I141" s="2644" t="s">
        <v>2581</v>
      </c>
      <c r="J141" s="314">
        <v>1</v>
      </c>
      <c r="K141" s="1095">
        <f>ROUND(100+(J141-J140)*K139*100,1)</f>
        <v>96.4</v>
      </c>
    </row>
    <row r="142" spans="1:17" ht="15">
      <c r="B142" s="1089">
        <v>3</v>
      </c>
      <c r="C142" s="1090">
        <v>103</v>
      </c>
      <c r="D142" s="1090"/>
      <c r="E142" s="1091"/>
      <c r="F142" s="1092">
        <v>101</v>
      </c>
      <c r="G142" s="1090"/>
      <c r="H142" s="1093"/>
      <c r="I142" s="2644" t="s">
        <v>2582</v>
      </c>
      <c r="J142" s="314">
        <f>J139</f>
        <v>20</v>
      </c>
      <c r="K142" s="1096">
        <v>95</v>
      </c>
    </row>
    <row r="143" spans="1:17" ht="15">
      <c r="B143" s="1089">
        <v>2</v>
      </c>
      <c r="C143" s="1090">
        <v>100</v>
      </c>
      <c r="D143" s="1090"/>
      <c r="E143" s="1091"/>
      <c r="F143" s="1092">
        <v>100.5</v>
      </c>
      <c r="G143" s="1090"/>
      <c r="H143" s="1093"/>
      <c r="I143" s="2644" t="s">
        <v>2583</v>
      </c>
      <c r="J143" s="1090">
        <v>15</v>
      </c>
      <c r="K143" s="1095">
        <f>ROUND(100+(J143-J140)*K139*100,1)</f>
        <v>102</v>
      </c>
    </row>
    <row r="144" spans="1:17" ht="15">
      <c r="B144" s="1089">
        <v>1</v>
      </c>
      <c r="C144" s="1090">
        <v>98</v>
      </c>
      <c r="D144" s="2645" t="s">
        <v>2584</v>
      </c>
      <c r="E144" s="1091">
        <v>102</v>
      </c>
      <c r="F144" s="1097">
        <v>100</v>
      </c>
      <c r="G144" s="2645" t="s">
        <v>2584</v>
      </c>
      <c r="H144" s="1093">
        <v>105</v>
      </c>
      <c r="I144" s="2644" t="s">
        <v>2583</v>
      </c>
      <c r="J144" s="1090">
        <v>18</v>
      </c>
      <c r="K144" s="1095">
        <f>ROUND(100+(J144-J140)*K139*100,1)</f>
        <v>103.2</v>
      </c>
    </row>
    <row r="145" spans="2:11" ht="15.75" thickBot="1">
      <c r="B145" s="2646" t="s">
        <v>2585</v>
      </c>
      <c r="C145" s="1098">
        <f>ROUND(MAX(C139:C144)/MIN(C139:C144)-1,3)</f>
        <v>7.2999999999999995E-2</v>
      </c>
      <c r="D145" s="1099"/>
      <c r="E145" s="1099"/>
      <c r="F145" s="2647" t="s">
        <v>2586</v>
      </c>
      <c r="G145" s="2648"/>
      <c r="H145" s="2649"/>
      <c r="I145" s="2650" t="s">
        <v>2583</v>
      </c>
      <c r="J145" s="1100">
        <v>8</v>
      </c>
      <c r="K145" s="1101">
        <f>ROUND(100+(J145-J140)*K139*100,1)</f>
        <v>99.2</v>
      </c>
    </row>
    <row r="147" spans="2:11">
      <c r="B147" s="2631" t="s">
        <v>2587</v>
      </c>
    </row>
    <row r="148" spans="2:11">
      <c r="B148" s="2631" t="s">
        <v>2588</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628" priority="14" stopIfTrue="1" operator="containsText" text="超过">
      <formula>NOT(ISERROR(SEARCH("超过",F52)))</formula>
    </cfRule>
  </conditionalFormatting>
  <conditionalFormatting sqref="J54">
    <cfRule type="containsText" dxfId="627" priority="13" stopIfTrue="1" operator="containsText" text="超过">
      <formula>NOT(ISERROR(SEARCH("超过",J54)))</formula>
    </cfRule>
  </conditionalFormatting>
  <conditionalFormatting sqref="H54">
    <cfRule type="containsText" dxfId="626" priority="12" stopIfTrue="1" operator="containsText" text="超过">
      <formula>NOT(ISERROR(SEARCH("超过",H54)))</formula>
    </cfRule>
  </conditionalFormatting>
  <conditionalFormatting sqref="F54">
    <cfRule type="containsText" dxfId="625" priority="11" stopIfTrue="1" operator="containsText" text="超过">
      <formula>NOT(ISERROR(SEARCH("超过",F54)))</formula>
    </cfRule>
  </conditionalFormatting>
  <conditionalFormatting sqref="F53 H53 J53">
    <cfRule type="containsText" dxfId="624" priority="10" stopIfTrue="1" operator="containsText" text="超过">
      <formula>NOT(ISERROR(SEARCH("超过",F53)))</formula>
    </cfRule>
  </conditionalFormatting>
  <conditionalFormatting sqref="E52">
    <cfRule type="expression" dxfId="623" priority="9" stopIfTrue="1">
      <formula>$F$52="超过30%"</formula>
    </cfRule>
  </conditionalFormatting>
  <conditionalFormatting sqref="G54">
    <cfRule type="expression" dxfId="622" priority="8" stopIfTrue="1">
      <formula>$H$54="超过30%"</formula>
    </cfRule>
  </conditionalFormatting>
  <conditionalFormatting sqref="E53">
    <cfRule type="expression" dxfId="621" priority="7" stopIfTrue="1">
      <formula>$F$53="超过20%"</formula>
    </cfRule>
  </conditionalFormatting>
  <conditionalFormatting sqref="E54">
    <cfRule type="expression" dxfId="620" priority="6" stopIfTrue="1">
      <formula>$F$54="超过30%"</formula>
    </cfRule>
  </conditionalFormatting>
  <conditionalFormatting sqref="G52">
    <cfRule type="expression" dxfId="619" priority="5" stopIfTrue="1">
      <formula>$H$52="超过30%"</formula>
    </cfRule>
  </conditionalFormatting>
  <conditionalFormatting sqref="G53">
    <cfRule type="expression" dxfId="618" priority="4" stopIfTrue="1">
      <formula>$H$53="超过20%"</formula>
    </cfRule>
  </conditionalFormatting>
  <conditionalFormatting sqref="I52">
    <cfRule type="expression" dxfId="617" priority="3" stopIfTrue="1">
      <formula>$J$52="超过30%"</formula>
    </cfRule>
  </conditionalFormatting>
  <conditionalFormatting sqref="I53">
    <cfRule type="expression" dxfId="616" priority="2" stopIfTrue="1">
      <formula>$J$53="超过20%"</formula>
    </cfRule>
  </conditionalFormatting>
  <conditionalFormatting sqref="I54">
    <cfRule type="expression" dxfId="6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6" zoomScale="90" zoomScaleNormal="90" workbookViewId="0">
      <selection activeCell="M21" sqref="M21"/>
    </sheetView>
  </sheetViews>
  <sheetFormatPr defaultRowHeight="14.25"/>
  <cols>
    <col min="1" max="1" width="10.5" style="402" customWidth="1"/>
    <col min="2" max="2" width="15.75" style="402" customWidth="1"/>
    <col min="3" max="3" width="14.875" style="402" customWidth="1"/>
    <col min="4" max="4" width="12.25" style="402" customWidth="1"/>
    <col min="5" max="5" width="15.8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2476</v>
      </c>
      <c r="B1" s="2577" t="s">
        <v>2477</v>
      </c>
      <c r="C1" s="1632" t="s">
        <v>2478</v>
      </c>
      <c r="D1" s="1619" t="s">
        <v>3061</v>
      </c>
      <c r="E1" s="2578"/>
      <c r="F1" s="2579" t="s">
        <v>2479</v>
      </c>
      <c r="G1" s="1629" t="s">
        <v>2480</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2" customFormat="1" ht="28.5" customHeight="1" thickTop="1">
      <c r="A2" s="2994" t="s">
        <v>1386</v>
      </c>
      <c r="B2" s="1417">
        <f>IF(C2="——",ROUND(C49*D3/10000,0),ROUND(C49*D3/10000,0)-D2)</f>
        <v>49762</v>
      </c>
      <c r="C2" s="2995" t="s">
        <v>70</v>
      </c>
      <c r="D2" s="1364" t="e">
        <f ca="1">SUMIF(INDIRECT("'"&amp;F2&amp;"'"&amp;"!A:A"),"承租人权益价值",INDIRECT("'"&amp;F2&amp;"'"&amp;"!c:c"))</f>
        <v>#REF!</v>
      </c>
      <c r="E2" s="2996" t="s">
        <v>2481</v>
      </c>
      <c r="F2" s="2997"/>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2" customFormat="1" ht="28.5" customHeight="1" thickBot="1">
      <c r="A3" s="2993" t="s">
        <v>1387</v>
      </c>
      <c r="B3" s="398">
        <f>IF(C2="——",C49,ROUND(B2*10000/D3,0))</f>
        <v>24548</v>
      </c>
      <c r="C3" s="399" t="s">
        <v>2482</v>
      </c>
      <c r="D3" s="398">
        <f>IF(D1="",'数据-汇总表'!E3,SUMIF('数据-汇总表'!$C19:$C33,D1,'数据-汇总表'!$E19:$E33))</f>
        <v>20271.22</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5">
      <c r="A4" s="400" t="s">
        <v>2483</v>
      </c>
      <c r="B4" s="401"/>
      <c r="C4" s="3222" t="s">
        <v>2484</v>
      </c>
      <c r="D4" s="3223"/>
      <c r="E4" s="3224" t="s">
        <v>2485</v>
      </c>
      <c r="F4" s="3225"/>
      <c r="G4" s="3222" t="s">
        <v>2486</v>
      </c>
      <c r="H4" s="3223"/>
      <c r="I4" s="3222" t="s">
        <v>2487</v>
      </c>
      <c r="J4" s="3223"/>
      <c r="K4" s="2591" t="s">
        <v>2488</v>
      </c>
      <c r="L4" s="1129"/>
      <c r="M4" s="1130"/>
      <c r="N4" s="1130"/>
      <c r="O4" s="1130"/>
      <c r="P4" s="3226" t="s">
        <v>2489</v>
      </c>
      <c r="Q4" s="3227"/>
      <c r="R4" s="3208" t="s">
        <v>2485</v>
      </c>
      <c r="S4" s="3209"/>
      <c r="T4" s="3208" t="s">
        <v>2486</v>
      </c>
      <c r="U4" s="3209"/>
      <c r="V4" s="3234" t="s">
        <v>2487</v>
      </c>
      <c r="W4" s="3234"/>
      <c r="X4" s="2942"/>
      <c r="Y4" s="3208" t="s">
        <v>2489</v>
      </c>
      <c r="Z4" s="3209"/>
      <c r="AA4" s="3203" t="s">
        <v>2485</v>
      </c>
      <c r="AB4" s="3203" t="s">
        <v>2486</v>
      </c>
      <c r="AC4" s="3203" t="s">
        <v>2487</v>
      </c>
    </row>
    <row r="5" spans="1:29" ht="15">
      <c r="A5" s="403"/>
      <c r="B5" s="404"/>
      <c r="C5" s="3214" t="s">
        <v>3340</v>
      </c>
      <c r="D5" s="3215"/>
      <c r="E5" s="3258" t="s">
        <v>3359</v>
      </c>
      <c r="F5" s="3213"/>
      <c r="G5" s="3214" t="s">
        <v>3366</v>
      </c>
      <c r="H5" s="3215"/>
      <c r="I5" s="3214" t="s">
        <v>3367</v>
      </c>
      <c r="J5" s="3215"/>
      <c r="K5" s="2592"/>
      <c r="L5" s="1129"/>
      <c r="M5" s="1130"/>
      <c r="N5" s="1130"/>
      <c r="O5" s="1130"/>
      <c r="P5" s="3228"/>
      <c r="Q5" s="3229"/>
      <c r="R5" s="3210"/>
      <c r="S5" s="3211"/>
      <c r="T5" s="3210"/>
      <c r="U5" s="3211"/>
      <c r="V5" s="3234"/>
      <c r="W5" s="3234"/>
      <c r="X5" s="2942"/>
      <c r="Y5" s="3210"/>
      <c r="Z5" s="3211"/>
      <c r="AA5" s="3204"/>
      <c r="AB5" s="3204"/>
      <c r="AC5" s="3204"/>
    </row>
    <row r="6" spans="1:29" ht="15.75" thickBot="1">
      <c r="A6" s="405"/>
      <c r="B6" s="406"/>
      <c r="C6" s="3216" t="s">
        <v>2494</v>
      </c>
      <c r="D6" s="3217"/>
      <c r="E6" s="3219" t="s">
        <v>2494</v>
      </c>
      <c r="F6" s="3220"/>
      <c r="G6" s="3216" t="s">
        <v>2494</v>
      </c>
      <c r="H6" s="3217"/>
      <c r="I6" s="3216" t="s">
        <v>2494</v>
      </c>
      <c r="J6" s="3217"/>
      <c r="K6" s="2592" t="s">
        <v>2495</v>
      </c>
      <c r="L6" s="1129"/>
      <c r="M6" s="1130"/>
      <c r="N6" s="1130"/>
      <c r="O6" s="1130"/>
      <c r="P6" s="3230"/>
      <c r="Q6" s="3231"/>
      <c r="R6" s="3210"/>
      <c r="S6" s="3211"/>
      <c r="T6" s="3232"/>
      <c r="U6" s="3233"/>
      <c r="V6" s="3234"/>
      <c r="W6" s="3234"/>
      <c r="X6" s="2942"/>
      <c r="Y6" s="3232"/>
      <c r="Z6" s="3233"/>
      <c r="AA6" s="3205"/>
      <c r="AB6" s="3205"/>
      <c r="AC6" s="3205"/>
    </row>
    <row r="7" spans="1:29" s="117" customFormat="1" ht="15.75" thickBot="1">
      <c r="A7" s="407" t="s">
        <v>2496</v>
      </c>
      <c r="B7" s="408"/>
      <c r="C7" s="409">
        <f>'数据-取费表'!B2</f>
        <v>43452</v>
      </c>
      <c r="D7" s="410">
        <v>100</v>
      </c>
      <c r="E7" s="411">
        <f>C7</f>
        <v>43452</v>
      </c>
      <c r="F7" s="412">
        <f>SUMIF(58:58,YEAR(E7)&amp;"-"&amp;MONTH(E7),59:59)</f>
        <v>100</v>
      </c>
      <c r="G7" s="411">
        <f>C7</f>
        <v>43452</v>
      </c>
      <c r="H7" s="410">
        <f>SUMIF(58:58,YEAR(G7)&amp;"-"&amp;MONTH(G7),59:59)</f>
        <v>100</v>
      </c>
      <c r="I7" s="411">
        <f>C7</f>
        <v>43452</v>
      </c>
      <c r="J7" s="410">
        <f>SUMIF(58:58,YEAR(I7)&amp;"-"&amp;MONTH(I7),59:59)</f>
        <v>100</v>
      </c>
      <c r="K7" s="2593"/>
      <c r="L7" s="1131"/>
      <c r="M7" s="1132"/>
      <c r="N7" s="1132"/>
      <c r="O7" s="1132"/>
      <c r="P7" s="3206" t="s">
        <v>2497</v>
      </c>
      <c r="Q7" s="3235"/>
      <c r="R7" s="769" t="s">
        <v>23</v>
      </c>
      <c r="S7" s="770">
        <f t="shared" ref="S7:S15" si="0">F7</f>
        <v>100</v>
      </c>
      <c r="T7" s="769" t="s">
        <v>23</v>
      </c>
      <c r="U7" s="770">
        <f t="shared" ref="U7:U15" si="1">H7</f>
        <v>100</v>
      </c>
      <c r="V7" s="769" t="s">
        <v>23</v>
      </c>
      <c r="W7" s="770">
        <f t="shared" ref="W7:W15" si="2">J7</f>
        <v>100</v>
      </c>
      <c r="X7" s="771"/>
      <c r="Y7" s="3206" t="s">
        <v>2497</v>
      </c>
      <c r="Z7" s="3207"/>
      <c r="AA7" s="772">
        <f>D7/F7</f>
        <v>1</v>
      </c>
      <c r="AB7" s="772">
        <f>D7/H7</f>
        <v>1</v>
      </c>
      <c r="AC7" s="772">
        <f>D7/J7</f>
        <v>1</v>
      </c>
    </row>
    <row r="8" spans="1:29" s="117" customFormat="1" ht="15.75" thickBot="1">
      <c r="A8" s="407" t="s">
        <v>2498</v>
      </c>
      <c r="B8" s="408"/>
      <c r="C8" s="413" t="s">
        <v>2499</v>
      </c>
      <c r="D8" s="410">
        <v>100</v>
      </c>
      <c r="E8" s="2594" t="s">
        <v>3309</v>
      </c>
      <c r="F8" s="412">
        <f>SUMIF(61:61,E8,62:62)-SUMIF(61:61,C8,62:62)+100</f>
        <v>100</v>
      </c>
      <c r="G8" s="413" t="s">
        <v>3309</v>
      </c>
      <c r="H8" s="410">
        <f>SUMIF(61:61,G8,62:62)-SUMIF(61:61,C8,62:62)+100</f>
        <v>100</v>
      </c>
      <c r="I8" s="413" t="s">
        <v>3309</v>
      </c>
      <c r="J8" s="410">
        <f>SUMIF(61:61,I8,62:62)-SUMIF(61:61,C8,62:62)+100</f>
        <v>100</v>
      </c>
      <c r="K8" s="2593"/>
      <c r="L8" s="1131"/>
      <c r="M8" s="1132"/>
      <c r="N8" s="1132"/>
      <c r="O8" s="1132"/>
      <c r="P8" s="3206" t="s">
        <v>2500</v>
      </c>
      <c r="Q8" s="3207"/>
      <c r="R8" s="769" t="s">
        <v>23</v>
      </c>
      <c r="S8" s="770">
        <f t="shared" si="0"/>
        <v>100</v>
      </c>
      <c r="T8" s="769" t="s">
        <v>23</v>
      </c>
      <c r="U8" s="770">
        <f t="shared" si="1"/>
        <v>100</v>
      </c>
      <c r="V8" s="769" t="s">
        <v>23</v>
      </c>
      <c r="W8" s="770">
        <f t="shared" si="2"/>
        <v>100</v>
      </c>
      <c r="X8" s="771"/>
      <c r="Y8" s="3206" t="s">
        <v>2500</v>
      </c>
      <c r="Z8" s="3207"/>
      <c r="AA8" s="772">
        <f t="shared" ref="AA8:AA19" si="3">D8/F8</f>
        <v>1</v>
      </c>
      <c r="AB8" s="772">
        <f t="shared" ref="AB8:AB19" si="4">D8/H8</f>
        <v>1</v>
      </c>
      <c r="AC8" s="772">
        <f t="shared" ref="AC8:AC19" si="5">D8/J8</f>
        <v>1</v>
      </c>
    </row>
    <row r="9" spans="1:29" s="117" customFormat="1">
      <c r="A9" s="414" t="s">
        <v>2501</v>
      </c>
      <c r="B9" s="71" t="s">
        <v>2502</v>
      </c>
      <c r="C9" s="3004" t="s">
        <v>3325</v>
      </c>
      <c r="D9" s="134">
        <v>100</v>
      </c>
      <c r="E9" s="416" t="s">
        <v>3003</v>
      </c>
      <c r="F9" s="417">
        <f>SUMIF(63:63,E9,64:64)-SUMIF(63:63,C9,64:64)+100</f>
        <v>100</v>
      </c>
      <c r="G9" s="418" t="s">
        <v>3003</v>
      </c>
      <c r="H9" s="134">
        <f>SUMIF(63:63,G9,64:64)-SUMIF(63:63,C9,64:64)+100</f>
        <v>100</v>
      </c>
      <c r="I9" s="418" t="s">
        <v>3003</v>
      </c>
      <c r="J9" s="134">
        <f>SUMIF(63:63,I9,64:64)-SUMIF(63:63,C9,64:64)+100</f>
        <v>100</v>
      </c>
      <c r="K9" s="2593"/>
      <c r="L9" s="1131"/>
      <c r="M9" s="1132"/>
      <c r="N9" s="1132"/>
      <c r="O9" s="1132"/>
      <c r="P9" s="3245" t="s">
        <v>2503</v>
      </c>
      <c r="Q9" s="2938" t="str">
        <f t="shared" ref="Q9:Q15" si="6">B9</f>
        <v>用途</v>
      </c>
      <c r="R9" s="769" t="s">
        <v>17</v>
      </c>
      <c r="S9" s="770">
        <f t="shared" si="0"/>
        <v>100</v>
      </c>
      <c r="T9" s="769" t="s">
        <v>17</v>
      </c>
      <c r="U9" s="770">
        <f t="shared" si="1"/>
        <v>100</v>
      </c>
      <c r="V9" s="769" t="s">
        <v>17</v>
      </c>
      <c r="W9" s="770">
        <f t="shared" si="2"/>
        <v>100</v>
      </c>
      <c r="X9" s="771"/>
      <c r="Y9" s="3083" t="s">
        <v>2504</v>
      </c>
      <c r="Z9" s="2939" t="str">
        <f t="shared" ref="Z9:Z15" si="7">Q9</f>
        <v>用途</v>
      </c>
      <c r="AA9" s="772">
        <f t="shared" si="3"/>
        <v>1</v>
      </c>
      <c r="AB9" s="772">
        <f t="shared" si="4"/>
        <v>1</v>
      </c>
      <c r="AC9" s="772">
        <f t="shared" si="5"/>
        <v>1</v>
      </c>
    </row>
    <row r="10" spans="1:29" s="426" customFormat="1" ht="27">
      <c r="A10" s="420"/>
      <c r="B10" s="2941" t="s">
        <v>2505</v>
      </c>
      <c r="C10" s="422" t="s">
        <v>3339</v>
      </c>
      <c r="D10" s="135">
        <v>100</v>
      </c>
      <c r="E10" s="423" t="s">
        <v>3339</v>
      </c>
      <c r="F10" s="424">
        <f>SUMIF(65:65,E10,66:66)-SUMIF(65:65,C10,66:66)+100</f>
        <v>100</v>
      </c>
      <c r="G10" s="422" t="s">
        <v>3339</v>
      </c>
      <c r="H10" s="135">
        <f>SUMIF(65:65,G10,66:66)-SUMIF(65:65,C10,66:66)+100</f>
        <v>100</v>
      </c>
      <c r="I10" s="422" t="s">
        <v>3339</v>
      </c>
      <c r="J10" s="135">
        <f>SUMIF(65:65,I10,66:66)-SUMIF(65:65,C10,66:66)+100</f>
        <v>100</v>
      </c>
      <c r="K10" s="425">
        <v>1</v>
      </c>
      <c r="L10" s="1134"/>
      <c r="M10" s="1135"/>
      <c r="N10" s="1135"/>
      <c r="O10" s="1135"/>
      <c r="P10" s="3245"/>
      <c r="Q10" s="2938" t="str">
        <f t="shared" si="6"/>
        <v>土地使用年限（年）</v>
      </c>
      <c r="R10" s="769" t="s">
        <v>17</v>
      </c>
      <c r="S10" s="770">
        <f t="shared" si="0"/>
        <v>100</v>
      </c>
      <c r="T10" s="769" t="s">
        <v>17</v>
      </c>
      <c r="U10" s="770">
        <f t="shared" si="1"/>
        <v>100</v>
      </c>
      <c r="V10" s="769" t="s">
        <v>17</v>
      </c>
      <c r="W10" s="770">
        <f t="shared" si="2"/>
        <v>100</v>
      </c>
      <c r="X10" s="771"/>
      <c r="Y10" s="3083"/>
      <c r="Z10" s="2939" t="str">
        <f t="shared" si="7"/>
        <v>土地使用年限（年）</v>
      </c>
      <c r="AA10" s="772">
        <f t="shared" si="3"/>
        <v>1</v>
      </c>
      <c r="AB10" s="772">
        <f t="shared" si="4"/>
        <v>1</v>
      </c>
      <c r="AC10" s="772">
        <f t="shared" si="5"/>
        <v>1</v>
      </c>
    </row>
    <row r="11" spans="1:29" ht="15">
      <c r="A11" s="427"/>
      <c r="B11" s="2941" t="s">
        <v>2506</v>
      </c>
      <c r="C11" s="428">
        <f>'比较法-高层含阁楼'!C11</f>
        <v>1.52</v>
      </c>
      <c r="D11" s="135">
        <v>100</v>
      </c>
      <c r="E11" s="429">
        <v>2.5</v>
      </c>
      <c r="F11" s="424">
        <f>LOOKUP(E11,68:68,69:69)-LOOKUP(C11,68:68,69:69)+100</f>
        <v>94</v>
      </c>
      <c r="G11" s="428">
        <v>1.88</v>
      </c>
      <c r="H11" s="135">
        <f>LOOKUP(G11,68:68,69:69)-LOOKUP(C11,68:68,69:69)+100</f>
        <v>100</v>
      </c>
      <c r="I11" s="428">
        <v>2.1</v>
      </c>
      <c r="J11" s="135">
        <f>LOOKUP(I11,68:68,69:69)-LOOKUP(C11,68:68,69:69)+100</f>
        <v>97</v>
      </c>
      <c r="K11" s="425">
        <v>3</v>
      </c>
      <c r="L11" s="1137"/>
      <c r="M11" s="1130"/>
      <c r="N11" s="1130"/>
      <c r="O11" s="1130"/>
      <c r="P11" s="3245"/>
      <c r="Q11" s="2938" t="str">
        <f t="shared" si="6"/>
        <v>容积率</v>
      </c>
      <c r="R11" s="769" t="s">
        <v>21</v>
      </c>
      <c r="S11" s="770">
        <f t="shared" si="0"/>
        <v>94</v>
      </c>
      <c r="T11" s="769" t="s">
        <v>21</v>
      </c>
      <c r="U11" s="770">
        <f t="shared" si="1"/>
        <v>100</v>
      </c>
      <c r="V11" s="769" t="s">
        <v>21</v>
      </c>
      <c r="W11" s="770">
        <f t="shared" si="2"/>
        <v>97</v>
      </c>
      <c r="X11" s="771"/>
      <c r="Y11" s="3083"/>
      <c r="Z11" s="2939" t="str">
        <f t="shared" si="7"/>
        <v>容积率</v>
      </c>
      <c r="AA11" s="772">
        <f t="shared" si="3"/>
        <v>1.0638297872340425</v>
      </c>
      <c r="AB11" s="772">
        <f t="shared" si="4"/>
        <v>1</v>
      </c>
      <c r="AC11" s="772">
        <f t="shared" si="5"/>
        <v>1.0309278350515463</v>
      </c>
    </row>
    <row r="12" spans="1:29" s="117" customFormat="1" ht="15">
      <c r="A12" s="430"/>
      <c r="B12" s="2595"/>
      <c r="C12" s="431"/>
      <c r="D12" s="432">
        <v>100</v>
      </c>
      <c r="E12" s="431"/>
      <c r="F12" s="424">
        <f>SUMIF(70:70,E12,71:71)-SUMIF(70:70,C12,71:71)+100</f>
        <v>100</v>
      </c>
      <c r="G12" s="431"/>
      <c r="H12" s="135">
        <f>SUMIF(70:70,G12,71:71)-SUMIF(70:70,C12,71:71)+100</f>
        <v>100</v>
      </c>
      <c r="I12" s="431"/>
      <c r="J12" s="135">
        <f>SUMIF(70:70,I12,71:71)-SUMIF(70:70,C12,71:71)+100</f>
        <v>100</v>
      </c>
      <c r="K12" s="2596"/>
      <c r="L12" s="1131"/>
      <c r="M12" s="1132"/>
      <c r="N12" s="1132"/>
      <c r="O12" s="1132"/>
      <c r="P12" s="3245"/>
      <c r="Q12" s="2938">
        <f t="shared" si="6"/>
        <v>0</v>
      </c>
      <c r="R12" s="769" t="s">
        <v>21</v>
      </c>
      <c r="S12" s="770">
        <f t="shared" si="0"/>
        <v>100</v>
      </c>
      <c r="T12" s="769" t="s">
        <v>21</v>
      </c>
      <c r="U12" s="770">
        <f t="shared" si="1"/>
        <v>100</v>
      </c>
      <c r="V12" s="769" t="s">
        <v>21</v>
      </c>
      <c r="W12" s="770">
        <f t="shared" si="2"/>
        <v>100</v>
      </c>
      <c r="X12" s="771"/>
      <c r="Y12" s="3083"/>
      <c r="Z12" s="2939">
        <f t="shared" si="7"/>
        <v>0</v>
      </c>
      <c r="AA12" s="772">
        <f>D12/F12</f>
        <v>1</v>
      </c>
      <c r="AB12" s="772">
        <f>D12/H12</f>
        <v>1</v>
      </c>
      <c r="AC12" s="772">
        <f>D12/J12</f>
        <v>1</v>
      </c>
    </row>
    <row r="13" spans="1:29" ht="15">
      <c r="A13" s="427"/>
      <c r="B13" s="2595"/>
      <c r="C13" s="433"/>
      <c r="D13" s="434">
        <v>100</v>
      </c>
      <c r="E13" s="433"/>
      <c r="F13" s="424">
        <f>SUMIF(72:72,E13,73:73)-SUMIF(72:72,C13,73:73)+100</f>
        <v>100</v>
      </c>
      <c r="G13" s="433"/>
      <c r="H13" s="434">
        <f>SUMIF(72:72,G13,73:73)-SUMIF(72:72,C13,73:73)+100</f>
        <v>100</v>
      </c>
      <c r="I13" s="433"/>
      <c r="J13" s="434">
        <f>SUMIF(72:72,I13,73:73)-SUMIF(72:72,C13,73:73)+100</f>
        <v>100</v>
      </c>
      <c r="K13" s="2596"/>
      <c r="L13" s="1139"/>
      <c r="M13" s="1130"/>
      <c r="N13" s="1130"/>
      <c r="O13" s="1130"/>
      <c r="P13" s="3245"/>
      <c r="Q13" s="2938">
        <f t="shared" si="6"/>
        <v>0</v>
      </c>
      <c r="R13" s="769" t="s">
        <v>21</v>
      </c>
      <c r="S13" s="770">
        <f t="shared" si="0"/>
        <v>100</v>
      </c>
      <c r="T13" s="769" t="s">
        <v>21</v>
      </c>
      <c r="U13" s="770">
        <f t="shared" si="1"/>
        <v>100</v>
      </c>
      <c r="V13" s="769" t="s">
        <v>21</v>
      </c>
      <c r="W13" s="770">
        <f t="shared" si="2"/>
        <v>100</v>
      </c>
      <c r="X13" s="771"/>
      <c r="Y13" s="3083"/>
      <c r="Z13" s="2939">
        <f t="shared" si="7"/>
        <v>0</v>
      </c>
      <c r="AA13" s="772">
        <f t="shared" si="3"/>
        <v>1</v>
      </c>
      <c r="AB13" s="772">
        <f t="shared" si="4"/>
        <v>1</v>
      </c>
      <c r="AC13" s="772">
        <f t="shared" si="5"/>
        <v>1</v>
      </c>
    </row>
    <row r="14" spans="1:29" ht="15.75" thickBot="1">
      <c r="A14" s="435"/>
      <c r="B14" s="2597"/>
      <c r="C14" s="436"/>
      <c r="D14" s="437">
        <v>100</v>
      </c>
      <c r="E14" s="436"/>
      <c r="F14" s="438">
        <f>SUMIF(74:74,E14,75:75)-SUMIF(74:74,C14,75:75)+100</f>
        <v>100</v>
      </c>
      <c r="G14" s="436"/>
      <c r="H14" s="437">
        <f>SUMIF(74:74,G14,75:75)-SUMIF(74:74,C14,75:75)+100</f>
        <v>100</v>
      </c>
      <c r="I14" s="436"/>
      <c r="J14" s="437">
        <f>SUMIF(74:74,I14,75:75)-SUMIF(74:74,C14,75:75)+100</f>
        <v>100</v>
      </c>
      <c r="K14" s="2596"/>
      <c r="L14" s="1139"/>
      <c r="M14" s="1130"/>
      <c r="N14" s="1130"/>
      <c r="O14" s="1130"/>
      <c r="P14" s="3245"/>
      <c r="Q14" s="2938">
        <f t="shared" si="6"/>
        <v>0</v>
      </c>
      <c r="R14" s="769" t="s">
        <v>21</v>
      </c>
      <c r="S14" s="770">
        <f t="shared" si="0"/>
        <v>100</v>
      </c>
      <c r="T14" s="769" t="s">
        <v>21</v>
      </c>
      <c r="U14" s="770">
        <f t="shared" si="1"/>
        <v>100</v>
      </c>
      <c r="V14" s="769" t="s">
        <v>21</v>
      </c>
      <c r="W14" s="770">
        <f t="shared" si="2"/>
        <v>100</v>
      </c>
      <c r="X14" s="771"/>
      <c r="Y14" s="3083"/>
      <c r="Z14" s="2939">
        <f t="shared" si="7"/>
        <v>0</v>
      </c>
      <c r="AA14" s="772">
        <f t="shared" si="3"/>
        <v>1</v>
      </c>
      <c r="AB14" s="772">
        <f t="shared" si="4"/>
        <v>1</v>
      </c>
      <c r="AC14" s="772">
        <f t="shared" si="5"/>
        <v>1</v>
      </c>
    </row>
    <row r="15" spans="1:29" ht="142.5">
      <c r="A15" s="439" t="s">
        <v>2507</v>
      </c>
      <c r="B15" s="69" t="s">
        <v>2043</v>
      </c>
      <c r="C15" s="2598" t="str">
        <f>估价对象房地状况!C3</f>
        <v>估价对象周边居住用地比例较好、居住小区规模和社区发展完善程度较好，周边有碧桂园时代倾城、江山庐州印等，综合评价居住社区成熟度较好</v>
      </c>
      <c r="D15" s="440">
        <v>100</v>
      </c>
      <c r="E15" s="3003" t="s">
        <v>3371</v>
      </c>
      <c r="F15" s="440">
        <f>SUMIF(76:76,E16,77:77)-SUMIF(76:76,C16,77:77)+100</f>
        <v>103</v>
      </c>
      <c r="G15" s="3003" t="s">
        <v>3371</v>
      </c>
      <c r="H15" s="440">
        <f>SUMIF(76:76,G16,77:77)-SUMIF(76:76,C16,77:77)+100</f>
        <v>103</v>
      </c>
      <c r="I15" s="3003" t="s">
        <v>3371</v>
      </c>
      <c r="J15" s="440">
        <f>SUMIF(76:76,I16,77:77)-SUMIF(76:76,C16,77:77)+100</f>
        <v>103</v>
      </c>
      <c r="K15" s="444">
        <v>3</v>
      </c>
      <c r="L15" s="1139"/>
      <c r="M15" s="1130"/>
      <c r="N15" s="1130"/>
      <c r="O15" s="1130"/>
      <c r="P15" s="3252" t="s">
        <v>2508</v>
      </c>
      <c r="Q15" s="2943" t="str">
        <f t="shared" si="6"/>
        <v>居住社区成熟度</v>
      </c>
      <c r="R15" s="773" t="s">
        <v>21</v>
      </c>
      <c r="S15" s="774">
        <f t="shared" si="0"/>
        <v>103</v>
      </c>
      <c r="T15" s="773" t="s">
        <v>21</v>
      </c>
      <c r="U15" s="774">
        <f t="shared" si="1"/>
        <v>103</v>
      </c>
      <c r="V15" s="773" t="s">
        <v>21</v>
      </c>
      <c r="W15" s="774">
        <f t="shared" si="2"/>
        <v>103</v>
      </c>
      <c r="X15" s="2942"/>
      <c r="Y15" s="3236" t="s">
        <v>2508</v>
      </c>
      <c r="Z15" s="2944" t="str">
        <f t="shared" si="7"/>
        <v>居住社区成熟度</v>
      </c>
      <c r="AA15" s="2945">
        <f t="shared" si="3"/>
        <v>0.970873786407767</v>
      </c>
      <c r="AB15" s="2945">
        <f t="shared" si="4"/>
        <v>0.970873786407767</v>
      </c>
      <c r="AC15" s="2945">
        <f t="shared" si="5"/>
        <v>0.970873786407767</v>
      </c>
    </row>
    <row r="16" spans="1:29" ht="15">
      <c r="A16" s="427"/>
      <c r="B16" s="445"/>
      <c r="C16" s="446" t="s">
        <v>3093</v>
      </c>
      <c r="D16" s="447"/>
      <c r="E16" s="2599" t="s">
        <v>3094</v>
      </c>
      <c r="F16" s="447"/>
      <c r="G16" s="2599" t="s">
        <v>3094</v>
      </c>
      <c r="H16" s="449"/>
      <c r="I16" s="2599" t="s">
        <v>3094</v>
      </c>
      <c r="J16" s="447"/>
      <c r="K16" s="2601"/>
      <c r="L16" s="1139"/>
      <c r="M16" s="1130"/>
      <c r="N16" s="1130"/>
      <c r="O16" s="1130"/>
      <c r="P16" s="3253"/>
      <c r="Q16" s="2943"/>
      <c r="R16" s="773"/>
      <c r="S16" s="774"/>
      <c r="T16" s="773"/>
      <c r="U16" s="774"/>
      <c r="V16" s="773"/>
      <c r="W16" s="774"/>
      <c r="X16" s="2942"/>
      <c r="Y16" s="3237"/>
      <c r="Z16" s="2944"/>
      <c r="AA16" s="2945">
        <v>1</v>
      </c>
      <c r="AB16" s="2945">
        <v>1</v>
      </c>
      <c r="AC16" s="2945">
        <v>1</v>
      </c>
    </row>
    <row r="17" spans="1:29" ht="128.25">
      <c r="A17" s="427"/>
      <c r="B17" s="450" t="s">
        <v>2049</v>
      </c>
      <c r="C17" s="2602" t="str">
        <f>估价对象房地状况!C6</f>
        <v>估价对象周边道路状况一般、公共交通通达情况一般、停车便捷程度较好，周边有143、300路等公交线路，综合评价交通便捷度一般</v>
      </c>
      <c r="D17" s="449">
        <v>100</v>
      </c>
      <c r="E17" s="2986" t="s">
        <v>3372</v>
      </c>
      <c r="F17" s="449">
        <f>SUMIF(78:78,E18,79:79)-SUMIF(78:78,C18,79:79)+100</f>
        <v>100</v>
      </c>
      <c r="G17" s="2986" t="s">
        <v>3372</v>
      </c>
      <c r="H17" s="454">
        <f>SUMIF(78:78,G18,79:79)-SUMIF(78:78,C18,79:79)+100</f>
        <v>100</v>
      </c>
      <c r="I17" s="2986" t="s">
        <v>3372</v>
      </c>
      <c r="J17" s="454">
        <f>SUMIF(78:78,I18,79:79)-SUMIF(78:78,C18,79:79)+100</f>
        <v>100</v>
      </c>
      <c r="K17" s="444">
        <v>1</v>
      </c>
      <c r="L17" s="1139"/>
      <c r="M17" s="1130"/>
      <c r="N17" s="1130"/>
      <c r="O17" s="1130"/>
      <c r="P17" s="3253"/>
      <c r="Q17" s="2943" t="str">
        <f>B17</f>
        <v>交通便捷度</v>
      </c>
      <c r="R17" s="773" t="s">
        <v>21</v>
      </c>
      <c r="S17" s="774">
        <f>F17</f>
        <v>100</v>
      </c>
      <c r="T17" s="773" t="s">
        <v>21</v>
      </c>
      <c r="U17" s="774">
        <f>H17</f>
        <v>100</v>
      </c>
      <c r="V17" s="773" t="s">
        <v>21</v>
      </c>
      <c r="W17" s="774">
        <f>J17</f>
        <v>100</v>
      </c>
      <c r="X17" s="2942"/>
      <c r="Y17" s="3237"/>
      <c r="Z17" s="2944" t="str">
        <f>Q17</f>
        <v>交通便捷度</v>
      </c>
      <c r="AA17" s="2945">
        <f t="shared" si="3"/>
        <v>1</v>
      </c>
      <c r="AB17" s="2945">
        <f t="shared" si="4"/>
        <v>1</v>
      </c>
      <c r="AC17" s="2945">
        <f t="shared" si="5"/>
        <v>1</v>
      </c>
    </row>
    <row r="18" spans="1:29" ht="15">
      <c r="A18" s="427"/>
      <c r="B18" s="455"/>
      <c r="C18" s="3014" t="s">
        <v>3093</v>
      </c>
      <c r="D18" s="449"/>
      <c r="E18" s="3015" t="s">
        <v>3093</v>
      </c>
      <c r="F18" s="449"/>
      <c r="G18" s="3016" t="s">
        <v>3093</v>
      </c>
      <c r="H18" s="447"/>
      <c r="I18" s="3016" t="s">
        <v>3093</v>
      </c>
      <c r="J18" s="447"/>
      <c r="K18" s="2601"/>
      <c r="L18" s="1139"/>
      <c r="M18" s="1130"/>
      <c r="N18" s="1130"/>
      <c r="O18" s="1130"/>
      <c r="P18" s="3253"/>
      <c r="Q18" s="2943"/>
      <c r="R18" s="773"/>
      <c r="S18" s="774"/>
      <c r="T18" s="773"/>
      <c r="U18" s="774"/>
      <c r="V18" s="773"/>
      <c r="W18" s="774"/>
      <c r="X18" s="2942"/>
      <c r="Y18" s="3237"/>
      <c r="Z18" s="2944"/>
      <c r="AA18" s="2945">
        <v>1</v>
      </c>
      <c r="AB18" s="2945">
        <v>1</v>
      </c>
      <c r="AC18" s="2945">
        <v>1</v>
      </c>
    </row>
    <row r="19" spans="1:29" ht="42.75">
      <c r="A19" s="427"/>
      <c r="B19" s="450" t="s">
        <v>2048</v>
      </c>
      <c r="C19" s="2602" t="str">
        <f>估价对象房地状况!C7</f>
        <v>估价对象所在区域公共配套设施齐备情况一般</v>
      </c>
      <c r="D19" s="454">
        <v>100</v>
      </c>
      <c r="E19" s="458" t="s">
        <v>3085</v>
      </c>
      <c r="F19" s="454">
        <f>SUMIF(80:80,E20,81:81)-SUMIF(80:80,C20,81:81)+100</f>
        <v>100</v>
      </c>
      <c r="G19" s="456" t="s">
        <v>3085</v>
      </c>
      <c r="H19" s="449">
        <f>SUMIF(80:80,G20,81:81)-SUMIF(80:80,C20,81:81)+100</f>
        <v>100</v>
      </c>
      <c r="I19" s="456" t="s">
        <v>3085</v>
      </c>
      <c r="J19" s="449">
        <f>SUMIF(80:80,I20,81:81)-SUMIF(80:80,C20,81:81)+100</f>
        <v>100</v>
      </c>
      <c r="K19" s="444">
        <v>1</v>
      </c>
      <c r="L19" s="1139"/>
      <c r="M19" s="1130"/>
      <c r="N19" s="1130"/>
      <c r="O19" s="1130"/>
      <c r="P19" s="3253"/>
      <c r="Q19" s="2943" t="str">
        <f>B19</f>
        <v>公共配套设施</v>
      </c>
      <c r="R19" s="773" t="s">
        <v>21</v>
      </c>
      <c r="S19" s="774">
        <f>F19</f>
        <v>100</v>
      </c>
      <c r="T19" s="773" t="s">
        <v>21</v>
      </c>
      <c r="U19" s="774">
        <f>H19</f>
        <v>100</v>
      </c>
      <c r="V19" s="773" t="s">
        <v>21</v>
      </c>
      <c r="W19" s="774">
        <f>J19</f>
        <v>100</v>
      </c>
      <c r="X19" s="2942"/>
      <c r="Y19" s="3237"/>
      <c r="Z19" s="2944" t="str">
        <f>Q19</f>
        <v>公共配套设施</v>
      </c>
      <c r="AA19" s="2945">
        <f t="shared" si="3"/>
        <v>1</v>
      </c>
      <c r="AB19" s="2945">
        <f t="shared" si="4"/>
        <v>1</v>
      </c>
      <c r="AC19" s="2945">
        <f t="shared" si="5"/>
        <v>1</v>
      </c>
    </row>
    <row r="20" spans="1:29" ht="15">
      <c r="A20" s="427"/>
      <c r="B20" s="455"/>
      <c r="C20" s="446" t="s">
        <v>3095</v>
      </c>
      <c r="D20" s="447"/>
      <c r="E20" s="2599" t="s">
        <v>3095</v>
      </c>
      <c r="F20" s="447"/>
      <c r="G20" s="2600" t="s">
        <v>3095</v>
      </c>
      <c r="H20" s="447"/>
      <c r="I20" s="2600" t="s">
        <v>3095</v>
      </c>
      <c r="J20" s="447"/>
      <c r="K20" s="2601"/>
      <c r="L20" s="1139"/>
      <c r="M20" s="1130"/>
      <c r="N20" s="1130"/>
      <c r="O20" s="1130"/>
      <c r="P20" s="3253"/>
      <c r="Q20" s="2943"/>
      <c r="R20" s="773"/>
      <c r="S20" s="774"/>
      <c r="T20" s="773"/>
      <c r="U20" s="774"/>
      <c r="V20" s="773"/>
      <c r="W20" s="774"/>
      <c r="X20" s="2942"/>
      <c r="Y20" s="3237"/>
      <c r="Z20" s="2944"/>
      <c r="AA20" s="2945">
        <v>1</v>
      </c>
      <c r="AB20" s="2945">
        <v>1</v>
      </c>
      <c r="AC20" s="2945">
        <v>1</v>
      </c>
    </row>
    <row r="21" spans="1:29" ht="42.75">
      <c r="A21" s="427"/>
      <c r="B21" s="1383" t="s">
        <v>2050</v>
      </c>
      <c r="C21" s="2602" t="str">
        <f>估价对象房地状况!C8</f>
        <v>估价对象所在区域基础设施水平较好</v>
      </c>
      <c r="D21" s="449">
        <v>100</v>
      </c>
      <c r="E21" s="458" t="s">
        <v>3083</v>
      </c>
      <c r="F21" s="454">
        <f>SUMIF(82:82,E22,83:83)-SUMIF(82:82,C22,83:83)+100</f>
        <v>100</v>
      </c>
      <c r="G21" s="456" t="s">
        <v>3083</v>
      </c>
      <c r="H21" s="449">
        <f>SUMIF(82:82,G22,83:83)-SUMIF(82:82,C22,83:83)+100</f>
        <v>100</v>
      </c>
      <c r="I21" s="456" t="s">
        <v>3083</v>
      </c>
      <c r="J21" s="449">
        <f>SUMIF(82:82,I22,83:83)-SUMIF(82:82,C22,83:83)+100</f>
        <v>100</v>
      </c>
      <c r="K21" s="444">
        <v>1</v>
      </c>
      <c r="L21" s="1139"/>
      <c r="M21" s="1130"/>
      <c r="N21" s="1130"/>
      <c r="O21" s="1130"/>
      <c r="P21" s="3253"/>
      <c r="Q21" s="2943" t="str">
        <f>B21</f>
        <v>基础设施水平</v>
      </c>
      <c r="R21" s="773" t="s">
        <v>17</v>
      </c>
      <c r="S21" s="774">
        <f>F21</f>
        <v>100</v>
      </c>
      <c r="T21" s="773" t="s">
        <v>17</v>
      </c>
      <c r="U21" s="774">
        <f>H21</f>
        <v>100</v>
      </c>
      <c r="V21" s="773" t="s">
        <v>17</v>
      </c>
      <c r="W21" s="774">
        <f>J21</f>
        <v>100</v>
      </c>
      <c r="X21" s="2942"/>
      <c r="Y21" s="3237"/>
      <c r="Z21" s="2944" t="str">
        <f>Q21</f>
        <v>基础设施水平</v>
      </c>
      <c r="AA21" s="2945">
        <f t="shared" ref="AA21" si="8">D21/F21</f>
        <v>1</v>
      </c>
      <c r="AB21" s="2945">
        <f t="shared" ref="AB21" si="9">D21/H21</f>
        <v>1</v>
      </c>
      <c r="AC21" s="2945">
        <f t="shared" ref="AC21" si="10">D21/J21</f>
        <v>1</v>
      </c>
    </row>
    <row r="22" spans="1:29" ht="15">
      <c r="A22" s="427"/>
      <c r="B22" s="1383"/>
      <c r="C22" s="2603" t="s">
        <v>3096</v>
      </c>
      <c r="D22" s="447"/>
      <c r="E22" s="446" t="s">
        <v>3096</v>
      </c>
      <c r="F22" s="447"/>
      <c r="G22" s="2606" t="s">
        <v>3096</v>
      </c>
      <c r="H22" s="447"/>
      <c r="I22" s="2606" t="s">
        <v>3096</v>
      </c>
      <c r="J22" s="447"/>
      <c r="K22" s="2607"/>
      <c r="L22" s="1139"/>
      <c r="M22" s="1130"/>
      <c r="N22" s="1130"/>
      <c r="O22" s="1130"/>
      <c r="P22" s="3253"/>
      <c r="Q22" s="2943"/>
      <c r="R22" s="773"/>
      <c r="S22" s="774"/>
      <c r="T22" s="773"/>
      <c r="U22" s="774"/>
      <c r="V22" s="773"/>
      <c r="W22" s="774"/>
      <c r="X22" s="2942"/>
      <c r="Y22" s="3237"/>
      <c r="Z22" s="2944"/>
      <c r="AA22" s="2945">
        <v>1</v>
      </c>
      <c r="AB22" s="2945">
        <v>1</v>
      </c>
      <c r="AC22" s="2945">
        <v>1</v>
      </c>
    </row>
    <row r="23" spans="1:29" ht="114">
      <c r="A23" s="427"/>
      <c r="B23" s="450" t="s">
        <v>2052</v>
      </c>
      <c r="C23" s="2602" t="str">
        <f>估价对象房地状况!C9</f>
        <v>区域自然环境及人文环境好；周边有合肥半岛花博园、大房郢水库、合肥经济技术职业学院等，综合评价环境状况好</v>
      </c>
      <c r="D23" s="449">
        <v>100</v>
      </c>
      <c r="E23" s="2986" t="s">
        <v>3373</v>
      </c>
      <c r="F23" s="449">
        <f>SUMIF(84:84,E24,85:85)-SUMIF(84:84,C24,85:85)+100</f>
        <v>100</v>
      </c>
      <c r="G23" s="2986" t="s">
        <v>3373</v>
      </c>
      <c r="H23" s="449">
        <f>SUMIF(84:84,G24,85:85)-SUMIF(84:84,C24,85:85)+100</f>
        <v>100</v>
      </c>
      <c r="I23" s="2986" t="s">
        <v>3373</v>
      </c>
      <c r="J23" s="449">
        <f>SUMIF(84:84,I24,85:85)-SUMIF(84:84,C24,85:85)+100</f>
        <v>100</v>
      </c>
      <c r="K23" s="444">
        <f>'比较法-高层含阁楼'!K23</f>
        <v>5</v>
      </c>
      <c r="L23" s="1139"/>
      <c r="M23" s="1130"/>
      <c r="N23" s="1130"/>
      <c r="O23" s="1130"/>
      <c r="P23" s="3253"/>
      <c r="Q23" s="2943" t="str">
        <f>B23</f>
        <v>自然及人文环境</v>
      </c>
      <c r="R23" s="773" t="s">
        <v>21</v>
      </c>
      <c r="S23" s="774">
        <f>F23</f>
        <v>100</v>
      </c>
      <c r="T23" s="773" t="s">
        <v>21</v>
      </c>
      <c r="U23" s="774">
        <f>H23</f>
        <v>100</v>
      </c>
      <c r="V23" s="773" t="s">
        <v>21</v>
      </c>
      <c r="W23" s="774">
        <f>J23</f>
        <v>100</v>
      </c>
      <c r="X23" s="2942"/>
      <c r="Y23" s="3237"/>
      <c r="Z23" s="2944" t="str">
        <f>Q23</f>
        <v>自然及人文环境</v>
      </c>
      <c r="AA23" s="2945">
        <f>D23/F23</f>
        <v>1</v>
      </c>
      <c r="AB23" s="2945">
        <f>D23/H23</f>
        <v>1</v>
      </c>
      <c r="AC23" s="2945">
        <f>D23/J23</f>
        <v>1</v>
      </c>
    </row>
    <row r="24" spans="1:29" ht="15">
      <c r="A24" s="427"/>
      <c r="B24" s="455"/>
      <c r="C24" s="446" t="s">
        <v>3094</v>
      </c>
      <c r="D24" s="447"/>
      <c r="E24" s="2599" t="s">
        <v>3094</v>
      </c>
      <c r="F24" s="447"/>
      <c r="G24" s="2599" t="s">
        <v>3094</v>
      </c>
      <c r="H24" s="447"/>
      <c r="I24" s="2599" t="s">
        <v>3094</v>
      </c>
      <c r="J24" s="447"/>
      <c r="K24" s="2601"/>
      <c r="L24" s="1139"/>
      <c r="M24" s="1130"/>
      <c r="N24" s="1130"/>
      <c r="O24" s="1130"/>
      <c r="P24" s="3253"/>
      <c r="Q24" s="2943"/>
      <c r="R24" s="773"/>
      <c r="S24" s="774"/>
      <c r="T24" s="773"/>
      <c r="U24" s="774"/>
      <c r="V24" s="773"/>
      <c r="W24" s="774"/>
      <c r="X24" s="2942"/>
      <c r="Y24" s="3237"/>
      <c r="Z24" s="2944"/>
      <c r="AA24" s="2945">
        <v>1</v>
      </c>
      <c r="AB24" s="2945">
        <v>1</v>
      </c>
      <c r="AC24" s="2945">
        <v>1</v>
      </c>
    </row>
    <row r="25" spans="1:29" ht="15">
      <c r="A25" s="427"/>
      <c r="B25" s="2941" t="s">
        <v>2509</v>
      </c>
      <c r="C25" s="459" t="s">
        <v>3326</v>
      </c>
      <c r="D25" s="434">
        <v>100</v>
      </c>
      <c r="E25" s="459" t="s">
        <v>3326</v>
      </c>
      <c r="F25" s="434">
        <f>SUMIF(86:86,E25,87:87)-SUMIF(86:86,C25,87:87)+100</f>
        <v>100</v>
      </c>
      <c r="G25" s="2609" t="s">
        <v>70</v>
      </c>
      <c r="H25" s="434">
        <f>SUMIF(86:86,G25,87:87)-SUMIF(86:86,C25,87:87)+100</f>
        <v>100</v>
      </c>
      <c r="I25" s="2609" t="s">
        <v>70</v>
      </c>
      <c r="J25" s="434">
        <f>SUMIF(86:86,I25,87:87)-SUMIF(86:86,C25,87:87)+100</f>
        <v>100</v>
      </c>
      <c r="K25" s="425">
        <v>1</v>
      </c>
      <c r="L25" s="1139"/>
      <c r="M25" s="1130"/>
      <c r="N25" s="1130"/>
      <c r="O25" s="1130"/>
      <c r="P25" s="3253"/>
      <c r="Q25" s="2943" t="str">
        <f t="shared" ref="Q25:Q46" si="11">B25</f>
        <v>楼层-1</v>
      </c>
      <c r="R25" s="773" t="s">
        <v>21</v>
      </c>
      <c r="S25" s="774">
        <f t="shared" ref="S25:S46" si="12">F25</f>
        <v>100</v>
      </c>
      <c r="T25" s="773" t="s">
        <v>21</v>
      </c>
      <c r="U25" s="774">
        <f t="shared" ref="U25:U46" si="13">H25</f>
        <v>100</v>
      </c>
      <c r="V25" s="773" t="s">
        <v>21</v>
      </c>
      <c r="W25" s="774">
        <f t="shared" ref="W25:W46" si="14">J25</f>
        <v>100</v>
      </c>
      <c r="X25" s="2942"/>
      <c r="Y25" s="3237"/>
      <c r="Z25" s="2944" t="str">
        <f>Q25</f>
        <v>楼层-1</v>
      </c>
      <c r="AA25" s="2945">
        <f t="shared" ref="AA25:AA46" si="15">D25/F25</f>
        <v>1</v>
      </c>
      <c r="AB25" s="2945">
        <f t="shared" ref="AB25:AB46" si="16">D25/H25</f>
        <v>1</v>
      </c>
      <c r="AC25" s="2945">
        <f t="shared" ref="AC25:AC46" si="17">D25/J25</f>
        <v>1</v>
      </c>
    </row>
    <row r="26" spans="1:29" ht="15">
      <c r="A26" s="427"/>
      <c r="B26" s="2941" t="s">
        <v>2510</v>
      </c>
      <c r="C26" s="459" t="s">
        <v>3327</v>
      </c>
      <c r="D26" s="434">
        <v>100</v>
      </c>
      <c r="E26" s="459" t="s">
        <v>3327</v>
      </c>
      <c r="F26" s="434">
        <f>SUMIF(88:88,E26,89:89)-SUMIF(88:88,C26,89:89)+100</f>
        <v>100</v>
      </c>
      <c r="G26" s="2609" t="s">
        <v>70</v>
      </c>
      <c r="H26" s="434">
        <f>SUMIF(88:88,G26,89:89)-SUMIF(88:88,C26,89:89)+100</f>
        <v>100</v>
      </c>
      <c r="I26" s="2609" t="s">
        <v>70</v>
      </c>
      <c r="J26" s="434">
        <f>SUMIF(88:88,I26,89:89)-SUMIF(88:88,C26,89:89)+100</f>
        <v>100</v>
      </c>
      <c r="K26" s="425">
        <v>1</v>
      </c>
      <c r="L26" s="1139"/>
      <c r="M26" s="1130"/>
      <c r="N26" s="1130"/>
      <c r="O26" s="1130"/>
      <c r="P26" s="3253"/>
      <c r="Q26" s="2943" t="str">
        <f t="shared" si="11"/>
        <v>朝向</v>
      </c>
      <c r="R26" s="773" t="s">
        <v>21</v>
      </c>
      <c r="S26" s="774">
        <f t="shared" si="12"/>
        <v>100</v>
      </c>
      <c r="T26" s="773" t="s">
        <v>21</v>
      </c>
      <c r="U26" s="774">
        <f t="shared" si="13"/>
        <v>100</v>
      </c>
      <c r="V26" s="773" t="s">
        <v>21</v>
      </c>
      <c r="W26" s="774">
        <f t="shared" si="14"/>
        <v>100</v>
      </c>
      <c r="X26" s="2942"/>
      <c r="Y26" s="3237"/>
      <c r="Z26" s="2944" t="str">
        <f>Q26</f>
        <v>朝向</v>
      </c>
      <c r="AA26" s="2945">
        <f t="shared" si="15"/>
        <v>1</v>
      </c>
      <c r="AB26" s="2945">
        <f t="shared" si="16"/>
        <v>1</v>
      </c>
      <c r="AC26" s="2945">
        <f t="shared" si="17"/>
        <v>1</v>
      </c>
    </row>
    <row r="27" spans="1:29" s="117" customFormat="1" ht="35.25" customHeight="1">
      <c r="A27" s="430"/>
      <c r="B27" s="1385"/>
      <c r="C27" s="3007" t="s">
        <v>3374</v>
      </c>
      <c r="D27" s="461">
        <v>100</v>
      </c>
      <c r="E27" s="3006" t="s">
        <v>3369</v>
      </c>
      <c r="F27" s="461">
        <f>SUMIF(90:90,E27,91:91)-SUMIF(90:90,C27,91:91)+100</f>
        <v>100</v>
      </c>
      <c r="G27" s="3005" t="s">
        <v>3368</v>
      </c>
      <c r="H27" s="461">
        <f>SUMIF(90:90,G27,91:91)-SUMIF(90:90,C27,91:91)+100</f>
        <v>100</v>
      </c>
      <c r="I27" s="3005" t="s">
        <v>3370</v>
      </c>
      <c r="J27" s="461">
        <f>SUMIF(90:90,I27,91:91)-SUMIF(90:90,C27,91:91)+100</f>
        <v>100</v>
      </c>
      <c r="K27" s="2596"/>
      <c r="L27" s="1131"/>
      <c r="M27" s="1132"/>
      <c r="N27" s="1132"/>
      <c r="O27" s="1132"/>
      <c r="P27" s="3253"/>
      <c r="Q27" s="2938">
        <f t="shared" si="11"/>
        <v>0</v>
      </c>
      <c r="R27" s="769" t="s">
        <v>21</v>
      </c>
      <c r="S27" s="770">
        <f t="shared" si="12"/>
        <v>100</v>
      </c>
      <c r="T27" s="769" t="s">
        <v>21</v>
      </c>
      <c r="U27" s="770">
        <f t="shared" si="13"/>
        <v>100</v>
      </c>
      <c r="V27" s="769" t="s">
        <v>21</v>
      </c>
      <c r="W27" s="770">
        <f t="shared" si="14"/>
        <v>100</v>
      </c>
      <c r="X27" s="771"/>
      <c r="Y27" s="3237"/>
      <c r="Z27" s="2939">
        <f>Q27</f>
        <v>0</v>
      </c>
      <c r="AA27" s="2945">
        <f t="shared" si="15"/>
        <v>1</v>
      </c>
      <c r="AB27" s="2945">
        <f t="shared" si="16"/>
        <v>1</v>
      </c>
      <c r="AC27" s="2945">
        <f t="shared" si="17"/>
        <v>1</v>
      </c>
    </row>
    <row r="28" spans="1:29" ht="15">
      <c r="A28" s="427"/>
      <c r="B28" s="3008"/>
      <c r="C28" s="3009"/>
      <c r="D28" s="434">
        <v>100</v>
      </c>
      <c r="E28" s="3009"/>
      <c r="F28" s="434">
        <f>SUMIF(92:92,E28,93:93)-SUMIF(92:92,C28,93:93)+100</f>
        <v>100</v>
      </c>
      <c r="G28" s="3009"/>
      <c r="H28" s="434">
        <f>SUMIF(92:92,G28,93:93)-SUMIF(92:92,C28,93:93)+100</f>
        <v>100</v>
      </c>
      <c r="I28" s="3009"/>
      <c r="J28" s="434">
        <f>SUMIF(92:92,I28,93:93)-SUMIF(92:92,C28,93:93)+100</f>
        <v>100</v>
      </c>
      <c r="K28" s="2596"/>
      <c r="L28" s="1139"/>
      <c r="M28" s="1130"/>
      <c r="N28" s="1130"/>
      <c r="O28" s="1130"/>
      <c r="P28" s="3253"/>
      <c r="Q28" s="2943">
        <f t="shared" si="11"/>
        <v>0</v>
      </c>
      <c r="R28" s="773" t="s">
        <v>21</v>
      </c>
      <c r="S28" s="774">
        <f t="shared" si="12"/>
        <v>100</v>
      </c>
      <c r="T28" s="773" t="s">
        <v>21</v>
      </c>
      <c r="U28" s="774">
        <f t="shared" si="13"/>
        <v>100</v>
      </c>
      <c r="V28" s="773" t="s">
        <v>21</v>
      </c>
      <c r="W28" s="774">
        <f t="shared" si="14"/>
        <v>100</v>
      </c>
      <c r="X28" s="2942"/>
      <c r="Y28" s="3237"/>
      <c r="Z28" s="2944">
        <f t="shared" ref="Z28:Z46" si="18">Q28</f>
        <v>0</v>
      </c>
      <c r="AA28" s="2945">
        <f t="shared" si="15"/>
        <v>1</v>
      </c>
      <c r="AB28" s="2945">
        <f t="shared" si="16"/>
        <v>1</v>
      </c>
      <c r="AC28" s="2945">
        <f t="shared" si="17"/>
        <v>1</v>
      </c>
    </row>
    <row r="29" spans="1:29" ht="15">
      <c r="A29" s="427"/>
      <c r="B29" s="1385"/>
      <c r="C29" s="433"/>
      <c r="D29" s="434">
        <v>100</v>
      </c>
      <c r="E29" s="433"/>
      <c r="F29" s="434">
        <f>SUMIF(94:94,E29,95:95)-SUMIF(94:94,C29,95:95)+100</f>
        <v>100</v>
      </c>
      <c r="G29" s="2610"/>
      <c r="H29" s="434">
        <f>SUMIF(94:94,G29,95:95)-SUMIF(94:94,C29,95:95)+100</f>
        <v>100</v>
      </c>
      <c r="I29" s="433"/>
      <c r="J29" s="434">
        <f>SUMIF(94:94,I29,95:95)-SUMIF(94:94,C29,95:95)+100</f>
        <v>100</v>
      </c>
      <c r="K29" s="2596"/>
      <c r="L29" s="1139"/>
      <c r="M29" s="1130"/>
      <c r="N29" s="1130"/>
      <c r="O29" s="1130"/>
      <c r="P29" s="3253"/>
      <c r="Q29" s="2943">
        <f t="shared" si="11"/>
        <v>0</v>
      </c>
      <c r="R29" s="773" t="s">
        <v>21</v>
      </c>
      <c r="S29" s="774">
        <f t="shared" si="12"/>
        <v>100</v>
      </c>
      <c r="T29" s="773" t="s">
        <v>21</v>
      </c>
      <c r="U29" s="774">
        <f t="shared" si="13"/>
        <v>100</v>
      </c>
      <c r="V29" s="773" t="s">
        <v>21</v>
      </c>
      <c r="W29" s="774">
        <f t="shared" si="14"/>
        <v>100</v>
      </c>
      <c r="X29" s="2942"/>
      <c r="Y29" s="3237"/>
      <c r="Z29" s="2944">
        <f t="shared" si="18"/>
        <v>0</v>
      </c>
      <c r="AA29" s="2945">
        <f t="shared" si="15"/>
        <v>1</v>
      </c>
      <c r="AB29" s="2945">
        <f t="shared" si="16"/>
        <v>1</v>
      </c>
      <c r="AC29" s="2945">
        <f t="shared" si="17"/>
        <v>1</v>
      </c>
    </row>
    <row r="30" spans="1:29" ht="15">
      <c r="A30" s="427"/>
      <c r="B30" s="1385"/>
      <c r="C30" s="433"/>
      <c r="D30" s="434">
        <v>100</v>
      </c>
      <c r="E30" s="433"/>
      <c r="F30" s="434">
        <f>SUMIF(96:96,E30,97:97)-SUMIF(96:96,C30,97:97)+100</f>
        <v>100</v>
      </c>
      <c r="G30" s="2610"/>
      <c r="H30" s="434">
        <f>SUMIF(96:96,G30,97:97)-SUMIF(96:96,C30,97:97)+100</f>
        <v>100</v>
      </c>
      <c r="I30" s="433"/>
      <c r="J30" s="434">
        <f>SUMIF(96:96,I30,97:97)-SUMIF(96:96,C30,97:97)+100</f>
        <v>100</v>
      </c>
      <c r="K30" s="2596"/>
      <c r="L30" s="1139"/>
      <c r="M30" s="1130"/>
      <c r="N30" s="1130"/>
      <c r="O30" s="1130"/>
      <c r="P30" s="3253"/>
      <c r="Q30" s="2943">
        <f t="shared" si="11"/>
        <v>0</v>
      </c>
      <c r="R30" s="773" t="s">
        <v>21</v>
      </c>
      <c r="S30" s="774">
        <f t="shared" si="12"/>
        <v>100</v>
      </c>
      <c r="T30" s="773" t="s">
        <v>21</v>
      </c>
      <c r="U30" s="774">
        <f t="shared" si="13"/>
        <v>100</v>
      </c>
      <c r="V30" s="773" t="s">
        <v>21</v>
      </c>
      <c r="W30" s="774">
        <f t="shared" si="14"/>
        <v>100</v>
      </c>
      <c r="X30" s="2942"/>
      <c r="Y30" s="3237"/>
      <c r="Z30" s="2944">
        <f t="shared" si="18"/>
        <v>0</v>
      </c>
      <c r="AA30" s="2945">
        <f t="shared" si="15"/>
        <v>1</v>
      </c>
      <c r="AB30" s="2945">
        <f t="shared" si="16"/>
        <v>1</v>
      </c>
      <c r="AC30" s="2945">
        <f t="shared" si="17"/>
        <v>1</v>
      </c>
    </row>
    <row r="31" spans="1:29" ht="15.75" thickBot="1">
      <c r="A31" s="435"/>
      <c r="B31" s="1385"/>
      <c r="C31" s="436"/>
      <c r="D31" s="437">
        <v>100</v>
      </c>
      <c r="E31" s="436"/>
      <c r="F31" s="437">
        <f>SUMIF(98:98,E31,99:99)-SUMIF(98:98,C31,99:99)+100</f>
        <v>100</v>
      </c>
      <c r="G31" s="2611"/>
      <c r="H31" s="437">
        <f>SUMIF(98:98,G31,99:99)-SUMIF(98:98,C31,99:99)+100</f>
        <v>100</v>
      </c>
      <c r="I31" s="436"/>
      <c r="J31" s="437">
        <f>SUMIF(98:98,I31,99:99)-SUMIF(98:98,C31,99:99)+100</f>
        <v>100</v>
      </c>
      <c r="K31" s="2596"/>
      <c r="L31" s="1139"/>
      <c r="M31" s="1130"/>
      <c r="N31" s="1130"/>
      <c r="O31" s="1130"/>
      <c r="P31" s="3253"/>
      <c r="Q31" s="2943">
        <f t="shared" si="11"/>
        <v>0</v>
      </c>
      <c r="R31" s="773" t="s">
        <v>21</v>
      </c>
      <c r="S31" s="774">
        <f t="shared" si="12"/>
        <v>100</v>
      </c>
      <c r="T31" s="773" t="s">
        <v>21</v>
      </c>
      <c r="U31" s="774">
        <f t="shared" si="13"/>
        <v>100</v>
      </c>
      <c r="V31" s="773" t="s">
        <v>21</v>
      </c>
      <c r="W31" s="774">
        <f t="shared" si="14"/>
        <v>100</v>
      </c>
      <c r="X31" s="2942"/>
      <c r="Y31" s="3237"/>
      <c r="Z31" s="2944">
        <f t="shared" si="18"/>
        <v>0</v>
      </c>
      <c r="AA31" s="2945">
        <f t="shared" si="15"/>
        <v>1</v>
      </c>
      <c r="AB31" s="2945">
        <f t="shared" si="16"/>
        <v>1</v>
      </c>
      <c r="AC31" s="2945">
        <f t="shared" si="17"/>
        <v>1</v>
      </c>
    </row>
    <row r="32" spans="1:29" ht="15">
      <c r="A32" s="439" t="s">
        <v>2511</v>
      </c>
      <c r="B32" s="71" t="s">
        <v>2512</v>
      </c>
      <c r="C32" s="2612" t="s">
        <v>3360</v>
      </c>
      <c r="D32" s="466">
        <v>100</v>
      </c>
      <c r="E32" s="2613" t="s">
        <v>3360</v>
      </c>
      <c r="F32" s="460">
        <f>SUMIF(100:100,E32,101:101)-SUMIF(100:100,C32,101:101)+100</f>
        <v>100</v>
      </c>
      <c r="G32" s="2612" t="s">
        <v>3361</v>
      </c>
      <c r="H32" s="466">
        <f>SUMIF(100:100,G32,101:101)-SUMIF(100:100,C32,101:101)+100</f>
        <v>102</v>
      </c>
      <c r="I32" s="2613" t="s">
        <v>3364</v>
      </c>
      <c r="J32" s="434">
        <f>SUMIF(100:100,I32,101:101)-SUMIF(100:100,C32,101:101)+100</f>
        <v>98</v>
      </c>
      <c r="K32" s="425">
        <v>2</v>
      </c>
      <c r="L32" s="1139"/>
      <c r="M32" s="1130"/>
      <c r="N32" s="1130"/>
      <c r="O32" s="1130"/>
      <c r="P32" s="3254" t="s">
        <v>2513</v>
      </c>
      <c r="Q32" s="2943" t="str">
        <f t="shared" si="11"/>
        <v>建筑类型</v>
      </c>
      <c r="R32" s="773" t="s">
        <v>21</v>
      </c>
      <c r="S32" s="774">
        <f t="shared" si="12"/>
        <v>100</v>
      </c>
      <c r="T32" s="773" t="s">
        <v>21</v>
      </c>
      <c r="U32" s="774">
        <f t="shared" si="13"/>
        <v>102</v>
      </c>
      <c r="V32" s="773" t="s">
        <v>21</v>
      </c>
      <c r="W32" s="774">
        <f t="shared" si="14"/>
        <v>98</v>
      </c>
      <c r="X32" s="2942"/>
      <c r="Y32" s="3239" t="s">
        <v>2513</v>
      </c>
      <c r="Z32" s="2944" t="str">
        <f t="shared" si="18"/>
        <v>建筑类型</v>
      </c>
      <c r="AA32" s="2945">
        <f t="shared" si="15"/>
        <v>1</v>
      </c>
      <c r="AB32" s="2945">
        <f t="shared" si="16"/>
        <v>0.98039215686274506</v>
      </c>
      <c r="AC32" s="2945">
        <f t="shared" si="17"/>
        <v>1.0204081632653061</v>
      </c>
    </row>
    <row r="33" spans="1:29" s="470" customFormat="1" ht="15">
      <c r="A33" s="467"/>
      <c r="B33" s="2941" t="s">
        <v>2514</v>
      </c>
      <c r="C33" s="468">
        <f>'数据-基础表'!B3</f>
        <v>218843.90000000005</v>
      </c>
      <c r="D33" s="135">
        <v>100</v>
      </c>
      <c r="E33" s="429">
        <v>15428</v>
      </c>
      <c r="F33" s="424">
        <f>LOOKUP(E33,103:103,104:104)-LOOKUP(C33,103:103,104:104)+100</f>
        <v>98</v>
      </c>
      <c r="G33" s="428">
        <v>278000</v>
      </c>
      <c r="H33" s="135">
        <f>LOOKUP(G33,103:103,104:104)-LOOKUP(C33,103:103,104:104)+100</f>
        <v>100</v>
      </c>
      <c r="I33" s="429">
        <v>341286</v>
      </c>
      <c r="J33" s="135">
        <f>LOOKUP(I33,103:103,104:104)-LOOKUP(C33,103:103,104:104)+100</f>
        <v>101</v>
      </c>
      <c r="K33" s="2596"/>
      <c r="L33" s="1137"/>
      <c r="M33" s="1140"/>
      <c r="N33" s="1140"/>
      <c r="O33" s="1140"/>
      <c r="P33" s="3255"/>
      <c r="Q33" s="775" t="str">
        <f t="shared" si="11"/>
        <v>项目建筑规模</v>
      </c>
      <c r="R33" s="776" t="s">
        <v>21</v>
      </c>
      <c r="S33" s="777">
        <f t="shared" si="12"/>
        <v>98</v>
      </c>
      <c r="T33" s="776" t="s">
        <v>21</v>
      </c>
      <c r="U33" s="777">
        <f t="shared" si="13"/>
        <v>100</v>
      </c>
      <c r="V33" s="776" t="s">
        <v>21</v>
      </c>
      <c r="W33" s="777">
        <f t="shared" si="14"/>
        <v>101</v>
      </c>
      <c r="X33" s="778"/>
      <c r="Y33" s="3239"/>
      <c r="Z33" s="779" t="str">
        <f t="shared" si="18"/>
        <v>项目建筑规模</v>
      </c>
      <c r="AA33" s="2945">
        <f t="shared" si="15"/>
        <v>1.0204081632653061</v>
      </c>
      <c r="AB33" s="2945">
        <f t="shared" si="16"/>
        <v>1</v>
      </c>
      <c r="AC33" s="2945">
        <f t="shared" si="17"/>
        <v>0.99009900990099009</v>
      </c>
    </row>
    <row r="34" spans="1:29" ht="15">
      <c r="A34" s="471"/>
      <c r="B34" s="2941" t="s">
        <v>2515</v>
      </c>
      <c r="C34" s="2614" t="s">
        <v>3322</v>
      </c>
      <c r="D34" s="434">
        <v>100</v>
      </c>
      <c r="E34" s="2614" t="s">
        <v>3322</v>
      </c>
      <c r="F34" s="460">
        <f>SUMIF(105:105,E34,106:106)-SUMIF(105:105,C34,106:106)+100</f>
        <v>100</v>
      </c>
      <c r="G34" s="2614" t="s">
        <v>3322</v>
      </c>
      <c r="H34" s="434">
        <f>SUMIF(105:105,G34,106:106)-SUMIF(105:105,C34,106:106)+100</f>
        <v>100</v>
      </c>
      <c r="I34" s="2614" t="s">
        <v>3322</v>
      </c>
      <c r="J34" s="434">
        <f>SUMIF(105:105,I34,106:106)-SUMIF(105:105,C34,106:106)+100</f>
        <v>100</v>
      </c>
      <c r="K34" s="425">
        <v>1</v>
      </c>
      <c r="L34" s="1139"/>
      <c r="M34" s="1130"/>
      <c r="N34" s="1130"/>
      <c r="O34" s="1130"/>
      <c r="P34" s="3255"/>
      <c r="Q34" s="2943" t="str">
        <f t="shared" si="11"/>
        <v>建筑结构</v>
      </c>
      <c r="R34" s="773" t="s">
        <v>21</v>
      </c>
      <c r="S34" s="774">
        <f t="shared" si="12"/>
        <v>100</v>
      </c>
      <c r="T34" s="773" t="s">
        <v>21</v>
      </c>
      <c r="U34" s="774">
        <f t="shared" si="13"/>
        <v>100</v>
      </c>
      <c r="V34" s="773" t="s">
        <v>21</v>
      </c>
      <c r="W34" s="774">
        <f t="shared" si="14"/>
        <v>100</v>
      </c>
      <c r="X34" s="2942"/>
      <c r="Y34" s="3239"/>
      <c r="Z34" s="2944" t="str">
        <f t="shared" si="18"/>
        <v>建筑结构</v>
      </c>
      <c r="AA34" s="2945">
        <f t="shared" si="15"/>
        <v>1</v>
      </c>
      <c r="AB34" s="2945">
        <f t="shared" si="16"/>
        <v>1</v>
      </c>
      <c r="AC34" s="2945">
        <f t="shared" si="17"/>
        <v>1</v>
      </c>
    </row>
    <row r="35" spans="1:29" ht="15">
      <c r="A35" s="471"/>
      <c r="B35" s="2941" t="s">
        <v>2516</v>
      </c>
      <c r="C35" s="2608" t="s">
        <v>3329</v>
      </c>
      <c r="D35" s="434">
        <v>100</v>
      </c>
      <c r="E35" s="2608" t="s">
        <v>3349</v>
      </c>
      <c r="F35" s="460">
        <f>SUMIF(107:107,E35,108:108)-SUMIF(107:107,C35,108:108)+100</f>
        <v>95</v>
      </c>
      <c r="G35" s="2608" t="s">
        <v>3349</v>
      </c>
      <c r="H35" s="434">
        <f>SUMIF(107:107,G35,108:108)-SUMIF(107:107,C35,108:108)+100</f>
        <v>95</v>
      </c>
      <c r="I35" s="2608" t="s">
        <v>3329</v>
      </c>
      <c r="J35" s="434">
        <f>SUMIF(107:107,I35,108:108)-SUMIF(107:107,C35,108:108)+100</f>
        <v>100</v>
      </c>
      <c r="K35" s="425">
        <v>5</v>
      </c>
      <c r="L35" s="1139"/>
      <c r="M35" s="1130"/>
      <c r="N35" s="1130"/>
      <c r="O35" s="1130"/>
      <c r="P35" s="3255"/>
      <c r="Q35" s="2943" t="str">
        <f t="shared" si="11"/>
        <v>建筑品质</v>
      </c>
      <c r="R35" s="773" t="s">
        <v>21</v>
      </c>
      <c r="S35" s="774">
        <f t="shared" si="12"/>
        <v>95</v>
      </c>
      <c r="T35" s="773" t="s">
        <v>21</v>
      </c>
      <c r="U35" s="774">
        <f t="shared" si="13"/>
        <v>95</v>
      </c>
      <c r="V35" s="773" t="s">
        <v>21</v>
      </c>
      <c r="W35" s="774">
        <f t="shared" si="14"/>
        <v>100</v>
      </c>
      <c r="X35" s="2942"/>
      <c r="Y35" s="3239"/>
      <c r="Z35" s="2944" t="str">
        <f t="shared" si="18"/>
        <v>建筑品质</v>
      </c>
      <c r="AA35" s="2945">
        <f t="shared" si="15"/>
        <v>1.0526315789473684</v>
      </c>
      <c r="AB35" s="2945">
        <f t="shared" si="16"/>
        <v>1.0526315789473684</v>
      </c>
      <c r="AC35" s="2945">
        <f t="shared" si="17"/>
        <v>1</v>
      </c>
    </row>
    <row r="36" spans="1:29" ht="15">
      <c r="A36" s="471"/>
      <c r="B36" s="2941" t="s">
        <v>2517</v>
      </c>
      <c r="C36" s="2608" t="s">
        <v>3331</v>
      </c>
      <c r="D36" s="434">
        <v>100</v>
      </c>
      <c r="E36" s="2608" t="s">
        <v>3331</v>
      </c>
      <c r="F36" s="460">
        <f>SUMIF(109:109,E36,110:110)-SUMIF(109:109,C36,110:110)+100</f>
        <v>100</v>
      </c>
      <c r="G36" s="2608" t="s">
        <v>3331</v>
      </c>
      <c r="H36" s="434">
        <f>SUMIF(109:109,G36,110:110)-SUMIF(109:109,C36,110:110)+100</f>
        <v>100</v>
      </c>
      <c r="I36" s="2608" t="s">
        <v>3331</v>
      </c>
      <c r="J36" s="434">
        <f>SUMIF(109:109,I36,110:110)-SUMIF(109:109,C36,110:110)+100</f>
        <v>100</v>
      </c>
      <c r="K36" s="425">
        <v>1</v>
      </c>
      <c r="L36" s="1139"/>
      <c r="M36" s="1130"/>
      <c r="N36" s="1130"/>
      <c r="O36" s="1130"/>
      <c r="P36" s="3255"/>
      <c r="Q36" s="2943" t="str">
        <f t="shared" si="11"/>
        <v>公共部分装修</v>
      </c>
      <c r="R36" s="773" t="s">
        <v>21</v>
      </c>
      <c r="S36" s="774">
        <f t="shared" si="12"/>
        <v>100</v>
      </c>
      <c r="T36" s="773" t="s">
        <v>21</v>
      </c>
      <c r="U36" s="774">
        <f t="shared" si="13"/>
        <v>100</v>
      </c>
      <c r="V36" s="773" t="s">
        <v>21</v>
      </c>
      <c r="W36" s="774">
        <f t="shared" si="14"/>
        <v>100</v>
      </c>
      <c r="X36" s="2942"/>
      <c r="Y36" s="3239"/>
      <c r="Z36" s="2944" t="str">
        <f t="shared" si="18"/>
        <v>公共部分装修</v>
      </c>
      <c r="AA36" s="2945">
        <f t="shared" si="15"/>
        <v>1</v>
      </c>
      <c r="AB36" s="2945">
        <f t="shared" si="16"/>
        <v>1</v>
      </c>
      <c r="AC36" s="2945">
        <f t="shared" si="17"/>
        <v>1</v>
      </c>
    </row>
    <row r="37" spans="1:29" s="117" customFormat="1" ht="15">
      <c r="A37" s="472"/>
      <c r="B37" s="2941" t="s">
        <v>2518</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1"/>
      <c r="M37" s="1132"/>
      <c r="N37" s="1132"/>
      <c r="O37" s="1132"/>
      <c r="P37" s="3255"/>
      <c r="Q37" s="2938" t="str">
        <f t="shared" si="11"/>
        <v>成新度</v>
      </c>
      <c r="R37" s="769" t="s">
        <v>21</v>
      </c>
      <c r="S37" s="770">
        <f t="shared" si="12"/>
        <v>100</v>
      </c>
      <c r="T37" s="769" t="s">
        <v>21</v>
      </c>
      <c r="U37" s="770">
        <f t="shared" si="13"/>
        <v>100</v>
      </c>
      <c r="V37" s="769" t="s">
        <v>21</v>
      </c>
      <c r="W37" s="770">
        <f t="shared" si="14"/>
        <v>100</v>
      </c>
      <c r="X37" s="771"/>
      <c r="Y37" s="3239"/>
      <c r="Z37" s="2939" t="str">
        <f t="shared" si="18"/>
        <v>成新度</v>
      </c>
      <c r="AA37" s="772">
        <f t="shared" si="15"/>
        <v>1</v>
      </c>
      <c r="AB37" s="772">
        <f t="shared" si="16"/>
        <v>1</v>
      </c>
      <c r="AC37" s="772">
        <f t="shared" si="17"/>
        <v>1</v>
      </c>
    </row>
    <row r="38" spans="1:29" ht="15">
      <c r="A38" s="471"/>
      <c r="B38" s="2941" t="s">
        <v>2519</v>
      </c>
      <c r="C38" s="2608" t="s">
        <v>3333</v>
      </c>
      <c r="D38" s="434">
        <v>100</v>
      </c>
      <c r="E38" s="2608" t="s">
        <v>3333</v>
      </c>
      <c r="F38" s="460">
        <f>SUMIF(114:114,E38,115:115)-SUMIF(114:114,C38,115:115)+100</f>
        <v>100</v>
      </c>
      <c r="G38" s="2608" t="s">
        <v>3333</v>
      </c>
      <c r="H38" s="434">
        <f>SUMIF(114:114,G38,115:115)-SUMIF(114:114,C38,115:115)+100</f>
        <v>100</v>
      </c>
      <c r="I38" s="2608" t="s">
        <v>3333</v>
      </c>
      <c r="J38" s="434">
        <f>SUMIF(114:114,I38,115:115)-SUMIF(114:114,C38,115:115)+100</f>
        <v>100</v>
      </c>
      <c r="K38" s="425">
        <v>1</v>
      </c>
      <c r="L38" s="1139"/>
      <c r="M38" s="1130"/>
      <c r="N38" s="1130"/>
      <c r="O38" s="1130"/>
      <c r="P38" s="3255" t="s">
        <v>2513</v>
      </c>
      <c r="Q38" s="2943" t="str">
        <f t="shared" si="11"/>
        <v>物业管理</v>
      </c>
      <c r="R38" s="773" t="s">
        <v>21</v>
      </c>
      <c r="S38" s="774">
        <f t="shared" si="12"/>
        <v>100</v>
      </c>
      <c r="T38" s="773" t="s">
        <v>21</v>
      </c>
      <c r="U38" s="774">
        <f t="shared" si="13"/>
        <v>100</v>
      </c>
      <c r="V38" s="773" t="s">
        <v>21</v>
      </c>
      <c r="W38" s="774">
        <f t="shared" si="14"/>
        <v>100</v>
      </c>
      <c r="X38" s="2942"/>
      <c r="Y38" s="3239" t="s">
        <v>2513</v>
      </c>
      <c r="Z38" s="2944" t="str">
        <f t="shared" si="18"/>
        <v>物业管理</v>
      </c>
      <c r="AA38" s="2945">
        <f t="shared" si="15"/>
        <v>1</v>
      </c>
      <c r="AB38" s="2945">
        <f t="shared" si="16"/>
        <v>1</v>
      </c>
      <c r="AC38" s="2945">
        <f t="shared" si="17"/>
        <v>1</v>
      </c>
    </row>
    <row r="39" spans="1:29" ht="15">
      <c r="A39" s="471"/>
      <c r="B39" s="2941" t="s">
        <v>2520</v>
      </c>
      <c r="C39" s="2608" t="s">
        <v>3096</v>
      </c>
      <c r="D39" s="434">
        <v>100</v>
      </c>
      <c r="E39" s="2608" t="s">
        <v>3096</v>
      </c>
      <c r="F39" s="460">
        <f>SUMIF(116:116,E39,117:117)-SUMIF(116:116,C39,117:117)+100</f>
        <v>100</v>
      </c>
      <c r="G39" s="2608" t="s">
        <v>3096</v>
      </c>
      <c r="H39" s="434">
        <f>SUMIF(116:116,G39,117:117)-SUMIF(116:116,C39,117:117)+100</f>
        <v>100</v>
      </c>
      <c r="I39" s="2608" t="s">
        <v>3096</v>
      </c>
      <c r="J39" s="434">
        <f>SUMIF(116:116,I39,117:117)-SUMIF(116:116,C39,117:117)+100</f>
        <v>100</v>
      </c>
      <c r="K39" s="425">
        <v>1</v>
      </c>
      <c r="L39" s="1139"/>
      <c r="M39" s="1130"/>
      <c r="N39" s="1130"/>
      <c r="O39" s="1130"/>
      <c r="P39" s="3255"/>
      <c r="Q39" s="2943" t="str">
        <f t="shared" si="11"/>
        <v>市政基础设施</v>
      </c>
      <c r="R39" s="773" t="s">
        <v>21</v>
      </c>
      <c r="S39" s="774">
        <f t="shared" si="12"/>
        <v>100</v>
      </c>
      <c r="T39" s="773" t="s">
        <v>21</v>
      </c>
      <c r="U39" s="774">
        <f t="shared" si="13"/>
        <v>100</v>
      </c>
      <c r="V39" s="773" t="s">
        <v>21</v>
      </c>
      <c r="W39" s="774">
        <f t="shared" si="14"/>
        <v>100</v>
      </c>
      <c r="X39" s="2942"/>
      <c r="Y39" s="3239"/>
      <c r="Z39" s="2944" t="str">
        <f t="shared" si="18"/>
        <v>市政基础设施</v>
      </c>
      <c r="AA39" s="2945">
        <f t="shared" si="15"/>
        <v>1</v>
      </c>
      <c r="AB39" s="2945">
        <f t="shared" si="16"/>
        <v>1</v>
      </c>
      <c r="AC39" s="2945">
        <f t="shared" si="17"/>
        <v>1</v>
      </c>
    </row>
    <row r="40" spans="1:29" ht="15">
      <c r="A40" s="471"/>
      <c r="B40" s="2941" t="s">
        <v>2521</v>
      </c>
      <c r="C40" s="2608" t="s">
        <v>70</v>
      </c>
      <c r="D40" s="434">
        <v>100</v>
      </c>
      <c r="E40" s="2608" t="s">
        <v>70</v>
      </c>
      <c r="F40" s="460">
        <f>SUMIF(118:118,E40,119:119)-SUMIF(118:118,C40,119:119)+100</f>
        <v>100</v>
      </c>
      <c r="G40" s="2608" t="s">
        <v>70</v>
      </c>
      <c r="H40" s="434">
        <f>SUMIF(118:118,G40,119:119)-SUMIF(118:118,C40,119:119)+100</f>
        <v>100</v>
      </c>
      <c r="I40" s="2608" t="s">
        <v>70</v>
      </c>
      <c r="J40" s="434">
        <f>SUMIF(118:118,I40,119:119)-SUMIF(118:118,C40,119:119)+100</f>
        <v>100</v>
      </c>
      <c r="K40" s="425">
        <v>1</v>
      </c>
      <c r="L40" s="1139"/>
      <c r="M40" s="1130"/>
      <c r="N40" s="1130"/>
      <c r="O40" s="1130"/>
      <c r="P40" s="3255"/>
      <c r="Q40" s="2943" t="str">
        <f t="shared" si="11"/>
        <v>房型</v>
      </c>
      <c r="R40" s="773" t="s">
        <v>21</v>
      </c>
      <c r="S40" s="774">
        <f t="shared" si="12"/>
        <v>100</v>
      </c>
      <c r="T40" s="773" t="s">
        <v>21</v>
      </c>
      <c r="U40" s="774">
        <f t="shared" si="13"/>
        <v>100</v>
      </c>
      <c r="V40" s="773" t="s">
        <v>21</v>
      </c>
      <c r="W40" s="774">
        <f t="shared" si="14"/>
        <v>100</v>
      </c>
      <c r="X40" s="2942"/>
      <c r="Y40" s="3239"/>
      <c r="Z40" s="2944" t="str">
        <f t="shared" si="18"/>
        <v>房型</v>
      </c>
      <c r="AA40" s="2945">
        <f t="shared" si="15"/>
        <v>1</v>
      </c>
      <c r="AB40" s="2945">
        <f t="shared" si="16"/>
        <v>1</v>
      </c>
      <c r="AC40" s="2945">
        <f t="shared" si="17"/>
        <v>1</v>
      </c>
    </row>
    <row r="41" spans="1:29" s="470" customFormat="1" ht="28.5">
      <c r="A41" s="467"/>
      <c r="B41" s="2941" t="s">
        <v>2522</v>
      </c>
      <c r="C41" s="468" t="s">
        <v>3326</v>
      </c>
      <c r="D41" s="135">
        <v>100</v>
      </c>
      <c r="E41" s="468" t="s">
        <v>3326</v>
      </c>
      <c r="F41" s="424">
        <f>SUMIF(120:120,E41,121:121)-SUMIF(120:120,C41,121:121)+100</f>
        <v>100</v>
      </c>
      <c r="G41" s="468" t="s">
        <v>3326</v>
      </c>
      <c r="H41" s="135">
        <f>SUMIF(120:120,G41,121:121)-SUMIF(120:120,C41,121:121)+100</f>
        <v>100</v>
      </c>
      <c r="I41" s="468" t="s">
        <v>3326</v>
      </c>
      <c r="J41" s="434">
        <f>SUMIF(120:120,I41,121:121)-SUMIF(120:120,C41,121:121)+100</f>
        <v>100</v>
      </c>
      <c r="K41" s="2596"/>
      <c r="L41" s="1137"/>
      <c r="M41" s="1140"/>
      <c r="N41" s="1140"/>
      <c r="O41" s="1140"/>
      <c r="P41" s="3255"/>
      <c r="Q41" s="775" t="str">
        <f t="shared" si="11"/>
        <v>单套/主力户型建筑面积</v>
      </c>
      <c r="R41" s="776" t="s">
        <v>21</v>
      </c>
      <c r="S41" s="777">
        <f t="shared" si="12"/>
        <v>100</v>
      </c>
      <c r="T41" s="776" t="s">
        <v>21</v>
      </c>
      <c r="U41" s="777">
        <f t="shared" si="13"/>
        <v>100</v>
      </c>
      <c r="V41" s="776" t="s">
        <v>21</v>
      </c>
      <c r="W41" s="777">
        <f t="shared" si="14"/>
        <v>100</v>
      </c>
      <c r="X41" s="778"/>
      <c r="Y41" s="3239"/>
      <c r="Z41" s="779" t="str">
        <f t="shared" si="18"/>
        <v>单套/主力户型建筑面积</v>
      </c>
      <c r="AA41" s="2945">
        <f t="shared" si="15"/>
        <v>1</v>
      </c>
      <c r="AB41" s="2945">
        <f t="shared" si="16"/>
        <v>1</v>
      </c>
      <c r="AC41" s="2945">
        <f t="shared" si="17"/>
        <v>1</v>
      </c>
    </row>
    <row r="42" spans="1:29" ht="15">
      <c r="A42" s="471"/>
      <c r="B42" s="2941" t="s">
        <v>2523</v>
      </c>
      <c r="C42" s="2608" t="s">
        <v>3335</v>
      </c>
      <c r="D42" s="434">
        <v>100</v>
      </c>
      <c r="E42" s="2608" t="s">
        <v>3335</v>
      </c>
      <c r="F42" s="460">
        <f>SUMIF(122:122,E42,123:123)-SUMIF(122:122,C42,123:123)+100</f>
        <v>100</v>
      </c>
      <c r="G42" s="2608" t="s">
        <v>3335</v>
      </c>
      <c r="H42" s="434">
        <f>SUMIF(122:122,G42,123:123)-SUMIF(122:122,C42,123:123)+100</f>
        <v>100</v>
      </c>
      <c r="I42" s="2609" t="s">
        <v>3335</v>
      </c>
      <c r="J42" s="434">
        <f>SUMIF(122:122,I42,123:123)-SUMIF(122:122,C42,123:123)+100</f>
        <v>100</v>
      </c>
      <c r="K42" s="425">
        <v>1</v>
      </c>
      <c r="L42" s="1139"/>
      <c r="M42" s="1130"/>
      <c r="N42" s="1130"/>
      <c r="O42" s="1130"/>
      <c r="P42" s="3255"/>
      <c r="Q42" s="2943" t="str">
        <f t="shared" si="11"/>
        <v>内部装修</v>
      </c>
      <c r="R42" s="773" t="s">
        <v>21</v>
      </c>
      <c r="S42" s="774">
        <f t="shared" si="12"/>
        <v>100</v>
      </c>
      <c r="T42" s="773" t="s">
        <v>21</v>
      </c>
      <c r="U42" s="774">
        <f t="shared" si="13"/>
        <v>100</v>
      </c>
      <c r="V42" s="773" t="s">
        <v>21</v>
      </c>
      <c r="W42" s="774">
        <f t="shared" si="14"/>
        <v>100</v>
      </c>
      <c r="X42" s="2942"/>
      <c r="Y42" s="3239"/>
      <c r="Z42" s="2944" t="str">
        <f t="shared" si="18"/>
        <v>内部装修</v>
      </c>
      <c r="AA42" s="2945">
        <f t="shared" si="15"/>
        <v>1</v>
      </c>
      <c r="AB42" s="2945">
        <f t="shared" si="16"/>
        <v>1</v>
      </c>
      <c r="AC42" s="2945">
        <f t="shared" si="17"/>
        <v>1</v>
      </c>
    </row>
    <row r="43" spans="1:29" ht="15">
      <c r="A43" s="471"/>
      <c r="B43" s="2941" t="s">
        <v>2524</v>
      </c>
      <c r="C43" s="2608" t="s">
        <v>3093</v>
      </c>
      <c r="D43" s="434">
        <v>100</v>
      </c>
      <c r="E43" s="2608" t="s">
        <v>3093</v>
      </c>
      <c r="F43" s="460">
        <f>SUMIF(124:124,E43,125:125)-SUMIF(124:124,C43,125:125)+100</f>
        <v>100</v>
      </c>
      <c r="G43" s="2608" t="s">
        <v>3093</v>
      </c>
      <c r="H43" s="434">
        <f>SUMIF(124:124,G43,125:125)-SUMIF(124:124,C43,125:125)+100</f>
        <v>100</v>
      </c>
      <c r="I43" s="2608" t="s">
        <v>3093</v>
      </c>
      <c r="J43" s="434">
        <f>SUMIF(124:124,I43,125:125)-SUMIF(124:124,C43,125:125)+100</f>
        <v>100</v>
      </c>
      <c r="K43" s="425">
        <v>1</v>
      </c>
      <c r="L43" s="1139"/>
      <c r="M43" s="1130"/>
      <c r="N43" s="1130"/>
      <c r="O43" s="1130"/>
      <c r="P43" s="3255"/>
      <c r="Q43" s="2943" t="str">
        <f t="shared" si="11"/>
        <v>内部装修维护情况</v>
      </c>
      <c r="R43" s="773" t="s">
        <v>21</v>
      </c>
      <c r="S43" s="774">
        <f t="shared" si="12"/>
        <v>100</v>
      </c>
      <c r="T43" s="773" t="s">
        <v>21</v>
      </c>
      <c r="U43" s="774">
        <f t="shared" si="13"/>
        <v>100</v>
      </c>
      <c r="V43" s="773" t="s">
        <v>21</v>
      </c>
      <c r="W43" s="774">
        <f t="shared" si="14"/>
        <v>100</v>
      </c>
      <c r="X43" s="2942"/>
      <c r="Y43" s="3239"/>
      <c r="Z43" s="2944" t="str">
        <f t="shared" si="18"/>
        <v>内部装修维护情况</v>
      </c>
      <c r="AA43" s="2945">
        <f t="shared" si="15"/>
        <v>1</v>
      </c>
      <c r="AB43" s="2945">
        <f t="shared" si="16"/>
        <v>1</v>
      </c>
      <c r="AC43" s="2945">
        <f t="shared" si="17"/>
        <v>1</v>
      </c>
    </row>
    <row r="44" spans="1:29" s="117" customFormat="1" ht="15">
      <c r="A44" s="472"/>
      <c r="B44" s="1385"/>
      <c r="C44" s="468"/>
      <c r="D44" s="135">
        <v>100</v>
      </c>
      <c r="E44" s="468"/>
      <c r="F44" s="424">
        <f>SUMIF(126:126,E44,127:127)-SUMIF(126:126,C44,127:127)+100</f>
        <v>100</v>
      </c>
      <c r="G44" s="468"/>
      <c r="H44" s="135">
        <f>SUMIF(126:126,G44,127:127)-SUMIF(126:126,C44,127:127)+100</f>
        <v>100</v>
      </c>
      <c r="I44" s="468"/>
      <c r="J44" s="135">
        <f>SUMIF(126:126,I44,127:127)-SUMIF(126:126,C44,127:127)+100</f>
        <v>100</v>
      </c>
      <c r="K44" s="2596"/>
      <c r="L44" s="1131"/>
      <c r="M44" s="1132"/>
      <c r="N44" s="1132"/>
      <c r="O44" s="1132"/>
      <c r="P44" s="3255"/>
      <c r="Q44" s="2938">
        <f t="shared" si="11"/>
        <v>0</v>
      </c>
      <c r="R44" s="769" t="s">
        <v>21</v>
      </c>
      <c r="S44" s="770">
        <f t="shared" si="12"/>
        <v>100</v>
      </c>
      <c r="T44" s="769" t="s">
        <v>21</v>
      </c>
      <c r="U44" s="770">
        <f t="shared" si="13"/>
        <v>100</v>
      </c>
      <c r="V44" s="769" t="s">
        <v>21</v>
      </c>
      <c r="W44" s="770">
        <f t="shared" si="14"/>
        <v>100</v>
      </c>
      <c r="X44" s="771"/>
      <c r="Y44" s="3239"/>
      <c r="Z44" s="2939">
        <f t="shared" si="18"/>
        <v>0</v>
      </c>
      <c r="AA44" s="772">
        <f t="shared" si="15"/>
        <v>1</v>
      </c>
      <c r="AB44" s="772">
        <f t="shared" si="16"/>
        <v>1</v>
      </c>
      <c r="AC44" s="772">
        <f t="shared" si="17"/>
        <v>1</v>
      </c>
    </row>
    <row r="45" spans="1:29" ht="15">
      <c r="A45" s="471"/>
      <c r="B45" s="1385"/>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39"/>
      <c r="M45" s="1130"/>
      <c r="N45" s="1130"/>
      <c r="O45" s="1130"/>
      <c r="P45" s="3255"/>
      <c r="Q45" s="2943">
        <f t="shared" si="11"/>
        <v>0</v>
      </c>
      <c r="R45" s="773" t="s">
        <v>21</v>
      </c>
      <c r="S45" s="774">
        <f t="shared" si="12"/>
        <v>100</v>
      </c>
      <c r="T45" s="773" t="s">
        <v>21</v>
      </c>
      <c r="U45" s="774">
        <f t="shared" si="13"/>
        <v>100</v>
      </c>
      <c r="V45" s="773" t="s">
        <v>21</v>
      </c>
      <c r="W45" s="774">
        <f t="shared" si="14"/>
        <v>100</v>
      </c>
      <c r="X45" s="2942"/>
      <c r="Y45" s="3239"/>
      <c r="Z45" s="2944">
        <f t="shared" si="18"/>
        <v>0</v>
      </c>
      <c r="AA45" s="2945">
        <f t="shared" si="15"/>
        <v>1</v>
      </c>
      <c r="AB45" s="2945">
        <f t="shared" si="16"/>
        <v>1</v>
      </c>
      <c r="AC45" s="2945">
        <f t="shared" si="17"/>
        <v>1</v>
      </c>
    </row>
    <row r="46" spans="1:29" ht="15.75" thickBot="1">
      <c r="A46" s="477"/>
      <c r="B46" s="2597"/>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39"/>
      <c r="M46" s="1130"/>
      <c r="N46" s="1130"/>
      <c r="O46" s="1130"/>
      <c r="P46" s="3256"/>
      <c r="Q46" s="2943">
        <f t="shared" si="11"/>
        <v>0</v>
      </c>
      <c r="R46" s="773" t="s">
        <v>20</v>
      </c>
      <c r="S46" s="774">
        <f t="shared" si="12"/>
        <v>100</v>
      </c>
      <c r="T46" s="773" t="s">
        <v>20</v>
      </c>
      <c r="U46" s="774">
        <f t="shared" si="13"/>
        <v>100</v>
      </c>
      <c r="V46" s="773" t="s">
        <v>20</v>
      </c>
      <c r="W46" s="774">
        <f t="shared" si="14"/>
        <v>100</v>
      </c>
      <c r="X46" s="2942"/>
      <c r="Y46" s="3257"/>
      <c r="Z46" s="2944">
        <f t="shared" si="18"/>
        <v>0</v>
      </c>
      <c r="AA46" s="2945">
        <f t="shared" si="15"/>
        <v>1</v>
      </c>
      <c r="AB46" s="2945">
        <f t="shared" si="16"/>
        <v>1</v>
      </c>
      <c r="AC46" s="2945">
        <f t="shared" si="17"/>
        <v>1</v>
      </c>
    </row>
    <row r="47" spans="1:29" ht="15">
      <c r="A47" s="478" t="s">
        <v>2525</v>
      </c>
      <c r="B47" s="479"/>
      <c r="C47" s="1406" t="s">
        <v>19</v>
      </c>
      <c r="D47" s="1407"/>
      <c r="E47" s="1408">
        <v>21000</v>
      </c>
      <c r="F47" s="1409"/>
      <c r="G47" s="1410">
        <v>23000</v>
      </c>
      <c r="H47" s="1411"/>
      <c r="I47" s="1408">
        <v>27000</v>
      </c>
      <c r="J47" s="1411"/>
      <c r="K47" s="2615"/>
      <c r="L47" s="1142"/>
      <c r="M47" s="1143"/>
      <c r="N47" s="1130"/>
      <c r="O47" s="1143"/>
      <c r="P47" s="3221" t="str">
        <f>A47</f>
        <v>成交单价（元/平方米）</v>
      </c>
      <c r="Q47" s="3221"/>
      <c r="R47" s="3250">
        <f>E47</f>
        <v>21000</v>
      </c>
      <c r="S47" s="3250"/>
      <c r="T47" s="3250">
        <f>G47</f>
        <v>23000</v>
      </c>
      <c r="U47" s="3250"/>
      <c r="V47" s="3250">
        <f>I47</f>
        <v>27000</v>
      </c>
      <c r="W47" s="3250"/>
      <c r="X47" s="758"/>
      <c r="Y47" s="780"/>
      <c r="Z47" s="758"/>
      <c r="AA47" s="758"/>
      <c r="AB47" s="758"/>
      <c r="AC47" s="758"/>
    </row>
    <row r="48" spans="1:29" ht="15.75" thickBot="1">
      <c r="A48" s="485" t="s">
        <v>2526</v>
      </c>
      <c r="B48" s="486"/>
      <c r="C48" s="1412">
        <f>R49</f>
        <v>24548</v>
      </c>
      <c r="D48" s="1413"/>
      <c r="E48" s="1414">
        <f>R48</f>
        <v>23297</v>
      </c>
      <c r="F48" s="1414"/>
      <c r="G48" s="1412">
        <f>T48</f>
        <v>23044</v>
      </c>
      <c r="H48" s="1413"/>
      <c r="I48" s="1414">
        <f>V48</f>
        <v>27303</v>
      </c>
      <c r="J48" s="1413"/>
      <c r="K48" s="2616"/>
      <c r="L48" s="1142"/>
      <c r="M48" s="1143"/>
      <c r="N48" s="1143"/>
      <c r="O48" s="1143"/>
      <c r="P48" s="3221" t="str">
        <f>A48</f>
        <v>比较价值（元/平方米）</v>
      </c>
      <c r="Q48" s="3221"/>
      <c r="R48" s="3250">
        <f>IF(F1="售价",ROUND(PRODUCT(R47,AA7:AA46),0),ROUND(PRODUCT(R47,AA7:AA46),1))</f>
        <v>23297</v>
      </c>
      <c r="S48" s="3250"/>
      <c r="T48" s="3250">
        <f>IF(F1="售价",ROUND(PRODUCT(T47,AB7:AB46),0),ROUND(PRODUCT(T47,AB7:AB46),1))</f>
        <v>23044</v>
      </c>
      <c r="U48" s="3250"/>
      <c r="V48" s="3250">
        <f>IF(F1="售价",ROUND(PRODUCT(V47,AC7:AC46),0),ROUND(PRODUCT(V47,AC7:AC46),1))</f>
        <v>27303</v>
      </c>
      <c r="W48" s="3250"/>
      <c r="X48" s="758"/>
      <c r="Y48" s="758"/>
      <c r="Z48" s="758"/>
      <c r="AA48" s="758"/>
      <c r="AB48" s="758"/>
      <c r="AC48" s="758"/>
    </row>
    <row r="49" spans="1:29" ht="15.75" thickBot="1">
      <c r="A49" s="491" t="s">
        <v>3089</v>
      </c>
      <c r="B49" s="492"/>
      <c r="C49" s="1415">
        <f>R49</f>
        <v>24548</v>
      </c>
      <c r="D49" s="1416"/>
      <c r="E49" s="1416"/>
      <c r="F49" s="1416"/>
      <c r="G49" s="1416"/>
      <c r="H49" s="1416"/>
      <c r="I49" s="1416"/>
      <c r="J49" s="1416"/>
      <c r="K49" s="2617"/>
      <c r="L49" s="1142"/>
      <c r="M49" s="1143"/>
      <c r="N49" s="1143"/>
      <c r="O49" s="1143"/>
      <c r="P49" s="3241" t="str">
        <f>A49</f>
        <v>估价对象住宅用房的比较价值（楼面单价，元/平方米）</v>
      </c>
      <c r="Q49" s="3242"/>
      <c r="R49" s="3251">
        <f>IF(F1="售价",ROUND(AVERAGE(R48:V48),0),ROUND(AVERAGE(R48:V48),1))</f>
        <v>24548</v>
      </c>
      <c r="S49" s="3251"/>
      <c r="T49" s="3251"/>
      <c r="U49" s="3251"/>
      <c r="V49" s="3251"/>
      <c r="W49" s="325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2527</v>
      </c>
      <c r="D52" s="497"/>
      <c r="E52" s="498">
        <f>IF(E47&lt;E48,E48/E47-1,E47/E48-1)</f>
        <v>0.10938095238095236</v>
      </c>
      <c r="F52" s="499" t="str">
        <f>IF(OR(E52&gt;=0.3,E52&lt;=-0.3),"超过30%","")</f>
        <v/>
      </c>
      <c r="G52" s="498">
        <f>IF(G47&lt;G48,G48/G47-1,G47/G48-1)</f>
        <v>1.913043478260823E-3</v>
      </c>
      <c r="H52" s="499" t="str">
        <f>IF(OR(G52&gt;=0.3,G52&lt;=-0.3),"超过30%","")</f>
        <v/>
      </c>
      <c r="I52" s="498">
        <f>IF(I47&lt;I48,I48/I47-1,I47/I48-1)</f>
        <v>1.1222222222222245E-2</v>
      </c>
      <c r="J52" s="499" t="str">
        <f>IF(OR(I52&gt;=0.3,I52&lt;=-0.3),"超过30%","")</f>
        <v/>
      </c>
      <c r="K52" s="1104"/>
      <c r="L52" s="1105"/>
      <c r="M52" s="1143"/>
      <c r="N52" s="1143"/>
      <c r="O52" s="1143"/>
    </row>
    <row r="53" spans="1:29" ht="13.5" customHeight="1">
      <c r="A53" s="1143"/>
      <c r="B53" s="1143"/>
      <c r="C53" s="496" t="s">
        <v>2528</v>
      </c>
      <c r="D53" s="500"/>
      <c r="E53" s="498">
        <f>IF(E48&lt;G48,G48/E48-1,E48/G48-1)</f>
        <v>1.0978996701961563E-2</v>
      </c>
      <c r="F53" s="499" t="str">
        <f>IF(OR(E53&gt;=0.2,E53&lt;=-0.2),"超过20%","")</f>
        <v/>
      </c>
      <c r="G53" s="498">
        <f>IF(G48&lt;I48,I48/G48-1,G48/I48-1)</f>
        <v>0.18482034369033151</v>
      </c>
      <c r="H53" s="499" t="str">
        <f>IF(OR(G53&gt;=0.2,G53&lt;=-0.2),"超过20%","")</f>
        <v/>
      </c>
      <c r="I53" s="498">
        <f>IF(I48&lt;E48,E48/I48-1,I48/E48-1)</f>
        <v>0.17195347040391473</v>
      </c>
      <c r="J53" s="499" t="str">
        <f>IF(OR(I53&gt;=0.2,I53&lt;=-0.2),"超过20%","")</f>
        <v/>
      </c>
      <c r="K53" s="1104"/>
      <c r="L53" s="1105"/>
      <c r="M53" s="1143"/>
      <c r="N53" s="1143"/>
      <c r="O53" s="1143"/>
    </row>
    <row r="54" spans="1:29" s="501" customFormat="1" ht="13.5" customHeight="1">
      <c r="A54" s="1144"/>
      <c r="B54" s="1144"/>
      <c r="C54" s="496" t="s">
        <v>2529</v>
      </c>
      <c r="D54" s="500"/>
      <c r="E54" s="498">
        <f>IF(E47&lt;G47,G47/E47-1,E47/G47-1)</f>
        <v>9.5238095238095344E-2</v>
      </c>
      <c r="F54" s="499" t="str">
        <f>IF(OR(E54&gt;=0.3,E54&lt;=-0.3),"超过30%","")</f>
        <v/>
      </c>
      <c r="G54" s="498">
        <f>IF(G47&lt;I47,I47/G47-1,G47/I47-1)</f>
        <v>0.17391304347826098</v>
      </c>
      <c r="H54" s="499" t="str">
        <f>IF(OR(G54&gt;=0.3,G54&lt;=-0.3),"超过30%","")</f>
        <v/>
      </c>
      <c r="I54" s="498">
        <f>IF(I47&lt;E47,E47/I47-1,I47/E47-1)</f>
        <v>0.28571428571428581</v>
      </c>
      <c r="J54" s="499" t="str">
        <f>IF(OR(I54&gt;=0.3,I54&lt;=-0.3),"超过30%","")</f>
        <v/>
      </c>
      <c r="K54" s="1147"/>
      <c r="L54" s="1148"/>
      <c r="M54" s="1144"/>
      <c r="N54" s="1144"/>
      <c r="O54" s="1144"/>
      <c r="P54" s="2619"/>
    </row>
    <row r="55" spans="1:29" s="501" customFormat="1">
      <c r="A55" s="1144"/>
      <c r="B55" s="1145"/>
      <c r="C55" s="1149"/>
      <c r="D55" s="1144"/>
      <c r="E55" s="1144"/>
      <c r="F55" s="1144"/>
      <c r="G55" s="1144"/>
      <c r="H55" s="1144"/>
      <c r="I55" s="1144"/>
      <c r="J55" s="1144"/>
      <c r="K55" s="1147"/>
      <c r="L55" s="1148"/>
      <c r="M55" s="1144"/>
      <c r="N55" s="1144"/>
      <c r="O55" s="1144"/>
      <c r="P55" s="2619"/>
    </row>
    <row r="56" spans="1:29">
      <c r="A56" s="1143"/>
      <c r="B56" s="1145"/>
      <c r="C56" s="1149"/>
      <c r="D56" s="1143"/>
      <c r="E56" s="1143"/>
      <c r="F56" s="1143"/>
      <c r="G56" s="1143"/>
      <c r="H56" s="1143"/>
      <c r="I56" s="1143"/>
      <c r="J56" s="1143"/>
      <c r="K56" s="1104"/>
      <c r="L56" s="1105"/>
      <c r="M56" s="1143"/>
      <c r="N56" s="1143"/>
      <c r="O56" s="1143"/>
    </row>
    <row r="57" spans="1:29" ht="21.75" thickBot="1">
      <c r="A57" s="762" t="s">
        <v>2530</v>
      </c>
      <c r="B57" s="758"/>
      <c r="C57" s="763"/>
      <c r="D57" s="763"/>
      <c r="E57" s="763"/>
      <c r="F57" s="764"/>
      <c r="G57" s="764"/>
      <c r="H57" s="763"/>
      <c r="I57" s="763"/>
      <c r="J57" s="763"/>
      <c r="K57" s="1159"/>
      <c r="L57" s="1160"/>
      <c r="M57" s="1158"/>
      <c r="N57" s="1158"/>
      <c r="O57" s="1158"/>
      <c r="P57" s="2620"/>
      <c r="Q57" s="503"/>
    </row>
    <row r="58" spans="1:29" s="507" customFormat="1" ht="15">
      <c r="A58" s="504" t="s">
        <v>2531</v>
      </c>
      <c r="B58" s="505"/>
      <c r="C58" s="1574" t="str">
        <f>YEAR(C7)&amp;"-"&amp;MONTH(C7)</f>
        <v>2018-12</v>
      </c>
      <c r="D58" s="1573">
        <f>EDATE(C58,-1)</f>
        <v>43405</v>
      </c>
      <c r="E58" s="1573">
        <f>EDATE(D58,-1)</f>
        <v>43374</v>
      </c>
      <c r="F58" s="1573">
        <f t="shared" ref="F58:O58" si="19">EDATE(E58,-1)</f>
        <v>43344</v>
      </c>
      <c r="G58" s="1573">
        <f t="shared" si="19"/>
        <v>43313</v>
      </c>
      <c r="H58" s="1573">
        <f t="shared" si="19"/>
        <v>43282</v>
      </c>
      <c r="I58" s="1573">
        <f t="shared" si="19"/>
        <v>43252</v>
      </c>
      <c r="J58" s="1573">
        <f t="shared" si="19"/>
        <v>43221</v>
      </c>
      <c r="K58" s="1573">
        <f t="shared" si="19"/>
        <v>43191</v>
      </c>
      <c r="L58" s="1573">
        <f t="shared" si="19"/>
        <v>43160</v>
      </c>
      <c r="M58" s="1573">
        <f t="shared" si="19"/>
        <v>43132</v>
      </c>
      <c r="N58" s="1573">
        <f t="shared" si="19"/>
        <v>43101</v>
      </c>
      <c r="O58" s="1573">
        <f t="shared" si="19"/>
        <v>43070</v>
      </c>
      <c r="P58" s="1568"/>
    </row>
    <row r="59" spans="1:29" s="117" customFormat="1" ht="15">
      <c r="A59" s="508"/>
      <c r="B59" s="2621"/>
      <c r="C59" s="1571">
        <v>100</v>
      </c>
      <c r="D59" s="510">
        <v>99.5</v>
      </c>
      <c r="E59" s="511">
        <v>99</v>
      </c>
      <c r="F59" s="510">
        <v>98.5</v>
      </c>
      <c r="G59" s="511">
        <v>98</v>
      </c>
      <c r="H59" s="510">
        <v>97.5</v>
      </c>
      <c r="I59" s="511">
        <v>97</v>
      </c>
      <c r="J59" s="510">
        <v>96.5</v>
      </c>
      <c r="K59" s="511">
        <v>96</v>
      </c>
      <c r="L59" s="510">
        <v>95.5</v>
      </c>
      <c r="M59" s="511">
        <v>95</v>
      </c>
      <c r="N59" s="510">
        <v>94.5</v>
      </c>
      <c r="O59" s="511">
        <v>94</v>
      </c>
      <c r="P59" s="2622"/>
    </row>
    <row r="60" spans="1:29" s="117" customFormat="1" ht="15.75" thickBot="1">
      <c r="A60" s="514" t="s">
        <v>2532</v>
      </c>
      <c r="B60" s="515"/>
      <c r="C60" s="516"/>
      <c r="D60" s="517"/>
      <c r="E60" s="517"/>
      <c r="F60" s="517"/>
      <c r="G60" s="517"/>
      <c r="H60" s="517"/>
      <c r="I60" s="517"/>
      <c r="J60" s="517"/>
      <c r="K60" s="517"/>
      <c r="L60" s="517"/>
      <c r="M60" s="518"/>
      <c r="N60" s="517"/>
      <c r="O60" s="518"/>
      <c r="P60" s="2622"/>
      <c r="Q60" s="503"/>
    </row>
    <row r="61" spans="1:29" s="117" customFormat="1" ht="15">
      <c r="A61" s="520" t="s">
        <v>2533</v>
      </c>
      <c r="B61" s="509"/>
      <c r="C61" s="521" t="s">
        <v>2534</v>
      </c>
      <c r="D61" s="522"/>
      <c r="E61" s="522"/>
      <c r="F61" s="522"/>
      <c r="G61" s="522"/>
      <c r="H61" s="522"/>
      <c r="I61" s="522"/>
      <c r="J61" s="522"/>
      <c r="K61" s="522"/>
      <c r="L61" s="523"/>
      <c r="M61" s="524"/>
      <c r="N61" s="1150"/>
      <c r="O61" s="1150"/>
      <c r="P61" s="2623"/>
      <c r="Q61" s="503"/>
    </row>
    <row r="62" spans="1:29" s="117" customFormat="1" ht="15.75" thickBot="1">
      <c r="A62" s="520"/>
      <c r="B62" s="509"/>
      <c r="C62" s="510">
        <v>100</v>
      </c>
      <c r="D62" s="511"/>
      <c r="E62" s="511"/>
      <c r="F62" s="511"/>
      <c r="G62" s="511"/>
      <c r="H62" s="511"/>
      <c r="I62" s="511"/>
      <c r="J62" s="511"/>
      <c r="K62" s="511"/>
      <c r="L62" s="511"/>
      <c r="M62" s="513"/>
      <c r="N62" s="1150"/>
      <c r="O62" s="1150"/>
      <c r="P62" s="2622"/>
      <c r="Q62" s="503"/>
    </row>
    <row r="63" spans="1:29">
      <c r="A63" s="526" t="s">
        <v>2535</v>
      </c>
      <c r="B63" s="527" t="s">
        <v>2502</v>
      </c>
      <c r="C63" s="528" t="str">
        <f>C9</f>
        <v>住宅</v>
      </c>
      <c r="D63" s="529"/>
      <c r="E63" s="529"/>
      <c r="F63" s="529"/>
      <c r="G63" s="529"/>
      <c r="H63" s="529"/>
      <c r="I63" s="529"/>
      <c r="J63" s="529"/>
      <c r="K63" s="530"/>
      <c r="L63" s="531"/>
      <c r="M63" s="532"/>
      <c r="N63" s="1151"/>
      <c r="O63" s="1151"/>
      <c r="P63" s="2624"/>
      <c r="Q63" s="503"/>
    </row>
    <row r="64" spans="1:29" ht="15.75" thickBot="1">
      <c r="A64" s="533"/>
      <c r="B64" s="534"/>
      <c r="C64" s="535">
        <v>100</v>
      </c>
      <c r="D64" s="535"/>
      <c r="E64" s="535"/>
      <c r="F64" s="535"/>
      <c r="G64" s="535"/>
      <c r="H64" s="535"/>
      <c r="I64" s="535"/>
      <c r="J64" s="535"/>
      <c r="K64" s="535"/>
      <c r="L64" s="535"/>
      <c r="M64" s="536"/>
      <c r="N64" s="1152"/>
      <c r="O64" s="1152"/>
      <c r="P64" s="2624"/>
      <c r="Q64" s="503"/>
    </row>
    <row r="65" spans="1:17" ht="27.75" thickTop="1">
      <c r="A65" s="533"/>
      <c r="B65" s="537" t="s">
        <v>2505</v>
      </c>
      <c r="C65" s="538" t="s">
        <v>2536</v>
      </c>
      <c r="D65" s="538" t="s">
        <v>2537</v>
      </c>
      <c r="E65" s="538" t="s">
        <v>2538</v>
      </c>
      <c r="F65" s="538" t="s">
        <v>2539</v>
      </c>
      <c r="G65" s="538" t="s">
        <v>2540</v>
      </c>
      <c r="H65" s="538" t="s">
        <v>2541</v>
      </c>
      <c r="I65" s="538" t="s">
        <v>2542</v>
      </c>
      <c r="J65" s="538"/>
      <c r="K65" s="539"/>
      <c r="L65" s="540"/>
      <c r="M65" s="541"/>
      <c r="N65" s="1151"/>
      <c r="O65" s="1151"/>
      <c r="P65" s="2624"/>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2"/>
      <c r="O66" s="1152"/>
      <c r="P66" s="2624"/>
      <c r="Q66" s="503"/>
    </row>
    <row r="67" spans="1:17" ht="15.75" thickTop="1">
      <c r="A67" s="533"/>
      <c r="B67" s="545" t="s">
        <v>2506</v>
      </c>
      <c r="C67" s="546" t="str">
        <f>C68&amp;"（含）"&amp;"-"&amp;D68</f>
        <v>0（含）-0.5</v>
      </c>
      <c r="D67" s="546" t="str">
        <f t="shared" ref="D67:L67" si="21">D68&amp;"（含）"&amp;"-"&amp;E68</f>
        <v>0.5（含）-1</v>
      </c>
      <c r="E67" s="546" t="str">
        <f t="shared" si="21"/>
        <v>1（含）-1.5</v>
      </c>
      <c r="F67" s="546" t="str">
        <f t="shared" si="21"/>
        <v>1.5（含）-2</v>
      </c>
      <c r="G67" s="546" t="str">
        <f t="shared" si="21"/>
        <v>2（含）-2.5</v>
      </c>
      <c r="H67" s="546" t="str">
        <f t="shared" si="21"/>
        <v>2.5（含）-3</v>
      </c>
      <c r="I67" s="546" t="str">
        <f t="shared" si="21"/>
        <v>3（含）-3.5</v>
      </c>
      <c r="J67" s="546" t="str">
        <f t="shared" si="21"/>
        <v>3.5（含）-4</v>
      </c>
      <c r="K67" s="546" t="str">
        <f>K68&amp;"（含）"&amp;"-"&amp;L68</f>
        <v>4（含）-4.5</v>
      </c>
      <c r="L67" s="546" t="str">
        <f t="shared" si="21"/>
        <v>4.5（含）-5</v>
      </c>
      <c r="M67" s="447" t="str">
        <f>M68&amp;"（含）"&amp;"-"&amp;P68</f>
        <v>5（含）-</v>
      </c>
      <c r="N67" s="1152"/>
      <c r="O67" s="1152"/>
      <c r="P67" s="2624"/>
      <c r="Q67" s="503"/>
    </row>
    <row r="68" spans="1:17" ht="15">
      <c r="A68" s="533"/>
      <c r="B68" s="547"/>
      <c r="C68" s="548">
        <v>0</v>
      </c>
      <c r="D68" s="548">
        <v>0.5</v>
      </c>
      <c r="E68" s="548">
        <v>1</v>
      </c>
      <c r="F68" s="548">
        <v>1.5</v>
      </c>
      <c r="G68" s="548">
        <v>2</v>
      </c>
      <c r="H68" s="548">
        <v>2.5</v>
      </c>
      <c r="I68" s="548">
        <v>3</v>
      </c>
      <c r="J68" s="548">
        <v>3.5</v>
      </c>
      <c r="K68" s="548">
        <v>4</v>
      </c>
      <c r="L68" s="548">
        <v>4.5</v>
      </c>
      <c r="M68" s="548">
        <v>5</v>
      </c>
      <c r="N68" s="1151"/>
      <c r="O68" s="1151"/>
      <c r="P68" s="2624"/>
      <c r="Q68" s="503"/>
    </row>
    <row r="69" spans="1:17" ht="15.75" thickBot="1">
      <c r="A69" s="533"/>
      <c r="B69" s="534"/>
      <c r="C69" s="543">
        <v>100</v>
      </c>
      <c r="D69" s="543">
        <f t="shared" ref="D69:M69" si="22">C69-$K11</f>
        <v>97</v>
      </c>
      <c r="E69" s="543">
        <f t="shared" si="22"/>
        <v>94</v>
      </c>
      <c r="F69" s="543">
        <f t="shared" si="22"/>
        <v>91</v>
      </c>
      <c r="G69" s="543">
        <f t="shared" si="22"/>
        <v>88</v>
      </c>
      <c r="H69" s="543">
        <f t="shared" si="22"/>
        <v>85</v>
      </c>
      <c r="I69" s="543">
        <f t="shared" si="22"/>
        <v>82</v>
      </c>
      <c r="J69" s="543">
        <f t="shared" si="22"/>
        <v>79</v>
      </c>
      <c r="K69" s="543">
        <f t="shared" si="22"/>
        <v>76</v>
      </c>
      <c r="L69" s="543">
        <f t="shared" si="22"/>
        <v>73</v>
      </c>
      <c r="M69" s="544">
        <f t="shared" si="22"/>
        <v>70</v>
      </c>
      <c r="N69" s="1152"/>
      <c r="O69" s="1152"/>
      <c r="P69" s="2624"/>
      <c r="Q69" s="503"/>
    </row>
    <row r="70" spans="1:17" s="470" customFormat="1" ht="15.75" thickTop="1">
      <c r="A70" s="552"/>
      <c r="B70" s="537">
        <f>B12</f>
        <v>0</v>
      </c>
      <c r="C70" s="553"/>
      <c r="D70" s="553"/>
      <c r="E70" s="553"/>
      <c r="F70" s="553"/>
      <c r="G70" s="553"/>
      <c r="H70" s="554"/>
      <c r="I70" s="554"/>
      <c r="J70" s="554"/>
      <c r="K70" s="554"/>
      <c r="L70" s="555"/>
      <c r="M70" s="556"/>
      <c r="N70" s="1153"/>
      <c r="O70" s="1153"/>
      <c r="P70" s="2625"/>
      <c r="Q70" s="558"/>
    </row>
    <row r="71" spans="1:17" s="470" customFormat="1" ht="15.75" thickBot="1">
      <c r="A71" s="552"/>
      <c r="B71" s="542"/>
      <c r="C71" s="559"/>
      <c r="D71" s="535"/>
      <c r="E71" s="535"/>
      <c r="F71" s="535"/>
      <c r="G71" s="535"/>
      <c r="H71" s="535"/>
      <c r="I71" s="535"/>
      <c r="J71" s="535"/>
      <c r="K71" s="535"/>
      <c r="L71" s="535"/>
      <c r="M71" s="536"/>
      <c r="N71" s="1152"/>
      <c r="O71" s="1152"/>
      <c r="P71" s="2625"/>
      <c r="Q71" s="558"/>
    </row>
    <row r="72" spans="1:17" s="470" customFormat="1" ht="15.75" thickTop="1">
      <c r="A72" s="552"/>
      <c r="B72" s="537">
        <f>B13</f>
        <v>0</v>
      </c>
      <c r="C72" s="553"/>
      <c r="D72" s="553"/>
      <c r="E72" s="553"/>
      <c r="F72" s="553"/>
      <c r="G72" s="553"/>
      <c r="H72" s="554"/>
      <c r="I72" s="554"/>
      <c r="J72" s="554"/>
      <c r="K72" s="554"/>
      <c r="L72" s="555"/>
      <c r="M72" s="556"/>
      <c r="N72" s="1153"/>
      <c r="O72" s="1153"/>
      <c r="P72" s="2626"/>
      <c r="Q72" s="560"/>
    </row>
    <row r="73" spans="1:17" s="470" customFormat="1" ht="15.75" thickBot="1">
      <c r="A73" s="552"/>
      <c r="B73" s="542"/>
      <c r="C73" s="559"/>
      <c r="D73" s="559"/>
      <c r="E73" s="559"/>
      <c r="F73" s="559"/>
      <c r="G73" s="559"/>
      <c r="H73" s="561"/>
      <c r="I73" s="561"/>
      <c r="J73" s="561"/>
      <c r="K73" s="561"/>
      <c r="L73" s="561"/>
      <c r="M73" s="562"/>
      <c r="N73" s="1153"/>
      <c r="O73" s="1153"/>
      <c r="P73" s="2625"/>
      <c r="Q73" s="558"/>
    </row>
    <row r="74" spans="1:17" s="470" customFormat="1" ht="15.75" thickTop="1">
      <c r="A74" s="552"/>
      <c r="B74" s="545">
        <f>B14</f>
        <v>0</v>
      </c>
      <c r="C74" s="553"/>
      <c r="D74" s="553"/>
      <c r="E74" s="553"/>
      <c r="F74" s="553"/>
      <c r="G74" s="522"/>
      <c r="H74" s="563"/>
      <c r="I74" s="563"/>
      <c r="J74" s="563"/>
      <c r="K74" s="563"/>
      <c r="L74" s="564"/>
      <c r="M74" s="565"/>
      <c r="N74" s="1153"/>
      <c r="O74" s="1153"/>
      <c r="P74" s="2627"/>
      <c r="Q74" s="558"/>
    </row>
    <row r="75" spans="1:17" s="470" customFormat="1" ht="15.75" thickBot="1">
      <c r="A75" s="567"/>
      <c r="B75" s="568"/>
      <c r="C75" s="569"/>
      <c r="D75" s="569"/>
      <c r="E75" s="569"/>
      <c r="F75" s="569"/>
      <c r="G75" s="569"/>
      <c r="H75" s="570"/>
      <c r="I75" s="570"/>
      <c r="J75" s="570"/>
      <c r="K75" s="570"/>
      <c r="L75" s="570"/>
      <c r="M75" s="571"/>
      <c r="N75" s="1153"/>
      <c r="O75" s="1153"/>
      <c r="P75" s="2625"/>
      <c r="Q75" s="558"/>
    </row>
    <row r="76" spans="1:17">
      <c r="A76" s="526" t="s">
        <v>2507</v>
      </c>
      <c r="B76" s="527" t="s">
        <v>2543</v>
      </c>
      <c r="C76" s="572" t="s">
        <v>2544</v>
      </c>
      <c r="D76" s="572" t="s">
        <v>2545</v>
      </c>
      <c r="E76" s="572" t="s">
        <v>2546</v>
      </c>
      <c r="F76" s="572" t="s">
        <v>2547</v>
      </c>
      <c r="G76" s="572" t="s">
        <v>2548</v>
      </c>
      <c r="H76" s="528"/>
      <c r="I76" s="528"/>
      <c r="J76" s="528"/>
      <c r="K76" s="573"/>
      <c r="L76" s="574"/>
      <c r="M76" s="575"/>
      <c r="N76" s="1151"/>
      <c r="O76" s="1151"/>
      <c r="P76" s="2628"/>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2"/>
      <c r="O77" s="1152"/>
      <c r="P77" s="2624"/>
      <c r="Q77" s="503"/>
    </row>
    <row r="78" spans="1:17" ht="15.75" thickTop="1">
      <c r="A78" s="533"/>
      <c r="B78" s="537" t="s">
        <v>2549</v>
      </c>
      <c r="C78" s="577" t="s">
        <v>2544</v>
      </c>
      <c r="D78" s="577" t="s">
        <v>2545</v>
      </c>
      <c r="E78" s="577" t="s">
        <v>2546</v>
      </c>
      <c r="F78" s="577" t="s">
        <v>2547</v>
      </c>
      <c r="G78" s="577" t="s">
        <v>2548</v>
      </c>
      <c r="H78" s="538"/>
      <c r="I78" s="538"/>
      <c r="J78" s="538"/>
      <c r="K78" s="539"/>
      <c r="L78" s="540"/>
      <c r="M78" s="541"/>
      <c r="N78" s="1151"/>
      <c r="O78" s="1151"/>
      <c r="P78" s="2624"/>
      <c r="Q78" s="503"/>
    </row>
    <row r="79" spans="1:17" ht="15.75" thickBot="1">
      <c r="A79" s="533"/>
      <c r="B79" s="542"/>
      <c r="C79" s="543">
        <v>100</v>
      </c>
      <c r="D79" s="543">
        <f>C79-$K17</f>
        <v>99</v>
      </c>
      <c r="E79" s="543">
        <f>D79-$K17</f>
        <v>98</v>
      </c>
      <c r="F79" s="543">
        <f>E79-$K17</f>
        <v>97</v>
      </c>
      <c r="G79" s="543">
        <f>F79-$K17</f>
        <v>96</v>
      </c>
      <c r="H79" s="543"/>
      <c r="I79" s="543"/>
      <c r="J79" s="543"/>
      <c r="K79" s="543"/>
      <c r="L79" s="543"/>
      <c r="M79" s="544"/>
      <c r="N79" s="1152"/>
      <c r="O79" s="1152"/>
      <c r="P79" s="2624"/>
      <c r="Q79" s="503"/>
    </row>
    <row r="80" spans="1:17" ht="15.75" thickTop="1">
      <c r="A80" s="533"/>
      <c r="B80" s="537" t="s">
        <v>2550</v>
      </c>
      <c r="C80" s="577" t="s">
        <v>2544</v>
      </c>
      <c r="D80" s="577" t="s">
        <v>2545</v>
      </c>
      <c r="E80" s="577" t="s">
        <v>2546</v>
      </c>
      <c r="F80" s="577" t="s">
        <v>2547</v>
      </c>
      <c r="G80" s="577" t="s">
        <v>2548</v>
      </c>
      <c r="H80" s="538"/>
      <c r="I80" s="538"/>
      <c r="J80" s="538"/>
      <c r="K80" s="539"/>
      <c r="L80" s="540"/>
      <c r="M80" s="541"/>
      <c r="N80" s="1151"/>
      <c r="O80" s="1151"/>
      <c r="P80" s="2624"/>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2"/>
      <c r="O81" s="1152"/>
      <c r="P81" s="2624"/>
      <c r="Q81" s="503"/>
    </row>
    <row r="82" spans="1:17" ht="15.75" thickTop="1">
      <c r="A82" s="533"/>
      <c r="B82" s="545" t="s">
        <v>2050</v>
      </c>
      <c r="C82" s="538" t="s">
        <v>2551</v>
      </c>
      <c r="D82" s="538" t="s">
        <v>2552</v>
      </c>
      <c r="E82" s="538" t="s">
        <v>2553</v>
      </c>
      <c r="F82" s="538" t="s">
        <v>2554</v>
      </c>
      <c r="G82" s="538" t="s">
        <v>2555</v>
      </c>
      <c r="H82" s="538"/>
      <c r="I82" s="538"/>
      <c r="J82" s="538"/>
      <c r="K82" s="538"/>
      <c r="L82" s="538"/>
      <c r="M82" s="1381"/>
      <c r="N82" s="1152"/>
      <c r="O82" s="1152"/>
      <c r="P82" s="2624"/>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24"/>
      <c r="Q83" s="503"/>
    </row>
    <row r="84" spans="1:17" ht="15.75" thickTop="1">
      <c r="A84" s="533"/>
      <c r="B84" s="537" t="s">
        <v>2556</v>
      </c>
      <c r="C84" s="577" t="s">
        <v>2544</v>
      </c>
      <c r="D84" s="577" t="s">
        <v>2545</v>
      </c>
      <c r="E84" s="577" t="s">
        <v>2546</v>
      </c>
      <c r="F84" s="577" t="s">
        <v>2547</v>
      </c>
      <c r="G84" s="577" t="s">
        <v>2548</v>
      </c>
      <c r="H84" s="538"/>
      <c r="I84" s="538"/>
      <c r="J84" s="538"/>
      <c r="K84" s="539"/>
      <c r="L84" s="540"/>
      <c r="M84" s="541"/>
      <c r="N84" s="1151"/>
      <c r="O84" s="1151"/>
      <c r="P84" s="2624"/>
      <c r="Q84" s="503"/>
    </row>
    <row r="85" spans="1:17" ht="15.75" thickBot="1">
      <c r="A85" s="533"/>
      <c r="B85" s="542"/>
      <c r="C85" s="543">
        <v>100</v>
      </c>
      <c r="D85" s="543">
        <f>C85-$K23</f>
        <v>95</v>
      </c>
      <c r="E85" s="543">
        <f>D85-$K23</f>
        <v>90</v>
      </c>
      <c r="F85" s="543">
        <f>E85-$K23</f>
        <v>85</v>
      </c>
      <c r="G85" s="543">
        <f>F85-$K23</f>
        <v>80</v>
      </c>
      <c r="H85" s="543"/>
      <c r="I85" s="543"/>
      <c r="J85" s="543"/>
      <c r="K85" s="543"/>
      <c r="L85" s="543"/>
      <c r="M85" s="544"/>
      <c r="N85" s="1152"/>
      <c r="O85" s="1152"/>
      <c r="P85" s="2624"/>
      <c r="Q85" s="503"/>
    </row>
    <row r="86" spans="1:17" s="117" customFormat="1" ht="15.75" thickTop="1">
      <c r="A86" s="578"/>
      <c r="B86" s="537" t="s">
        <v>2557</v>
      </c>
      <c r="C86" s="553" t="s">
        <v>3326</v>
      </c>
      <c r="D86" s="553"/>
      <c r="E86" s="553"/>
      <c r="F86" s="553"/>
      <c r="G86" s="553"/>
      <c r="H86" s="553"/>
      <c r="I86" s="553"/>
      <c r="J86" s="553"/>
      <c r="K86" s="553"/>
      <c r="L86" s="579"/>
      <c r="M86" s="580"/>
      <c r="N86" s="1150"/>
      <c r="O86" s="1150"/>
      <c r="P86" s="2624"/>
      <c r="Q86" s="503"/>
    </row>
    <row r="87" spans="1:17" s="117" customFormat="1" ht="15.75" thickBot="1">
      <c r="A87" s="578"/>
      <c r="B87" s="542"/>
      <c r="C87" s="581">
        <v>100</v>
      </c>
      <c r="D87" s="543" t="e">
        <f t="shared" ref="D87:M87" si="24">$C$87-($C$86-D86)*$K$25</f>
        <v>#VALUE!</v>
      </c>
      <c r="E87" s="543" t="e">
        <f t="shared" si="24"/>
        <v>#VALUE!</v>
      </c>
      <c r="F87" s="543" t="e">
        <f t="shared" si="24"/>
        <v>#VALUE!</v>
      </c>
      <c r="G87" s="543" t="e">
        <f t="shared" si="24"/>
        <v>#VALUE!</v>
      </c>
      <c r="H87" s="543" t="e">
        <f t="shared" si="24"/>
        <v>#VALUE!</v>
      </c>
      <c r="I87" s="543" t="e">
        <f t="shared" si="24"/>
        <v>#VALUE!</v>
      </c>
      <c r="J87" s="543" t="e">
        <f t="shared" si="24"/>
        <v>#VALUE!</v>
      </c>
      <c r="K87" s="543" t="e">
        <f t="shared" si="24"/>
        <v>#VALUE!</v>
      </c>
      <c r="L87" s="543" t="e">
        <f t="shared" si="24"/>
        <v>#VALUE!</v>
      </c>
      <c r="M87" s="543" t="e">
        <f t="shared" si="24"/>
        <v>#VALUE!</v>
      </c>
      <c r="N87" s="1152"/>
      <c r="O87" s="1152"/>
      <c r="P87" s="2624"/>
      <c r="Q87" s="503"/>
    </row>
    <row r="88" spans="1:17" s="117" customFormat="1" ht="15.75" thickTop="1">
      <c r="A88" s="578"/>
      <c r="B88" s="537" t="s">
        <v>2558</v>
      </c>
      <c r="C88" s="553" t="s">
        <v>3326</v>
      </c>
      <c r="D88" s="553"/>
      <c r="E88" s="553"/>
      <c r="F88" s="2629"/>
      <c r="G88" s="553"/>
      <c r="H88" s="553"/>
      <c r="I88" s="553"/>
      <c r="J88" s="553"/>
      <c r="K88" s="553"/>
      <c r="L88" s="553"/>
      <c r="M88" s="580"/>
      <c r="N88" s="1150"/>
      <c r="O88" s="1150"/>
      <c r="P88" s="2624"/>
      <c r="Q88" s="503"/>
    </row>
    <row r="89" spans="1:17" s="117" customFormat="1" ht="15.75" thickBot="1">
      <c r="A89" s="578"/>
      <c r="B89" s="542"/>
      <c r="C89" s="581">
        <v>100</v>
      </c>
      <c r="D89" s="543">
        <f t="shared" ref="D89:M89" si="25">C89-$K26</f>
        <v>99</v>
      </c>
      <c r="E89" s="543">
        <f t="shared" si="25"/>
        <v>98</v>
      </c>
      <c r="F89" s="543">
        <f t="shared" si="25"/>
        <v>97</v>
      </c>
      <c r="G89" s="543">
        <f t="shared" si="25"/>
        <v>96</v>
      </c>
      <c r="H89" s="543">
        <f t="shared" si="25"/>
        <v>95</v>
      </c>
      <c r="I89" s="543">
        <f t="shared" si="25"/>
        <v>94</v>
      </c>
      <c r="J89" s="543">
        <f t="shared" si="25"/>
        <v>93</v>
      </c>
      <c r="K89" s="543">
        <f t="shared" si="25"/>
        <v>92</v>
      </c>
      <c r="L89" s="543">
        <f t="shared" si="25"/>
        <v>91</v>
      </c>
      <c r="M89" s="543">
        <f t="shared" si="25"/>
        <v>90</v>
      </c>
      <c r="N89" s="1152"/>
      <c r="O89" s="1152"/>
      <c r="P89" s="2624"/>
      <c r="Q89" s="503"/>
    </row>
    <row r="90" spans="1:17" s="470" customFormat="1" ht="15.75" thickTop="1">
      <c r="A90" s="552"/>
      <c r="B90" s="537">
        <f>B27</f>
        <v>0</v>
      </c>
      <c r="C90" s="553"/>
      <c r="D90" s="553"/>
      <c r="E90" s="553"/>
      <c r="F90" s="553"/>
      <c r="G90" s="553"/>
      <c r="H90" s="554"/>
      <c r="I90" s="554"/>
      <c r="J90" s="554"/>
      <c r="K90" s="554"/>
      <c r="L90" s="555"/>
      <c r="M90" s="556"/>
      <c r="N90" s="1153"/>
      <c r="O90" s="1153"/>
      <c r="P90" s="2625"/>
      <c r="Q90" s="558"/>
    </row>
    <row r="91" spans="1:17" s="470" customFormat="1" ht="15.75" thickBot="1">
      <c r="A91" s="552"/>
      <c r="B91" s="542"/>
      <c r="C91" s="559"/>
      <c r="D91" s="559"/>
      <c r="E91" s="559"/>
      <c r="F91" s="559"/>
      <c r="G91" s="559"/>
      <c r="H91" s="561"/>
      <c r="I91" s="561"/>
      <c r="J91" s="561"/>
      <c r="K91" s="561"/>
      <c r="L91" s="561"/>
      <c r="M91" s="562"/>
      <c r="N91" s="1153"/>
      <c r="O91" s="1153"/>
      <c r="P91" s="2625"/>
      <c r="Q91" s="558"/>
    </row>
    <row r="92" spans="1:17" ht="15.75" thickTop="1">
      <c r="A92" s="533"/>
      <c r="B92" s="537">
        <f>B28</f>
        <v>0</v>
      </c>
      <c r="C92" s="2988"/>
      <c r="D92" s="2988"/>
      <c r="E92" s="553"/>
      <c r="F92" s="553"/>
      <c r="G92" s="582"/>
      <c r="H92" s="582"/>
      <c r="I92" s="582"/>
      <c r="J92" s="582"/>
      <c r="K92" s="583"/>
      <c r="L92" s="584"/>
      <c r="M92" s="585"/>
      <c r="N92" s="1151"/>
      <c r="O92" s="1151"/>
      <c r="P92" s="2624"/>
      <c r="Q92" s="503"/>
    </row>
    <row r="93" spans="1:17" ht="15.75" thickBot="1">
      <c r="A93" s="533"/>
      <c r="B93" s="542"/>
      <c r="C93" s="559"/>
      <c r="D93" s="535"/>
      <c r="E93" s="535"/>
      <c r="F93" s="535"/>
      <c r="G93" s="535"/>
      <c r="H93" s="535"/>
      <c r="I93" s="535"/>
      <c r="J93" s="535"/>
      <c r="K93" s="535"/>
      <c r="L93" s="535"/>
      <c r="M93" s="536"/>
      <c r="N93" s="1152"/>
      <c r="O93" s="1152"/>
      <c r="P93" s="2624"/>
      <c r="Q93" s="503"/>
    </row>
    <row r="94" spans="1:17" ht="15.75" thickTop="1">
      <c r="A94" s="533"/>
      <c r="B94" s="537">
        <f>B29</f>
        <v>0</v>
      </c>
      <c r="C94" s="553"/>
      <c r="D94" s="553"/>
      <c r="E94" s="553"/>
      <c r="F94" s="553"/>
      <c r="G94" s="582"/>
      <c r="H94" s="582"/>
      <c r="I94" s="582"/>
      <c r="J94" s="582"/>
      <c r="K94" s="583"/>
      <c r="L94" s="584"/>
      <c r="M94" s="585"/>
      <c r="N94" s="1151"/>
      <c r="O94" s="1151"/>
      <c r="P94" s="2624"/>
      <c r="Q94" s="503"/>
    </row>
    <row r="95" spans="1:17" ht="15.75" thickBot="1">
      <c r="A95" s="533"/>
      <c r="B95" s="542"/>
      <c r="C95" s="559"/>
      <c r="D95" s="559"/>
      <c r="E95" s="559"/>
      <c r="F95" s="559"/>
      <c r="G95" s="535"/>
      <c r="H95" s="535"/>
      <c r="I95" s="535"/>
      <c r="J95" s="535"/>
      <c r="K95" s="535"/>
      <c r="L95" s="535"/>
      <c r="M95" s="536"/>
      <c r="N95" s="1152"/>
      <c r="O95" s="1152"/>
      <c r="P95" s="2624"/>
      <c r="Q95" s="503"/>
    </row>
    <row r="96" spans="1:17" ht="15.75" thickTop="1">
      <c r="A96" s="533"/>
      <c r="B96" s="537">
        <f>B30</f>
        <v>0</v>
      </c>
      <c r="C96" s="553"/>
      <c r="D96" s="553"/>
      <c r="E96" s="553"/>
      <c r="F96" s="553"/>
      <c r="G96" s="582"/>
      <c r="H96" s="582"/>
      <c r="I96" s="582"/>
      <c r="J96" s="582"/>
      <c r="K96" s="583"/>
      <c r="L96" s="584"/>
      <c r="M96" s="585"/>
      <c r="N96" s="1151"/>
      <c r="O96" s="1151"/>
      <c r="P96" s="2624"/>
      <c r="Q96" s="503"/>
    </row>
    <row r="97" spans="1:17" ht="15.75" thickBot="1">
      <c r="A97" s="533"/>
      <c r="B97" s="542"/>
      <c r="C97" s="569"/>
      <c r="D97" s="569"/>
      <c r="E97" s="569"/>
      <c r="F97" s="569"/>
      <c r="G97" s="535"/>
      <c r="H97" s="535"/>
      <c r="I97" s="535"/>
      <c r="J97" s="535"/>
      <c r="K97" s="535"/>
      <c r="L97" s="535"/>
      <c r="M97" s="536"/>
      <c r="N97" s="1152"/>
      <c r="O97" s="1152"/>
      <c r="P97" s="2624"/>
      <c r="Q97" s="503"/>
    </row>
    <row r="98" spans="1:17" ht="15.75" thickTop="1">
      <c r="A98" s="533"/>
      <c r="B98" s="545">
        <f>B31</f>
        <v>0</v>
      </c>
      <c r="C98" s="586"/>
      <c r="D98" s="586"/>
      <c r="E98" s="586"/>
      <c r="F98" s="586"/>
      <c r="G98" s="586"/>
      <c r="H98" s="586"/>
      <c r="I98" s="586"/>
      <c r="J98" s="586"/>
      <c r="K98" s="587"/>
      <c r="L98" s="588"/>
      <c r="M98" s="589"/>
      <c r="N98" s="1151"/>
      <c r="O98" s="1151"/>
      <c r="P98" s="2624"/>
      <c r="Q98" s="503"/>
    </row>
    <row r="99" spans="1:17" ht="15.75" thickBot="1">
      <c r="A99" s="2630"/>
      <c r="B99" s="568"/>
      <c r="C99" s="590"/>
      <c r="D99" s="590"/>
      <c r="E99" s="590"/>
      <c r="F99" s="590"/>
      <c r="G99" s="590"/>
      <c r="H99" s="590"/>
      <c r="I99" s="590"/>
      <c r="J99" s="590"/>
      <c r="K99" s="590"/>
      <c r="L99" s="590"/>
      <c r="M99" s="591"/>
      <c r="N99" s="1152"/>
      <c r="O99" s="1152"/>
      <c r="P99" s="2624"/>
      <c r="Q99" s="503"/>
    </row>
    <row r="100" spans="1:17">
      <c r="A100" s="526" t="s">
        <v>2511</v>
      </c>
      <c r="B100" s="527" t="s">
        <v>2559</v>
      </c>
      <c r="C100" s="2987" t="s">
        <v>3362</v>
      </c>
      <c r="D100" s="2987" t="s">
        <v>3363</v>
      </c>
      <c r="E100" s="2987" t="s">
        <v>3365</v>
      </c>
      <c r="F100" s="529"/>
      <c r="G100" s="529"/>
      <c r="H100" s="529"/>
      <c r="I100" s="529"/>
      <c r="J100" s="529"/>
      <c r="K100" s="530"/>
      <c r="L100" s="531"/>
      <c r="M100" s="532"/>
      <c r="N100" s="1151"/>
      <c r="O100" s="1151"/>
      <c r="P100" s="2624"/>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2"/>
      <c r="O101" s="1152"/>
      <c r="P101" s="2624"/>
      <c r="Q101" s="503"/>
    </row>
    <row r="102" spans="1:17" ht="29.25" thickTop="1">
      <c r="A102" s="533"/>
      <c r="B102" s="537" t="s">
        <v>2560</v>
      </c>
      <c r="C102" s="577" t="str">
        <f>C103&amp;"(含)"&amp;"-"&amp;D103</f>
        <v>0(含)-100000</v>
      </c>
      <c r="D102" s="577" t="str">
        <f t="shared" ref="D102:L102" si="27">D103&amp;"(含)"&amp;"-"&amp;E103</f>
        <v>100000(含)-200000</v>
      </c>
      <c r="E102" s="577" t="str">
        <f t="shared" si="27"/>
        <v>200000(含)-300000</v>
      </c>
      <c r="F102" s="577" t="str">
        <f t="shared" si="27"/>
        <v>300000(含)-400000</v>
      </c>
      <c r="G102" s="577" t="str">
        <f t="shared" si="27"/>
        <v>400000(含)-500000</v>
      </c>
      <c r="H102" s="577" t="str">
        <f t="shared" si="27"/>
        <v>500000(含)-</v>
      </c>
      <c r="I102" s="577" t="str">
        <f t="shared" si="27"/>
        <v>(含)-</v>
      </c>
      <c r="J102" s="577" t="str">
        <f t="shared" si="27"/>
        <v>(含)-</v>
      </c>
      <c r="K102" s="577" t="str">
        <f>K103&amp;"(含)"&amp;"-"&amp;L103</f>
        <v>(含)-</v>
      </c>
      <c r="L102" s="577" t="str">
        <f t="shared" si="27"/>
        <v>(含)-</v>
      </c>
      <c r="M102" s="577" t="str">
        <f>M103&amp;"(含)"&amp;"-"&amp;P103</f>
        <v>(含)-</v>
      </c>
      <c r="N102" s="1150"/>
      <c r="O102" s="1150"/>
      <c r="P102" s="2624"/>
      <c r="Q102" s="503"/>
    </row>
    <row r="103" spans="1:17" s="470" customFormat="1">
      <c r="A103" s="592"/>
      <c r="B103" s="593"/>
      <c r="C103" s="594">
        <v>0</v>
      </c>
      <c r="D103" s="594">
        <v>100000</v>
      </c>
      <c r="E103" s="594">
        <v>200000</v>
      </c>
      <c r="F103" s="594">
        <v>300000</v>
      </c>
      <c r="G103" s="594">
        <v>400000</v>
      </c>
      <c r="H103" s="594">
        <v>500000</v>
      </c>
      <c r="I103" s="594"/>
      <c r="J103" s="595"/>
      <c r="K103" s="595"/>
      <c r="L103" s="596"/>
      <c r="M103" s="597"/>
      <c r="N103" s="1153"/>
      <c r="O103" s="1153"/>
      <c r="P103" s="2625"/>
      <c r="Q103" s="558"/>
    </row>
    <row r="104" spans="1:17" s="470" customFormat="1" ht="15.75" thickBot="1">
      <c r="A104" s="552"/>
      <c r="B104" s="542"/>
      <c r="C104" s="559">
        <v>100</v>
      </c>
      <c r="D104" s="535">
        <v>101</v>
      </c>
      <c r="E104" s="535">
        <v>102</v>
      </c>
      <c r="F104" s="535">
        <v>103</v>
      </c>
      <c r="G104" s="535">
        <v>104</v>
      </c>
      <c r="H104" s="535">
        <v>105</v>
      </c>
      <c r="I104" s="535"/>
      <c r="J104" s="535"/>
      <c r="K104" s="535"/>
      <c r="L104" s="535"/>
      <c r="M104" s="535"/>
      <c r="N104" s="1152"/>
      <c r="O104" s="1152"/>
      <c r="P104" s="2625"/>
      <c r="Q104" s="558"/>
    </row>
    <row r="105" spans="1:17" ht="15" thickTop="1">
      <c r="A105" s="598"/>
      <c r="B105" s="537" t="s">
        <v>2561</v>
      </c>
      <c r="C105" s="2988" t="s">
        <v>3328</v>
      </c>
      <c r="D105" s="553"/>
      <c r="E105" s="582"/>
      <c r="F105" s="582"/>
      <c r="G105" s="582"/>
      <c r="H105" s="582"/>
      <c r="I105" s="582"/>
      <c r="J105" s="582"/>
      <c r="K105" s="583"/>
      <c r="L105" s="584"/>
      <c r="M105" s="585"/>
      <c r="N105" s="1151"/>
      <c r="O105" s="1151"/>
      <c r="P105" s="2624"/>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52"/>
      <c r="O106" s="1152"/>
      <c r="P106" s="2624"/>
      <c r="Q106" s="503"/>
    </row>
    <row r="107" spans="1:17" ht="15" thickTop="1">
      <c r="A107" s="598"/>
      <c r="B107" s="537" t="s">
        <v>2562</v>
      </c>
      <c r="C107" s="2989" t="s">
        <v>3330</v>
      </c>
      <c r="D107" s="2989" t="s">
        <v>3350</v>
      </c>
      <c r="E107" s="582"/>
      <c r="F107" s="582"/>
      <c r="G107" s="582"/>
      <c r="H107" s="582"/>
      <c r="I107" s="582"/>
      <c r="J107" s="582"/>
      <c r="K107" s="583"/>
      <c r="L107" s="584"/>
      <c r="M107" s="585"/>
      <c r="N107" s="1151"/>
      <c r="O107" s="1151"/>
      <c r="P107" s="2624"/>
      <c r="Q107" s="503"/>
    </row>
    <row r="108" spans="1:17" ht="15.75"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2"/>
      <c r="O108" s="1152"/>
      <c r="P108" s="2624"/>
      <c r="Q108" s="503"/>
    </row>
    <row r="109" spans="1:17" ht="15" thickTop="1">
      <c r="A109" s="598"/>
      <c r="B109" s="537" t="s">
        <v>2563</v>
      </c>
      <c r="C109" s="2988" t="s">
        <v>3332</v>
      </c>
      <c r="D109" s="553"/>
      <c r="E109" s="553"/>
      <c r="F109" s="582"/>
      <c r="G109" s="582"/>
      <c r="H109" s="582"/>
      <c r="I109" s="582"/>
      <c r="J109" s="582"/>
      <c r="K109" s="583"/>
      <c r="L109" s="584"/>
      <c r="M109" s="585"/>
      <c r="N109" s="1151"/>
      <c r="O109" s="1151"/>
      <c r="P109" s="2624"/>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52"/>
      <c r="O110" s="1152"/>
      <c r="P110" s="2624"/>
      <c r="Q110" s="503"/>
    </row>
    <row r="111" spans="1:17" s="470" customFormat="1" ht="15" thickTop="1">
      <c r="A111" s="592"/>
      <c r="B111" s="537" t="s">
        <v>1953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5"/>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25"/>
      <c r="Q113" s="558"/>
    </row>
    <row r="114" spans="1:17" ht="15" thickTop="1">
      <c r="A114" s="598"/>
      <c r="B114" s="537" t="s">
        <v>2564</v>
      </c>
      <c r="C114" s="2988" t="s">
        <v>3334</v>
      </c>
      <c r="D114" s="553"/>
      <c r="E114" s="582"/>
      <c r="F114" s="582"/>
      <c r="G114" s="582"/>
      <c r="H114" s="582"/>
      <c r="I114" s="582"/>
      <c r="J114" s="582"/>
      <c r="K114" s="583"/>
      <c r="L114" s="584"/>
      <c r="M114" s="585"/>
      <c r="N114" s="1151"/>
      <c r="O114" s="1151"/>
      <c r="P114" s="2624"/>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52"/>
      <c r="O115" s="1152"/>
      <c r="P115" s="2624"/>
      <c r="Q115" s="503"/>
    </row>
    <row r="116" spans="1:17" ht="15" thickTop="1">
      <c r="A116" s="598"/>
      <c r="B116" s="537" t="s">
        <v>2565</v>
      </c>
      <c r="C116" s="553" t="s">
        <v>3107</v>
      </c>
      <c r="D116" s="553" t="s">
        <v>3096</v>
      </c>
      <c r="E116" s="553" t="s">
        <v>3108</v>
      </c>
      <c r="F116" s="553" t="s">
        <v>3109</v>
      </c>
      <c r="G116" s="553" t="s">
        <v>3110</v>
      </c>
      <c r="H116" s="582"/>
      <c r="I116" s="582"/>
      <c r="J116" s="582"/>
      <c r="K116" s="583"/>
      <c r="L116" s="584"/>
      <c r="M116" s="585"/>
      <c r="N116" s="1151"/>
      <c r="O116" s="1151"/>
      <c r="P116" s="2624"/>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24"/>
      <c r="Q117" s="503"/>
    </row>
    <row r="118" spans="1:17" ht="15" thickTop="1">
      <c r="A118" s="598"/>
      <c r="B118" s="537" t="s">
        <v>2566</v>
      </c>
      <c r="C118" s="582" t="s">
        <v>3326</v>
      </c>
      <c r="D118" s="582"/>
      <c r="E118" s="582"/>
      <c r="F118" s="582"/>
      <c r="G118" s="582"/>
      <c r="H118" s="582"/>
      <c r="I118" s="582"/>
      <c r="J118" s="582"/>
      <c r="K118" s="583"/>
      <c r="L118" s="584"/>
      <c r="M118" s="585"/>
      <c r="N118" s="1151"/>
      <c r="O118" s="1151"/>
      <c r="P118" s="2624"/>
      <c r="Q118" s="503"/>
    </row>
    <row r="119" spans="1:17" ht="15.75" thickBot="1">
      <c r="A119" s="533"/>
      <c r="B119" s="542"/>
      <c r="C119" s="543">
        <v>100</v>
      </c>
      <c r="D119" s="543">
        <f t="shared" ref="D119:M119" si="32">C119-$K40</f>
        <v>99</v>
      </c>
      <c r="E119" s="543">
        <f t="shared" si="32"/>
        <v>98</v>
      </c>
      <c r="F119" s="543">
        <f t="shared" si="32"/>
        <v>97</v>
      </c>
      <c r="G119" s="543">
        <f t="shared" si="32"/>
        <v>96</v>
      </c>
      <c r="H119" s="543">
        <f t="shared" si="32"/>
        <v>95</v>
      </c>
      <c r="I119" s="543">
        <f t="shared" si="32"/>
        <v>94</v>
      </c>
      <c r="J119" s="543">
        <f t="shared" si="32"/>
        <v>93</v>
      </c>
      <c r="K119" s="543">
        <f t="shared" si="32"/>
        <v>92</v>
      </c>
      <c r="L119" s="543">
        <f t="shared" si="32"/>
        <v>91</v>
      </c>
      <c r="M119" s="543">
        <f t="shared" si="32"/>
        <v>90</v>
      </c>
      <c r="N119" s="1152"/>
      <c r="O119" s="1152"/>
      <c r="P119" s="2624"/>
      <c r="Q119" s="503"/>
    </row>
    <row r="120" spans="1:17" s="470" customFormat="1" ht="28.5" thickTop="1">
      <c r="A120" s="592"/>
      <c r="B120" s="537" t="s">
        <v>2522</v>
      </c>
      <c r="C120" s="553" t="s">
        <v>3326</v>
      </c>
      <c r="D120" s="553"/>
      <c r="E120" s="553"/>
      <c r="F120" s="553"/>
      <c r="G120" s="553"/>
      <c r="H120" s="553"/>
      <c r="I120" s="553"/>
      <c r="J120" s="553"/>
      <c r="K120" s="553"/>
      <c r="L120" s="579"/>
      <c r="M120" s="580"/>
      <c r="N120" s="1153"/>
      <c r="O120" s="1153"/>
      <c r="P120" s="2625"/>
      <c r="Q120" s="558"/>
    </row>
    <row r="121" spans="1:17" s="470" customFormat="1" ht="15.75" thickBot="1">
      <c r="A121" s="552"/>
      <c r="B121" s="534"/>
      <c r="C121" s="559">
        <v>100</v>
      </c>
      <c r="D121" s="535"/>
      <c r="E121" s="535"/>
      <c r="F121" s="535"/>
      <c r="G121" s="535"/>
      <c r="H121" s="535"/>
      <c r="I121" s="535"/>
      <c r="J121" s="535"/>
      <c r="K121" s="535"/>
      <c r="L121" s="535"/>
      <c r="M121" s="535"/>
      <c r="N121" s="1153"/>
      <c r="O121" s="1153"/>
      <c r="P121" s="2625"/>
      <c r="Q121" s="558"/>
    </row>
    <row r="122" spans="1:17" ht="15" thickTop="1">
      <c r="A122" s="598"/>
      <c r="B122" s="537" t="s">
        <v>2567</v>
      </c>
      <c r="C122" s="2988" t="s">
        <v>3332</v>
      </c>
      <c r="D122" s="2988" t="s">
        <v>3337</v>
      </c>
      <c r="E122" s="2988" t="s">
        <v>3338</v>
      </c>
      <c r="F122" s="2989" t="s">
        <v>3336</v>
      </c>
      <c r="G122" s="582"/>
      <c r="H122" s="582"/>
      <c r="I122" s="582"/>
      <c r="J122" s="582"/>
      <c r="K122" s="583"/>
      <c r="L122" s="584"/>
      <c r="M122" s="585"/>
      <c r="N122" s="1151"/>
      <c r="O122" s="1151"/>
      <c r="P122" s="2624"/>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2"/>
      <c r="O123" s="1152"/>
      <c r="P123" s="2624"/>
      <c r="Q123" s="503"/>
    </row>
    <row r="124" spans="1:17" ht="15" thickTop="1">
      <c r="A124" s="598"/>
      <c r="B124" s="537" t="s">
        <v>2568</v>
      </c>
      <c r="C124" s="577" t="s">
        <v>2544</v>
      </c>
      <c r="D124" s="577" t="s">
        <v>2545</v>
      </c>
      <c r="E124" s="577" t="s">
        <v>2546</v>
      </c>
      <c r="F124" s="577" t="s">
        <v>2547</v>
      </c>
      <c r="G124" s="577" t="s">
        <v>2548</v>
      </c>
      <c r="H124" s="538"/>
      <c r="I124" s="538"/>
      <c r="J124" s="538"/>
      <c r="K124" s="539"/>
      <c r="L124" s="540"/>
      <c r="M124" s="541"/>
      <c r="N124" s="1151"/>
      <c r="O124" s="1151"/>
      <c r="P124" s="2625"/>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24"/>
      <c r="Q125" s="503"/>
    </row>
    <row r="126" spans="1:17" s="470" customFormat="1" ht="15" thickTop="1">
      <c r="A126" s="592"/>
      <c r="B126" s="537">
        <f>B44</f>
        <v>0</v>
      </c>
      <c r="C126" s="553"/>
      <c r="D126" s="553"/>
      <c r="E126" s="553"/>
      <c r="F126" s="553"/>
      <c r="G126" s="553"/>
      <c r="H126" s="554"/>
      <c r="I126" s="554"/>
      <c r="J126" s="554"/>
      <c r="K126" s="554"/>
      <c r="L126" s="555"/>
      <c r="M126" s="556"/>
      <c r="N126" s="1153"/>
      <c r="O126" s="1153"/>
      <c r="P126" s="2625"/>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5"/>
      <c r="Q127" s="558"/>
    </row>
    <row r="128" spans="1:17" ht="15" thickTop="1">
      <c r="A128" s="598"/>
      <c r="B128" s="537">
        <f>B45</f>
        <v>0</v>
      </c>
      <c r="C128" s="553"/>
      <c r="D128" s="553"/>
      <c r="E128" s="553"/>
      <c r="F128" s="553"/>
      <c r="G128" s="582"/>
      <c r="H128" s="582"/>
      <c r="I128" s="582"/>
      <c r="J128" s="582"/>
      <c r="K128" s="583"/>
      <c r="L128" s="584"/>
      <c r="M128" s="585"/>
      <c r="N128" s="1151"/>
      <c r="O128" s="1151"/>
      <c r="P128" s="2624"/>
      <c r="Q128" s="503"/>
    </row>
    <row r="129" spans="1:17" ht="15.75" thickBot="1">
      <c r="A129" s="533"/>
      <c r="B129" s="542"/>
      <c r="C129" s="559"/>
      <c r="D129" s="559"/>
      <c r="E129" s="559"/>
      <c r="F129" s="559"/>
      <c r="G129" s="535"/>
      <c r="H129" s="535"/>
      <c r="I129" s="535"/>
      <c r="J129" s="535"/>
      <c r="K129" s="535"/>
      <c r="L129" s="535"/>
      <c r="M129" s="536"/>
      <c r="N129" s="1152"/>
      <c r="O129" s="1152"/>
      <c r="P129" s="2624"/>
      <c r="Q129" s="503"/>
    </row>
    <row r="130" spans="1:17" ht="15" thickTop="1">
      <c r="A130" s="598"/>
      <c r="B130" s="545">
        <f>B46</f>
        <v>0</v>
      </c>
      <c r="C130" s="553"/>
      <c r="D130" s="553"/>
      <c r="E130" s="553"/>
      <c r="F130" s="553"/>
      <c r="G130" s="586"/>
      <c r="H130" s="586"/>
      <c r="I130" s="586"/>
      <c r="J130" s="586"/>
      <c r="K130" s="522"/>
      <c r="L130" s="523"/>
      <c r="M130" s="589"/>
      <c r="N130" s="1151"/>
      <c r="O130" s="1151"/>
      <c r="P130" s="2624"/>
      <c r="Q130" s="503"/>
    </row>
    <row r="131" spans="1:17" ht="15.75" thickBot="1">
      <c r="A131" s="2630"/>
      <c r="B131" s="568"/>
      <c r="C131" s="569"/>
      <c r="D131" s="569"/>
      <c r="E131" s="569"/>
      <c r="F131" s="569"/>
      <c r="G131" s="590"/>
      <c r="H131" s="590"/>
      <c r="I131" s="590"/>
      <c r="J131" s="590"/>
      <c r="K131" s="590"/>
      <c r="L131" s="590"/>
      <c r="M131" s="591"/>
      <c r="N131" s="1152"/>
      <c r="O131" s="1152"/>
      <c r="P131" s="2624"/>
      <c r="Q131" s="503"/>
    </row>
    <row r="136" spans="1:17" ht="15" thickBot="1">
      <c r="B136" s="2631" t="s">
        <v>2569</v>
      </c>
    </row>
    <row r="137" spans="1:17" ht="15">
      <c r="B137" s="2632" t="s">
        <v>2570</v>
      </c>
      <c r="C137" s="2633"/>
      <c r="D137" s="2633"/>
      <c r="E137" s="2633"/>
      <c r="F137" s="2633"/>
      <c r="G137" s="2634"/>
      <c r="H137" s="2635"/>
      <c r="I137" s="2636" t="s">
        <v>2571</v>
      </c>
      <c r="J137" s="2633"/>
      <c r="K137" s="2637"/>
    </row>
    <row r="138" spans="1:17" ht="15">
      <c r="B138" s="2638"/>
      <c r="C138" s="145" t="s">
        <v>2572</v>
      </c>
      <c r="D138" s="145" t="s">
        <v>2573</v>
      </c>
      <c r="E138" s="2639" t="s">
        <v>2574</v>
      </c>
      <c r="F138" s="2640" t="s">
        <v>2575</v>
      </c>
      <c r="G138" s="145" t="s">
        <v>2573</v>
      </c>
      <c r="H138" s="146" t="s">
        <v>2574</v>
      </c>
      <c r="I138" s="2641"/>
      <c r="J138" s="145" t="s">
        <v>2576</v>
      </c>
      <c r="K138" s="146" t="s">
        <v>2577</v>
      </c>
    </row>
    <row r="139" spans="1:17" ht="15">
      <c r="B139" s="1083">
        <v>6</v>
      </c>
      <c r="C139" s="1084">
        <v>96</v>
      </c>
      <c r="D139" s="2642" t="s">
        <v>2578</v>
      </c>
      <c r="E139" s="1085">
        <v>100</v>
      </c>
      <c r="F139" s="1086">
        <v>102.5</v>
      </c>
      <c r="G139" s="2642" t="s">
        <v>2578</v>
      </c>
      <c r="H139" s="1087">
        <v>105</v>
      </c>
      <c r="I139" s="2643" t="s">
        <v>2579</v>
      </c>
      <c r="J139" s="1084">
        <v>20</v>
      </c>
      <c r="K139" s="1088">
        <f>C145/(J139-2)</f>
        <v>4.0555555555555553E-3</v>
      </c>
    </row>
    <row r="140" spans="1:17" ht="15">
      <c r="B140" s="1089">
        <v>5</v>
      </c>
      <c r="C140" s="1090">
        <v>100</v>
      </c>
      <c r="D140" s="1090"/>
      <c r="E140" s="1091"/>
      <c r="F140" s="1092">
        <v>102</v>
      </c>
      <c r="G140" s="1090"/>
      <c r="H140" s="1093"/>
      <c r="I140" s="2644" t="s">
        <v>2580</v>
      </c>
      <c r="J140" s="314">
        <f>ROUNDUP((J139-1)/2,0)</f>
        <v>10</v>
      </c>
      <c r="K140" s="1094">
        <v>100</v>
      </c>
    </row>
    <row r="141" spans="1:17" ht="15">
      <c r="B141" s="1089">
        <v>4</v>
      </c>
      <c r="C141" s="1090">
        <v>102</v>
      </c>
      <c r="D141" s="1090"/>
      <c r="E141" s="1091"/>
      <c r="F141" s="1092">
        <v>101.5</v>
      </c>
      <c r="G141" s="1090"/>
      <c r="H141" s="1093"/>
      <c r="I141" s="2644" t="s">
        <v>2581</v>
      </c>
      <c r="J141" s="314">
        <v>1</v>
      </c>
      <c r="K141" s="1095">
        <f>ROUND(100+(J141-J140)*K139*100,1)</f>
        <v>96.4</v>
      </c>
    </row>
    <row r="142" spans="1:17" ht="15">
      <c r="B142" s="1089">
        <v>3</v>
      </c>
      <c r="C142" s="1090">
        <v>103</v>
      </c>
      <c r="D142" s="1090"/>
      <c r="E142" s="1091"/>
      <c r="F142" s="1092">
        <v>101</v>
      </c>
      <c r="G142" s="1090"/>
      <c r="H142" s="1093"/>
      <c r="I142" s="2644" t="s">
        <v>2582</v>
      </c>
      <c r="J142" s="314">
        <f>J139</f>
        <v>20</v>
      </c>
      <c r="K142" s="1096">
        <v>95</v>
      </c>
    </row>
    <row r="143" spans="1:17" ht="15">
      <c r="B143" s="1089">
        <v>2</v>
      </c>
      <c r="C143" s="1090">
        <v>100</v>
      </c>
      <c r="D143" s="1090"/>
      <c r="E143" s="1091"/>
      <c r="F143" s="1092">
        <v>100.5</v>
      </c>
      <c r="G143" s="1090"/>
      <c r="H143" s="1093"/>
      <c r="I143" s="2644" t="s">
        <v>2583</v>
      </c>
      <c r="J143" s="1090">
        <v>15</v>
      </c>
      <c r="K143" s="1095">
        <f>ROUND(100+(J143-J140)*K139*100,1)</f>
        <v>102</v>
      </c>
    </row>
    <row r="144" spans="1:17" ht="15">
      <c r="B144" s="1089">
        <v>1</v>
      </c>
      <c r="C144" s="1090">
        <v>98</v>
      </c>
      <c r="D144" s="2645" t="s">
        <v>2584</v>
      </c>
      <c r="E144" s="1091">
        <v>102</v>
      </c>
      <c r="F144" s="1097">
        <v>100</v>
      </c>
      <c r="G144" s="2645" t="s">
        <v>2584</v>
      </c>
      <c r="H144" s="1093">
        <v>105</v>
      </c>
      <c r="I144" s="2644" t="s">
        <v>2583</v>
      </c>
      <c r="J144" s="1090">
        <v>18</v>
      </c>
      <c r="K144" s="1095">
        <f>ROUND(100+(J144-J140)*K139*100,1)</f>
        <v>103.2</v>
      </c>
    </row>
    <row r="145" spans="2:11" ht="15.75" thickBot="1">
      <c r="B145" s="2646" t="s">
        <v>2585</v>
      </c>
      <c r="C145" s="1098">
        <f>ROUND(MAX(C139:C144)/MIN(C139:C144)-1,3)</f>
        <v>7.2999999999999995E-2</v>
      </c>
      <c r="D145" s="1099"/>
      <c r="E145" s="1099"/>
      <c r="F145" s="2647" t="s">
        <v>2586</v>
      </c>
      <c r="G145" s="2648"/>
      <c r="H145" s="2649"/>
      <c r="I145" s="2650" t="s">
        <v>2583</v>
      </c>
      <c r="J145" s="1100">
        <v>8</v>
      </c>
      <c r="K145" s="1101">
        <f>ROUND(100+(J145-J140)*K139*100,1)</f>
        <v>99.2</v>
      </c>
    </row>
    <row r="147" spans="2:11">
      <c r="B147" s="2631" t="s">
        <v>2587</v>
      </c>
    </row>
    <row r="148" spans="2:11">
      <c r="B148" s="2631" t="s">
        <v>2588</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614" priority="14" stopIfTrue="1" operator="containsText" text="超过">
      <formula>NOT(ISERROR(SEARCH("超过",F52)))</formula>
    </cfRule>
  </conditionalFormatting>
  <conditionalFormatting sqref="J54">
    <cfRule type="containsText" dxfId="613" priority="13" stopIfTrue="1" operator="containsText" text="超过">
      <formula>NOT(ISERROR(SEARCH("超过",J54)))</formula>
    </cfRule>
  </conditionalFormatting>
  <conditionalFormatting sqref="H54">
    <cfRule type="containsText" dxfId="612" priority="12" stopIfTrue="1" operator="containsText" text="超过">
      <formula>NOT(ISERROR(SEARCH("超过",H54)))</formula>
    </cfRule>
  </conditionalFormatting>
  <conditionalFormatting sqref="F54">
    <cfRule type="containsText" dxfId="611" priority="11" stopIfTrue="1" operator="containsText" text="超过">
      <formula>NOT(ISERROR(SEARCH("超过",F54)))</formula>
    </cfRule>
  </conditionalFormatting>
  <conditionalFormatting sqref="F53 H53 J53">
    <cfRule type="containsText" dxfId="610" priority="10" stopIfTrue="1" operator="containsText" text="超过">
      <formula>NOT(ISERROR(SEARCH("超过",F53)))</formula>
    </cfRule>
  </conditionalFormatting>
  <conditionalFormatting sqref="E52">
    <cfRule type="expression" dxfId="609" priority="9" stopIfTrue="1">
      <formula>$F$52="超过30%"</formula>
    </cfRule>
  </conditionalFormatting>
  <conditionalFormatting sqref="G54">
    <cfRule type="expression" dxfId="608" priority="8" stopIfTrue="1">
      <formula>$H$54="超过30%"</formula>
    </cfRule>
  </conditionalFormatting>
  <conditionalFormatting sqref="E53">
    <cfRule type="expression" dxfId="607" priority="7" stopIfTrue="1">
      <formula>$F$53="超过20%"</formula>
    </cfRule>
  </conditionalFormatting>
  <conditionalFormatting sqref="E54">
    <cfRule type="expression" dxfId="606" priority="6" stopIfTrue="1">
      <formula>$F$54="超过30%"</formula>
    </cfRule>
  </conditionalFormatting>
  <conditionalFormatting sqref="G52">
    <cfRule type="expression" dxfId="605" priority="5" stopIfTrue="1">
      <formula>$H$52="超过30%"</formula>
    </cfRule>
  </conditionalFormatting>
  <conditionalFormatting sqref="G53">
    <cfRule type="expression" dxfId="604" priority="4" stopIfTrue="1">
      <formula>$H$53="超过20%"</formula>
    </cfRule>
  </conditionalFormatting>
  <conditionalFormatting sqref="I52">
    <cfRule type="expression" dxfId="603" priority="3" stopIfTrue="1">
      <formula>$J$52="超过30%"</formula>
    </cfRule>
  </conditionalFormatting>
  <conditionalFormatting sqref="I53">
    <cfRule type="expression" dxfId="602" priority="2" stopIfTrue="1">
      <formula>$J$53="超过20%"</formula>
    </cfRule>
  </conditionalFormatting>
  <conditionalFormatting sqref="I54">
    <cfRule type="expression" dxfId="60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5" sqref="D1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1581</v>
      </c>
      <c r="B1" s="781"/>
      <c r="C1" s="1835" t="s">
        <v>3001</v>
      </c>
      <c r="D1" s="1818" t="s">
        <v>3319</v>
      </c>
      <c r="E1" s="1819" t="s">
        <v>1379</v>
      </c>
      <c r="F1" s="1282">
        <f ca="1">J53</f>
        <v>47.23</v>
      </c>
      <c r="G1" s="1834">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1507</v>
      </c>
      <c r="B2" s="1842">
        <f ca="1">C40+J29+L46</f>
        <v>11997</v>
      </c>
      <c r="C2" s="1843" t="s">
        <v>1508</v>
      </c>
      <c r="D2" s="1843"/>
      <c r="E2" s="1844"/>
      <c r="F2" s="1845"/>
      <c r="G2" s="1846"/>
      <c r="H2" s="1838"/>
      <c r="I2" s="1838"/>
      <c r="J2" s="1838"/>
      <c r="K2" s="1839"/>
      <c r="L2" s="1838"/>
      <c r="M2" s="1838"/>
    </row>
    <row r="3" spans="1:37" ht="18" customHeight="1" thickBot="1">
      <c r="A3" s="1847" t="s">
        <v>1509</v>
      </c>
      <c r="B3" s="1848">
        <f ca="1">IF(ISERROR(B2*10000/F43),0,ROUND(B2*10000/F43,0))</f>
        <v>3179</v>
      </c>
      <c r="C3" s="1843" t="s">
        <v>1510</v>
      </c>
      <c r="D3" s="1843"/>
      <c r="E3" s="1844"/>
      <c r="F3" s="1845"/>
      <c r="G3" s="1846"/>
      <c r="H3" s="743" t="s">
        <v>1580</v>
      </c>
      <c r="I3" s="1838"/>
      <c r="J3" s="1838"/>
      <c r="K3" s="1839"/>
      <c r="L3" s="1838"/>
      <c r="M3" s="1838"/>
    </row>
    <row r="4" spans="1:37" ht="18" customHeight="1">
      <c r="A4" s="339" t="s">
        <v>1388</v>
      </c>
      <c r="B4" s="340" t="s">
        <v>1389</v>
      </c>
      <c r="C4" s="340" t="s">
        <v>1390</v>
      </c>
      <c r="D4" s="340" t="s">
        <v>1391</v>
      </c>
      <c r="E4" s="341" t="s">
        <v>1392</v>
      </c>
      <c r="F4" s="342"/>
      <c r="G4" s="1849"/>
      <c r="H4" s="339" t="s">
        <v>1388</v>
      </c>
      <c r="I4" s="340" t="s">
        <v>1389</v>
      </c>
      <c r="J4" s="340" t="s">
        <v>1390</v>
      </c>
      <c r="K4" s="340" t="s">
        <v>1391</v>
      </c>
      <c r="L4" s="341" t="s">
        <v>1392</v>
      </c>
      <c r="M4" s="342"/>
    </row>
    <row r="5" spans="1:37" ht="18" customHeight="1">
      <c r="A5" s="343">
        <v>1</v>
      </c>
      <c r="B5" s="344" t="s">
        <v>1393</v>
      </c>
      <c r="C5" s="1291">
        <f ca="1">C6+C10+C12</f>
        <v>879</v>
      </c>
      <c r="D5" s="1820" t="s">
        <v>1394</v>
      </c>
      <c r="E5" s="1292"/>
      <c r="F5" s="1293"/>
      <c r="G5" s="1849"/>
      <c r="H5" s="343">
        <v>1</v>
      </c>
      <c r="I5" s="344" t="s">
        <v>1393</v>
      </c>
      <c r="J5" s="1291">
        <f ca="1">J6+J10+J12</f>
        <v>0</v>
      </c>
      <c r="K5" s="1820" t="s">
        <v>1394</v>
      </c>
      <c r="L5" s="1292"/>
      <c r="M5" s="1293"/>
    </row>
    <row r="6" spans="1:37" ht="18" customHeight="1">
      <c r="A6" s="1290" t="s">
        <v>1031</v>
      </c>
      <c r="B6" s="3259" t="s">
        <v>1395</v>
      </c>
      <c r="C6" s="1295">
        <f ca="1">ROUND(F6*F8*F7*(1-F9)/10000,0)</f>
        <v>878</v>
      </c>
      <c r="D6" s="163" t="s">
        <v>2979</v>
      </c>
      <c r="E6" s="346" t="s">
        <v>1397</v>
      </c>
      <c r="F6" s="347">
        <f ca="1">INDIRECT("'数据-取费表'!u"&amp;$G$1)</f>
        <v>700</v>
      </c>
      <c r="G6" s="1849"/>
      <c r="H6" s="1290" t="s">
        <v>1031</v>
      </c>
      <c r="I6" s="3259" t="s">
        <v>1395</v>
      </c>
      <c r="J6" s="345">
        <f ca="1">ROUND(M6*M8*M7*(1-M9)/10000,0)</f>
        <v>0</v>
      </c>
      <c r="K6" s="163" t="s">
        <v>2978</v>
      </c>
      <c r="L6" s="346" t="s">
        <v>1397</v>
      </c>
      <c r="M6" s="347">
        <f ca="1">INDIRECT("'数据-取费表'!z"&amp;$G$1)</f>
        <v>0</v>
      </c>
    </row>
    <row r="7" spans="1:37" ht="18" customHeight="1">
      <c r="A7" s="1294"/>
      <c r="B7" s="3260"/>
      <c r="C7" s="1296"/>
      <c r="D7" s="351"/>
      <c r="E7" s="1297" t="s">
        <v>1398</v>
      </c>
      <c r="F7" s="347">
        <f ca="1">IF(INDIRECT("'数据-取费表'!ah"&amp;$G$1)="",INDIRECT("'数据-取费表'!k"&amp;$G$1),INDIRECT("'数据-取费表'!ah"&amp;$G$1))</f>
        <v>1161</v>
      </c>
      <c r="G7" s="1849"/>
      <c r="H7" s="348"/>
      <c r="I7" s="3260"/>
      <c r="J7" s="350"/>
      <c r="K7" s="351"/>
      <c r="L7" s="346" t="s">
        <v>1398</v>
      </c>
      <c r="M7" s="347">
        <f ca="1">F7</f>
        <v>1161</v>
      </c>
    </row>
    <row r="8" spans="1:37" ht="18" customHeight="1">
      <c r="A8" s="348"/>
      <c r="B8" s="3260"/>
      <c r="C8" s="350"/>
      <c r="D8" s="351"/>
      <c r="E8" s="346" t="s">
        <v>1399</v>
      </c>
      <c r="F8" s="347">
        <f ca="1">INDIRECT("'数据-取费表'!ai"&amp;$G$1)</f>
        <v>12</v>
      </c>
      <c r="G8" s="1849"/>
      <c r="H8" s="348"/>
      <c r="I8" s="3260"/>
      <c r="J8" s="350"/>
      <c r="K8" s="351"/>
      <c r="L8" s="346" t="s">
        <v>1399</v>
      </c>
      <c r="M8" s="347">
        <f ca="1">INDIRECT("'数据-取费表'!ai"&amp;$G$1)</f>
        <v>12</v>
      </c>
    </row>
    <row r="9" spans="1:37" ht="18" customHeight="1">
      <c r="A9" s="348"/>
      <c r="B9" s="3261"/>
      <c r="C9" s="350"/>
      <c r="D9" s="351"/>
      <c r="E9" s="346" t="s">
        <v>1400</v>
      </c>
      <c r="F9" s="356">
        <f ca="1">INDIRECT("'数据-取费表'!w"&amp;$G$1)</f>
        <v>0.1</v>
      </c>
      <c r="G9" s="1849"/>
      <c r="H9" s="348"/>
      <c r="I9" s="3261"/>
      <c r="J9" s="350"/>
      <c r="K9" s="351"/>
      <c r="L9" s="357" t="s">
        <v>1400</v>
      </c>
      <c r="M9" s="358">
        <f ca="1">INDIRECT("'数据-取费表'!ab"&amp;$G$1)</f>
        <v>0</v>
      </c>
    </row>
    <row r="10" spans="1:37" ht="18" customHeight="1">
      <c r="A10" s="1290" t="s">
        <v>1035</v>
      </c>
      <c r="B10" s="1821" t="s">
        <v>1401</v>
      </c>
      <c r="C10" s="360">
        <f ca="1">ROUND(IF(F10="押一",C6/12*F11,IF(F10="押二",C6/12*2*F11,IF(F10="押三",C6/12*3*F11,C11*F11))),0)</f>
        <v>1</v>
      </c>
      <c r="D10" s="1822" t="s">
        <v>2988</v>
      </c>
      <c r="E10" s="357" t="s">
        <v>1402</v>
      </c>
      <c r="F10" s="1365" t="s">
        <v>3320</v>
      </c>
      <c r="G10" s="1849"/>
      <c r="H10" s="1290" t="s">
        <v>1035</v>
      </c>
      <c r="I10" s="1821" t="s">
        <v>1401</v>
      </c>
      <c r="J10" s="345">
        <f ca="1">ROUND(IF(M10="押一",J6/12*M11,IF(M10="押二",J6/12*2*M11,IF(M10="押三",J6/12*3*M11,J11*M11))),0)</f>
        <v>0</v>
      </c>
      <c r="K10" s="1822" t="s">
        <v>2987</v>
      </c>
      <c r="L10" s="357" t="s">
        <v>1402</v>
      </c>
      <c r="M10" s="1365" t="s">
        <v>1403</v>
      </c>
    </row>
    <row r="11" spans="1:37" ht="18" customHeight="1">
      <c r="A11" s="352"/>
      <c r="B11" s="1823" t="s">
        <v>1380</v>
      </c>
      <c r="C11" s="1177"/>
      <c r="D11" s="1824"/>
      <c r="E11" s="357" t="s">
        <v>1404</v>
      </c>
      <c r="F11" s="358">
        <f ca="1">'数据-取费表'!B39</f>
        <v>1.4999999999999999E-2</v>
      </c>
      <c r="G11" s="1849"/>
      <c r="H11" s="1298"/>
      <c r="I11" s="1823" t="s">
        <v>1380</v>
      </c>
      <c r="J11" s="1177"/>
      <c r="K11" s="747"/>
      <c r="L11" s="357" t="s">
        <v>1404</v>
      </c>
      <c r="M11" s="1055">
        <f ca="1">'数据-取费表'!B39</f>
        <v>1.4999999999999999E-2</v>
      </c>
    </row>
    <row r="12" spans="1:37" ht="18" customHeight="1" thickBot="1">
      <c r="A12" s="1332" t="s">
        <v>1071</v>
      </c>
      <c r="B12" s="1825" t="s">
        <v>1405</v>
      </c>
      <c r="C12" s="1333"/>
      <c r="D12" s="1334"/>
      <c r="E12" s="1339"/>
      <c r="F12" s="1335"/>
      <c r="G12" s="1849"/>
      <c r="H12" s="1332" t="s">
        <v>1071</v>
      </c>
      <c r="I12" s="1825" t="s">
        <v>1405</v>
      </c>
      <c r="J12" s="1333"/>
      <c r="K12" s="1347"/>
      <c r="L12" s="1339"/>
      <c r="M12" s="1348"/>
    </row>
    <row r="13" spans="1:37" ht="18" customHeight="1" thickTop="1">
      <c r="A13" s="1328">
        <v>2</v>
      </c>
      <c r="B13" s="1329" t="s">
        <v>1406</v>
      </c>
      <c r="C13" s="354">
        <f ca="1">ROUND(C29*F13,0)</f>
        <v>10689</v>
      </c>
      <c r="D13" s="1330" t="s">
        <v>1407</v>
      </c>
      <c r="E13" s="1330" t="s">
        <v>1408</v>
      </c>
      <c r="F13" s="1331">
        <f ca="1">INDIRECT("'数据-取费表'!y"&amp;$G$1)</f>
        <v>1</v>
      </c>
      <c r="G13" s="1849"/>
      <c r="H13" s="1328">
        <v>2</v>
      </c>
      <c r="I13" s="1329" t="s">
        <v>1406</v>
      </c>
      <c r="J13" s="1289">
        <f ca="1">ROUND(J14*J15,0)</f>
        <v>0</v>
      </c>
      <c r="K13" s="1336" t="s">
        <v>1407</v>
      </c>
      <c r="L13" s="1850"/>
      <c r="M13" s="1851"/>
    </row>
    <row r="14" spans="1:37" ht="18" customHeight="1">
      <c r="A14" s="1200" t="s">
        <v>1030</v>
      </c>
      <c r="B14" s="346" t="s">
        <v>1409</v>
      </c>
      <c r="C14" s="362">
        <f ca="1">INDIRECT("'数据-取费表'!m"&amp;$G$1)+INDIRECT("'数据-取费表'!t"&amp;$G$1)</f>
        <v>7548</v>
      </c>
      <c r="D14" s="1798" t="s">
        <v>1410</v>
      </c>
      <c r="E14" s="1792"/>
      <c r="F14" s="363"/>
      <c r="G14" s="1849"/>
      <c r="H14" s="1200" t="s">
        <v>1031</v>
      </c>
      <c r="I14" s="346" t="s">
        <v>1411</v>
      </c>
      <c r="J14" s="24">
        <f ca="1">C29</f>
        <v>10689</v>
      </c>
      <c r="K14" s="15"/>
      <c r="L14" s="978"/>
      <c r="M14" s="979"/>
    </row>
    <row r="15" spans="1:37" s="1856" customFormat="1" ht="18" customHeight="1" thickBot="1">
      <c r="A15" s="1200" t="s">
        <v>1032</v>
      </c>
      <c r="B15" s="346" t="s">
        <v>1412</v>
      </c>
      <c r="C15" s="24">
        <f ca="1">ROUND(C14*F15,0)</f>
        <v>226</v>
      </c>
      <c r="D15" s="364" t="s">
        <v>1413</v>
      </c>
      <c r="E15" s="364" t="s">
        <v>1414</v>
      </c>
      <c r="F15" s="365">
        <f>'数据-取费表'!B33</f>
        <v>0.03</v>
      </c>
      <c r="G15" s="1852"/>
      <c r="H15" s="1338" t="s">
        <v>1035</v>
      </c>
      <c r="I15" s="1339" t="s">
        <v>1408</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1381</v>
      </c>
      <c r="B16" s="346" t="s">
        <v>1415</v>
      </c>
      <c r="C16" s="24">
        <f ca="1">ROUND(INDIRECT("'数据-取费表'!m"&amp;$G$1)*F16,0)</f>
        <v>0</v>
      </c>
      <c r="D16" s="346" t="s">
        <v>1413</v>
      </c>
      <c r="E16" s="346" t="s">
        <v>1414</v>
      </c>
      <c r="F16" s="366">
        <f ca="1">IF(INDIRECT("'数据-取费表'!c"&amp;$G$1)="住宅",'数据-取费表'!B34,0)</f>
        <v>0</v>
      </c>
      <c r="G16" s="1849"/>
      <c r="H16" s="1328" t="s">
        <v>1026</v>
      </c>
      <c r="I16" s="1329" t="s">
        <v>1416</v>
      </c>
      <c r="J16" s="354">
        <f ca="1">ROUND(J17+J22+J23+J24,0)</f>
        <v>264</v>
      </c>
      <c r="K16" s="1336" t="s">
        <v>1417</v>
      </c>
      <c r="L16" s="1337"/>
      <c r="M16" s="1293"/>
    </row>
    <row r="17" spans="1:37" s="1856" customFormat="1" ht="18" customHeight="1">
      <c r="A17" s="1200" t="s">
        <v>1382</v>
      </c>
      <c r="B17" s="346" t="s">
        <v>1418</v>
      </c>
      <c r="C17" s="24">
        <f ca="1">ROUND(F17*(F43+INDIRECT("'数据-取费表'!S"&amp;$G$1))/10000,0)</f>
        <v>755</v>
      </c>
      <c r="D17" s="346" t="s">
        <v>1419</v>
      </c>
      <c r="E17" s="346" t="s">
        <v>1420</v>
      </c>
      <c r="F17" s="26">
        <f>'数据-取费表'!B35</f>
        <v>200</v>
      </c>
      <c r="G17" s="1852"/>
      <c r="H17" s="1200" t="s">
        <v>1031</v>
      </c>
      <c r="I17" s="346" t="s">
        <v>1421</v>
      </c>
      <c r="J17" s="24">
        <f ca="1">ROUND(IF(项目基本情况!B11="自然人",J5*M17,J18+J19+J20),1)</f>
        <v>104.1</v>
      </c>
      <c r="K17" s="1798" t="s">
        <v>1422</v>
      </c>
      <c r="L17" s="1796" t="s">
        <v>1423</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1383</v>
      </c>
      <c r="B18" s="346" t="s">
        <v>1424</v>
      </c>
      <c r="C18" s="24">
        <f ca="1">ROUND(C14*F18,0)</f>
        <v>113</v>
      </c>
      <c r="D18" s="346" t="s">
        <v>1413</v>
      </c>
      <c r="E18" s="346" t="s">
        <v>1414</v>
      </c>
      <c r="F18" s="366">
        <f>'数据-取费表'!B36</f>
        <v>1.4999999999999999E-2</v>
      </c>
      <c r="G18" s="1852"/>
      <c r="H18" s="1200" t="s">
        <v>1030</v>
      </c>
      <c r="I18" s="346" t="s">
        <v>1425</v>
      </c>
      <c r="J18" s="24">
        <f ca="1">ROUND(J5*M18/(1+'数据-取费表'!C42),2)</f>
        <v>0</v>
      </c>
      <c r="K18" s="1796" t="s">
        <v>1426</v>
      </c>
      <c r="L18" s="346" t="s">
        <v>1414</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6" t="s">
        <v>1427</v>
      </c>
      <c r="C19" s="24">
        <f ca="1">SUM(C14:C18)</f>
        <v>8642</v>
      </c>
      <c r="D19" s="139" t="s">
        <v>1428</v>
      </c>
      <c r="E19" s="1816"/>
      <c r="F19" s="26"/>
      <c r="G19" s="1849"/>
      <c r="H19" s="1200" t="s">
        <v>1032</v>
      </c>
      <c r="I19" s="346" t="s">
        <v>1429</v>
      </c>
      <c r="J19" s="24">
        <f ca="1">IF(K19="按租金收入计税",ROUND(J5*M19,2),ROUND(C29*M19*0.7,2))</f>
        <v>89.79</v>
      </c>
      <c r="K19" s="1826" t="s">
        <v>1430</v>
      </c>
      <c r="L19" s="346" t="s">
        <v>1414</v>
      </c>
      <c r="M19" s="366">
        <f>IF(K19="按租金收入计税",'数据-取费表'!B51,'数据-取费表'!B50)</f>
        <v>1.2E-2</v>
      </c>
    </row>
    <row r="20" spans="1:37" s="1856" customFormat="1" ht="18" customHeight="1">
      <c r="A20" s="1200" t="s">
        <v>1035</v>
      </c>
      <c r="B20" s="346" t="s">
        <v>1431</v>
      </c>
      <c r="C20" s="24">
        <f ca="1">ROUND(C19*F20,0)</f>
        <v>259</v>
      </c>
      <c r="D20" s="368" t="s">
        <v>1432</v>
      </c>
      <c r="E20" s="346" t="s">
        <v>1414</v>
      </c>
      <c r="F20" s="366">
        <f>'数据-取费表'!B37</f>
        <v>0.03</v>
      </c>
      <c r="G20" s="1852"/>
      <c r="H20" s="1200" t="s">
        <v>1381</v>
      </c>
      <c r="I20" s="163" t="s">
        <v>1433</v>
      </c>
      <c r="J20" s="25">
        <f ca="1">ROUND(M20*M21/10000,2)</f>
        <v>14.33</v>
      </c>
      <c r="K20" s="369" t="s">
        <v>1434</v>
      </c>
      <c r="L20" s="346" t="s">
        <v>1435</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6" t="s">
        <v>1436</v>
      </c>
      <c r="C21" s="24" t="s">
        <v>18</v>
      </c>
      <c r="D21" s="368" t="s">
        <v>1437</v>
      </c>
      <c r="E21" s="346" t="s">
        <v>1438</v>
      </c>
      <c r="F21" s="366">
        <f>'数据-取费表'!B38</f>
        <v>0.03</v>
      </c>
      <c r="G21" s="1852"/>
      <c r="H21" s="371"/>
      <c r="I21" s="355"/>
      <c r="J21" s="29"/>
      <c r="K21" s="372"/>
      <c r="L21" s="346" t="s">
        <v>1439</v>
      </c>
      <c r="M21" s="347">
        <f ca="1">INDIRECT("'数据-取费表'!r"&amp;$G$1)</f>
        <v>14328.68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1384</v>
      </c>
      <c r="B22" s="346" t="s">
        <v>1440</v>
      </c>
      <c r="C22" s="24"/>
      <c r="D22" s="139" t="str">
        <f>IF(F23&lt;=1,"单利计息。","复利计息。")&amp;"建造成本、管理费用、销售费用产生的利息。"</f>
        <v>复利计息。建造成本、管理费用、销售费用产生的利息。</v>
      </c>
      <c r="E22" s="1816"/>
      <c r="F22" s="26"/>
      <c r="G22" s="1849"/>
      <c r="H22" s="1200" t="s">
        <v>1035</v>
      </c>
      <c r="I22" s="346" t="s">
        <v>1441</v>
      </c>
      <c r="J22" s="24">
        <f ca="1">ROUND(J14*M22,1)</f>
        <v>160.30000000000001</v>
      </c>
      <c r="K22" s="1796" t="s">
        <v>1442</v>
      </c>
      <c r="L22" s="346" t="s">
        <v>1414</v>
      </c>
      <c r="M22" s="373">
        <f ca="1">INDIRECT("'数据-取费表'!Ak"&amp;$G$1)</f>
        <v>1.4999999999999999E-2</v>
      </c>
    </row>
    <row r="23" spans="1:37" s="1856" customFormat="1" ht="18" customHeight="1">
      <c r="A23" s="1200" t="s">
        <v>1030</v>
      </c>
      <c r="B23" s="346" t="s">
        <v>1443</v>
      </c>
      <c r="C23" s="24">
        <f ca="1">IF('数据-取费表'!B22&lt;=1,ROUND(C19*F24*F23/2,0)+ROUND(C20*F24*F23/2,0),ROUND(C19*(POWER((1+F24),F23/2)-1),0)+ROUND(C20*(POWER((1+F24),F23/2)-1),0))</f>
        <v>422</v>
      </c>
      <c r="D23" s="374" t="str">
        <f>IF(F23&lt;=1,"(建造成本+管理费用)×利率×(建设周期÷2)","(建造成本+管理费用)×((1+利率)^(建设周期÷2)-1)")</f>
        <v>(建造成本+管理费用)×((1+利率)^(建设周期÷2)-1)</v>
      </c>
      <c r="E23" s="346" t="s">
        <v>1444</v>
      </c>
      <c r="F23" s="370">
        <f>'数据-取费表'!B20</f>
        <v>2</v>
      </c>
      <c r="G23" s="1852"/>
      <c r="H23" s="1200" t="s">
        <v>1071</v>
      </c>
      <c r="I23" s="346" t="s">
        <v>1445</v>
      </c>
      <c r="J23" s="24">
        <f ca="1">ROUND(J13*M23,1)</f>
        <v>0</v>
      </c>
      <c r="K23" s="1796" t="s">
        <v>1446</v>
      </c>
      <c r="L23" s="346" t="s">
        <v>1447</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1448</v>
      </c>
      <c r="B24" s="346" t="s">
        <v>1449</v>
      </c>
      <c r="C24" s="24">
        <f ca="1">ROUND(IF('数据-取费表'!B22&lt;=1,F21*F24*F23/2,F21*(POWER((1+F24),F23/2)-1)),4)</f>
        <v>1.4E-3</v>
      </c>
      <c r="D24" s="374" t="str">
        <f>IF(F23&lt;=1,"销售费用×利率×(建设周期÷2)","销售费用×((1+利率)^(建设周期÷2)-1)")</f>
        <v>销售费用×((1+利率)^(建设周期÷2)-1)</v>
      </c>
      <c r="E24" s="346" t="s">
        <v>1450</v>
      </c>
      <c r="F24" s="376">
        <f ca="1">'数据-取费表'!B40</f>
        <v>4.7500000000000001E-2</v>
      </c>
      <c r="G24" s="1852"/>
      <c r="H24" s="1338" t="s">
        <v>1385</v>
      </c>
      <c r="I24" s="1339" t="s">
        <v>1431</v>
      </c>
      <c r="J24" s="1340">
        <f ca="1">ROUND(J5*M24,1)</f>
        <v>0</v>
      </c>
      <c r="K24" s="1341" t="s">
        <v>1451</v>
      </c>
      <c r="L24" s="1339" t="s">
        <v>1447</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1452</v>
      </c>
      <c r="B25" s="346" t="s">
        <v>1453</v>
      </c>
      <c r="C25" s="24"/>
      <c r="D25" s="139" t="s">
        <v>1454</v>
      </c>
      <c r="E25" s="1816"/>
      <c r="F25" s="26"/>
      <c r="G25" s="1849"/>
      <c r="H25" s="1328" t="s">
        <v>1027</v>
      </c>
      <c r="I25" s="1343" t="s">
        <v>1455</v>
      </c>
      <c r="J25" s="354">
        <f ca="1">J5-J16</f>
        <v>-264</v>
      </c>
      <c r="K25" s="1344" t="s">
        <v>1456</v>
      </c>
      <c r="L25" s="1345"/>
      <c r="M25" s="1346"/>
    </row>
    <row r="26" spans="1:37">
      <c r="A26" s="1200" t="s">
        <v>1030</v>
      </c>
      <c r="B26" s="346" t="s">
        <v>1457</v>
      </c>
      <c r="C26" s="24">
        <f ca="1">ROUND((C19+C20)*F26,0)</f>
        <v>445</v>
      </c>
      <c r="D26" s="368" t="s">
        <v>1458</v>
      </c>
      <c r="E26" s="357" t="s">
        <v>1459</v>
      </c>
      <c r="F26" s="356">
        <f ca="1">INDIRECT("'数据-取费表'!q"&amp;$G$1)</f>
        <v>0.05</v>
      </c>
      <c r="G26" s="1849"/>
      <c r="H26" s="343" t="s">
        <v>1028</v>
      </c>
      <c r="I26" s="344" t="s">
        <v>1460</v>
      </c>
      <c r="J26" s="345">
        <f ca="1">IF(J5&lt;&gt;0,ROUND(J25*(1-((1+M28)/(1+M26))^M27)/(M26-M28),0),0)</f>
        <v>0</v>
      </c>
      <c r="K26" s="369" t="s">
        <v>1461</v>
      </c>
      <c r="L26" s="346" t="s">
        <v>1462</v>
      </c>
      <c r="M26" s="356">
        <f ca="1">INDIRECT("'数据-取费表'!I"&amp;$G$1)</f>
        <v>5.5E-2</v>
      </c>
    </row>
    <row r="27" spans="1:37" ht="18" customHeight="1">
      <c r="A27" s="1200" t="s">
        <v>1032</v>
      </c>
      <c r="B27" s="346" t="s">
        <v>1463</v>
      </c>
      <c r="C27" s="24">
        <f ca="1">ROUND(F21*F26,4)</f>
        <v>1.5E-3</v>
      </c>
      <c r="D27" s="368" t="s">
        <v>1464</v>
      </c>
      <c r="E27" s="364"/>
      <c r="F27" s="365"/>
      <c r="G27" s="1849"/>
      <c r="H27" s="348"/>
      <c r="I27" s="349"/>
      <c r="J27" s="350"/>
      <c r="K27" s="377" t="s">
        <v>1465</v>
      </c>
      <c r="L27" s="346" t="s">
        <v>1466</v>
      </c>
      <c r="M27" s="378">
        <f ca="1">INDIRECT("'数据-取费表'!ag"&amp;$G$1)</f>
        <v>0</v>
      </c>
    </row>
    <row r="28" spans="1:37" s="1856" customFormat="1" ht="18" customHeight="1">
      <c r="A28" s="1200" t="s">
        <v>1033</v>
      </c>
      <c r="B28" s="346" t="s">
        <v>1467</v>
      </c>
      <c r="C28" s="24">
        <f>ROUND(F28/(1+'数据-取费表'!C42),4)</f>
        <v>5.33E-2</v>
      </c>
      <c r="D28" s="368" t="s">
        <v>1468</v>
      </c>
      <c r="E28" s="346" t="s">
        <v>1414</v>
      </c>
      <c r="F28" s="366">
        <f>'数据-取费表'!B41</f>
        <v>5.6000000000000001E-2</v>
      </c>
      <c r="G28" s="1852"/>
      <c r="H28" s="352"/>
      <c r="I28" s="353"/>
      <c r="J28" s="354"/>
      <c r="K28" s="372"/>
      <c r="L28" s="346" t="s">
        <v>1469</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1470</v>
      </c>
      <c r="C29" s="1340">
        <f ca="1">ROUND((C19+C20+C23+C26)/(1-F21-C24-C27-C28),0)</f>
        <v>10689</v>
      </c>
      <c r="D29" s="1341"/>
      <c r="E29" s="1339"/>
      <c r="F29" s="1342"/>
      <c r="G29" s="1852"/>
      <c r="H29" s="379" t="s">
        <v>1029</v>
      </c>
      <c r="I29" s="380" t="s">
        <v>1471</v>
      </c>
      <c r="J29" s="381">
        <f ca="1">ROUND(J26/(1+F40)^F41,0)</f>
        <v>0</v>
      </c>
      <c r="K29" s="382" t="s">
        <v>1472</v>
      </c>
      <c r="L29" s="383"/>
      <c r="M29" s="384">
        <f ca="1">INDIRECT("'数据-取费表'!k"&amp;$G$1)</f>
        <v>37739.420000000006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1416</v>
      </c>
      <c r="C30" s="354">
        <f ca="1">ROUND(C31+C36+C37+C38,0)</f>
        <v>352</v>
      </c>
      <c r="D30" s="1336" t="s">
        <v>1417</v>
      </c>
      <c r="E30" s="1337"/>
      <c r="F30" s="1293"/>
      <c r="G30" s="1849"/>
      <c r="H30" s="744"/>
      <c r="I30" s="745"/>
      <c r="J30" s="746"/>
      <c r="K30" s="747"/>
      <c r="L30" s="748"/>
      <c r="M30" s="749"/>
    </row>
    <row r="31" spans="1:37" ht="18" customHeight="1">
      <c r="A31" s="1200" t="s">
        <v>1031</v>
      </c>
      <c r="B31" s="346" t="s">
        <v>1421</v>
      </c>
      <c r="C31" s="24">
        <f ca="1">ROUND(IF(项目基本情况!B11="自然人",C5*F31,C32+C33+C34),1)</f>
        <v>166.7</v>
      </c>
      <c r="D31" s="1798" t="s">
        <v>1422</v>
      </c>
      <c r="E31" s="1796" t="s">
        <v>1473</v>
      </c>
      <c r="F31" s="367" t="str">
        <f ca="1">IF(项目基本情况!B11="企业","",IF(INDIRECT("'数据-取费表'!c"&amp;$G$1)="住宅",5%,IF(F6*F7*F8/12/(1+'数据-取费表'!C42)&gt;20000,12%,7%)))</f>
        <v/>
      </c>
      <c r="G31" s="1849"/>
      <c r="H31" s="744"/>
      <c r="I31" s="745"/>
      <c r="J31" s="746"/>
      <c r="K31" s="747"/>
      <c r="L31" s="748"/>
      <c r="M31" s="749"/>
    </row>
    <row r="32" spans="1:37" ht="18" customHeight="1">
      <c r="A32" s="1200" t="s">
        <v>1030</v>
      </c>
      <c r="B32" s="346" t="s">
        <v>1425</v>
      </c>
      <c r="C32" s="24">
        <f ca="1">IF(项目基本情况!B11="自然人","——",ROUND(C5*F32/(1+'数据-取费表'!C42),2))</f>
        <v>46.88</v>
      </c>
      <c r="D32" s="1796" t="s">
        <v>1426</v>
      </c>
      <c r="E32" s="346" t="s">
        <v>1414</v>
      </c>
      <c r="F32" s="376">
        <f>'数据-取费表'!B41</f>
        <v>5.6000000000000001E-2</v>
      </c>
      <c r="G32" s="1849"/>
      <c r="H32" s="744"/>
      <c r="I32" s="745"/>
      <c r="J32" s="746"/>
      <c r="K32" s="747"/>
      <c r="L32" s="748"/>
      <c r="M32" s="749"/>
    </row>
    <row r="33" spans="1:18" ht="18" customHeight="1">
      <c r="A33" s="1200" t="s">
        <v>1032</v>
      </c>
      <c r="B33" s="346" t="s">
        <v>1429</v>
      </c>
      <c r="C33" s="24">
        <f ca="1">IF(项目基本情况!B11="自然人","——",IF(D33="按租金收入计税",ROUND(C5*F33,2),IF(D33="按房产原值计税",ROUND(C29*F33*0.7,2),INDIRECT("'数据-取费表'!Aj"&amp;$G$1))))</f>
        <v>105.48</v>
      </c>
      <c r="D33" s="1826" t="s">
        <v>3321</v>
      </c>
      <c r="E33" s="346" t="s">
        <v>1414</v>
      </c>
      <c r="F33" s="366">
        <f>IF(D33="按票据","——",IF(D33="按租金收入计税",'数据-取费表'!B51,'数据-取费表'!B50))</f>
        <v>0.12</v>
      </c>
      <c r="G33" s="1849"/>
      <c r="H33" s="1857"/>
      <c r="I33" s="1858"/>
      <c r="J33" s="1859"/>
      <c r="K33" s="1860"/>
      <c r="L33" s="1857"/>
      <c r="M33" s="1857"/>
    </row>
    <row r="34" spans="1:18" ht="18" customHeight="1">
      <c r="A34" s="1290" t="s">
        <v>1381</v>
      </c>
      <c r="B34" s="163" t="s">
        <v>1433</v>
      </c>
      <c r="C34" s="25">
        <f ca="1">IF(项目基本情况!B11="自然人","——",ROUND(F34*F35/10000,2))</f>
        <v>14.33</v>
      </c>
      <c r="D34" s="369" t="s">
        <v>1434</v>
      </c>
      <c r="E34" s="346" t="s">
        <v>1435</v>
      </c>
      <c r="F34" s="370">
        <f>'数据-取费表'!B52</f>
        <v>10</v>
      </c>
      <c r="G34" s="1849"/>
      <c r="H34" s="744"/>
      <c r="I34" s="1858"/>
      <c r="J34" s="1859"/>
      <c r="K34" s="1861"/>
      <c r="L34" s="1862"/>
      <c r="M34" s="1862"/>
    </row>
    <row r="35" spans="1:18" ht="18" customHeight="1">
      <c r="A35" s="1352"/>
      <c r="B35" s="1350"/>
      <c r="C35" s="29"/>
      <c r="D35" s="372"/>
      <c r="E35" s="346" t="s">
        <v>1439</v>
      </c>
      <c r="F35" s="347">
        <f ca="1">INDIRECT("'数据-取费表'!r"&amp;$G$1)</f>
        <v>14328.68</v>
      </c>
      <c r="G35" s="1849"/>
      <c r="H35" s="744"/>
      <c r="I35" s="1858"/>
      <c r="J35" s="1859"/>
      <c r="K35" s="1860"/>
      <c r="L35" s="1857"/>
      <c r="M35" s="1857"/>
    </row>
    <row r="36" spans="1:18" ht="18" customHeight="1">
      <c r="A36" s="1351" t="s">
        <v>1035</v>
      </c>
      <c r="B36" s="346" t="s">
        <v>1441</v>
      </c>
      <c r="C36" s="24">
        <f ca="1">ROUND(C29*F36,1)</f>
        <v>160.30000000000001</v>
      </c>
      <c r="D36" s="1796" t="s">
        <v>1474</v>
      </c>
      <c r="E36" s="346" t="s">
        <v>1414</v>
      </c>
      <c r="F36" s="373">
        <f ca="1">INDIRECT("'数据-取费表'!Ak"&amp;$G$1)</f>
        <v>1.4999999999999999E-2</v>
      </c>
      <c r="G36" s="1849"/>
      <c r="H36" s="1857"/>
      <c r="I36" s="1858"/>
      <c r="J36" s="1859"/>
      <c r="K36" s="750"/>
      <c r="L36" s="1857"/>
      <c r="M36" s="1857"/>
    </row>
    <row r="37" spans="1:18" ht="18" customHeight="1">
      <c r="A37" s="1200" t="s">
        <v>1071</v>
      </c>
      <c r="B37" s="346" t="s">
        <v>1445</v>
      </c>
      <c r="C37" s="24">
        <f ca="1">ROUND(C13*F37,1)</f>
        <v>16</v>
      </c>
      <c r="D37" s="1796" t="s">
        <v>1446</v>
      </c>
      <c r="E37" s="346" t="s">
        <v>1447</v>
      </c>
      <c r="F37" s="375">
        <f ca="1">INDIRECT("'数据-取费表'!Al"&amp;$G$1)</f>
        <v>1.5E-3</v>
      </c>
      <c r="G37" s="1849"/>
      <c r="H37" s="1857"/>
      <c r="I37" s="1858"/>
      <c r="J37" s="1859"/>
      <c r="K37" s="750"/>
      <c r="L37" s="1857"/>
      <c r="M37" s="1857"/>
    </row>
    <row r="38" spans="1:18" ht="18" customHeight="1" thickBot="1">
      <c r="A38" s="1338" t="s">
        <v>1385</v>
      </c>
      <c r="B38" s="1339" t="s">
        <v>1431</v>
      </c>
      <c r="C38" s="1340">
        <f ca="1">ROUND(C5*F38,1)</f>
        <v>8.8000000000000007</v>
      </c>
      <c r="D38" s="1341" t="s">
        <v>1451</v>
      </c>
      <c r="E38" s="1339" t="s">
        <v>1447</v>
      </c>
      <c r="F38" s="1335">
        <f ca="1">INDIRECT("'数据-取费表'!Am"&amp;$G$1)</f>
        <v>0.01</v>
      </c>
      <c r="G38" s="1849"/>
      <c r="H38" s="1857"/>
      <c r="I38" s="1858"/>
      <c r="J38" s="1859"/>
      <c r="K38" s="1863"/>
      <c r="L38" s="1857"/>
      <c r="M38" s="1857"/>
    </row>
    <row r="39" spans="1:18" ht="24.6" customHeight="1" thickTop="1">
      <c r="A39" s="1328" t="s">
        <v>1027</v>
      </c>
      <c r="B39" s="1343" t="s">
        <v>1475</v>
      </c>
      <c r="C39" s="354">
        <f ca="1">C5-C30</f>
        <v>527</v>
      </c>
      <c r="D39" s="1344" t="s">
        <v>1476</v>
      </c>
      <c r="E39" s="1345"/>
      <c r="F39" s="1346"/>
      <c r="G39" s="1849"/>
      <c r="H39" s="1857"/>
      <c r="I39" s="1858"/>
      <c r="J39" s="1859"/>
      <c r="K39" s="1863"/>
      <c r="L39" s="1857"/>
      <c r="M39" s="1857"/>
    </row>
    <row r="40" spans="1:18" ht="18" customHeight="1">
      <c r="A40" s="343" t="s">
        <v>1028</v>
      </c>
      <c r="B40" s="344" t="s">
        <v>1477</v>
      </c>
      <c r="C40" s="345">
        <f ca="1">ROUND(C39*(1-((1+F42)/(1+F40))^F41)/(F40-F42),0)</f>
        <v>11997</v>
      </c>
      <c r="D40" s="369" t="s">
        <v>1461</v>
      </c>
      <c r="E40" s="346" t="s">
        <v>1462</v>
      </c>
      <c r="F40" s="356">
        <f ca="1">INDIRECT("'数据-取费表'!I"&amp;$G$1)</f>
        <v>5.5E-2</v>
      </c>
      <c r="G40" s="1849"/>
      <c r="H40" s="1837"/>
      <c r="I40" s="1858"/>
      <c r="J40" s="1859"/>
      <c r="K40" s="1863"/>
      <c r="L40" s="1837"/>
      <c r="M40" s="1837"/>
    </row>
    <row r="41" spans="1:18" ht="18" customHeight="1">
      <c r="A41" s="348"/>
      <c r="B41" s="349"/>
      <c r="C41" s="350"/>
      <c r="D41" s="377" t="s">
        <v>1478</v>
      </c>
      <c r="E41" s="346" t="s">
        <v>1466</v>
      </c>
      <c r="F41" s="378">
        <f ca="1">IF(INDIRECT("'数据-取费表'!af"&amp;$G$1)=0,INDIRECT("'数据-取费表'!ae"&amp;$G$1),INDIRECT("'数据-取费表'!af"&amp;$G$1))</f>
        <v>47.23</v>
      </c>
      <c r="G41" s="1849"/>
      <c r="H41" s="731"/>
      <c r="I41" s="1858"/>
      <c r="J41" s="1859"/>
      <c r="K41" s="750"/>
      <c r="L41" s="731"/>
      <c r="M41" s="731"/>
    </row>
    <row r="42" spans="1:18" ht="18" customHeight="1">
      <c r="A42" s="352"/>
      <c r="B42" s="353"/>
      <c r="C42" s="354"/>
      <c r="D42" s="372"/>
      <c r="E42" s="346" t="s">
        <v>1469</v>
      </c>
      <c r="F42" s="356">
        <f ca="1">INDIRECT("'数据-取费表'!v"&amp;$G$1)</f>
        <v>0.02</v>
      </c>
      <c r="G42" s="1849"/>
      <c r="H42" s="731"/>
      <c r="I42" s="1858"/>
      <c r="J42" s="1859"/>
      <c r="K42" s="750"/>
      <c r="L42" s="731"/>
      <c r="M42" s="731"/>
    </row>
    <row r="43" spans="1:18" ht="18" customHeight="1" thickBot="1">
      <c r="A43" s="379" t="s">
        <v>1029</v>
      </c>
      <c r="B43" s="380" t="s">
        <v>1479</v>
      </c>
      <c r="C43" s="381">
        <f ca="1">ROUND(C40*10000/F43,0)</f>
        <v>3179</v>
      </c>
      <c r="D43" s="382" t="s">
        <v>1480</v>
      </c>
      <c r="E43" s="383" t="s">
        <v>1481</v>
      </c>
      <c r="F43" s="384">
        <f ca="1">INDIRECT("'数据-取费表'!k"&amp;$G$1)</f>
        <v>37739.420000000006</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1511</v>
      </c>
      <c r="P45" s="1837"/>
      <c r="Q45" s="1837"/>
      <c r="R45" s="1837"/>
    </row>
    <row r="46" spans="1:18" s="1840" customFormat="1" ht="13.5" thickBot="1">
      <c r="A46" s="1868" t="s">
        <v>1512</v>
      </c>
      <c r="C46" s="1869">
        <f ca="1">C68-C40</f>
        <v>-30218</v>
      </c>
      <c r="D46" s="1870" t="str">
        <f>C2</f>
        <v>万元</v>
      </c>
      <c r="E46" s="1864"/>
      <c r="F46" s="1864"/>
      <c r="I46" s="1871" t="s">
        <v>1513</v>
      </c>
      <c r="J46" s="1872"/>
      <c r="K46" s="1873"/>
      <c r="L46" s="1874" t="str">
        <f ca="1">IF(M47="住宅",0,IF(L48&gt;J51,L60,J60))</f>
        <v>0</v>
      </c>
      <c r="O46" s="1875" t="s">
        <v>1514</v>
      </c>
      <c r="P46" s="1876" t="s">
        <v>1515</v>
      </c>
      <c r="Q46" s="1877" t="s">
        <v>1516</v>
      </c>
      <c r="R46" s="1877" t="s">
        <v>1517</v>
      </c>
    </row>
    <row r="47" spans="1:18" s="1840" customFormat="1" ht="13.5" thickBot="1">
      <c r="A47" s="1164" t="s">
        <v>1388</v>
      </c>
      <c r="B47" s="1196" t="s">
        <v>1389</v>
      </c>
      <c r="C47" s="1366" t="s">
        <v>1390</v>
      </c>
      <c r="D47" s="1196" t="s">
        <v>1391</v>
      </c>
      <c r="E47" s="1278" t="s">
        <v>1392</v>
      </c>
      <c r="F47" s="1279"/>
      <c r="G47" s="791"/>
      <c r="I47" s="1878" t="s">
        <v>1518</v>
      </c>
      <c r="J47" s="1879" t="s">
        <v>3322</v>
      </c>
      <c r="K47" s="1880" t="s">
        <v>1519</v>
      </c>
      <c r="L47" s="1881">
        <f ca="1">INDIRECT("'数据-取费表'!d"&amp;$G$1)</f>
        <v>50</v>
      </c>
      <c r="M47" s="1836" t="str">
        <f>IF(ISNUMBER(FIND("住宅",C1)),"住宅","非住宅")</f>
        <v>非住宅</v>
      </c>
      <c r="O47" s="1882" t="s">
        <v>1036</v>
      </c>
      <c r="P47" s="1883" t="s">
        <v>1520</v>
      </c>
      <c r="Q47" s="1884">
        <f ca="1">C40+J29</f>
        <v>11997</v>
      </c>
      <c r="R47" s="1884" t="s">
        <v>1521</v>
      </c>
    </row>
    <row r="48" spans="1:18" s="1840" customFormat="1" ht="28.5" thickBot="1">
      <c r="A48" s="1359" t="s">
        <v>1131</v>
      </c>
      <c r="B48" s="344" t="s">
        <v>1393</v>
      </c>
      <c r="C48" s="1815">
        <f ca="1">C49+C53+C55</f>
        <v>0</v>
      </c>
      <c r="D48" s="1361"/>
      <c r="E48" s="1362"/>
      <c r="F48" s="1180"/>
      <c r="G48" s="791"/>
      <c r="H48" s="792"/>
      <c r="I48" s="1885" t="s">
        <v>1522</v>
      </c>
      <c r="J48" s="1886" t="s">
        <v>3323</v>
      </c>
      <c r="K48" s="1887" t="s">
        <v>1523</v>
      </c>
      <c r="L48" s="1888">
        <f ca="1">INDIRECT("'数据-取费表'!f"&amp;$G$1)</f>
        <v>47.93</v>
      </c>
      <c r="O48" s="1882" t="s">
        <v>1037</v>
      </c>
      <c r="P48" s="1883" t="s">
        <v>1524</v>
      </c>
      <c r="Q48" s="1884" t="str">
        <f ca="1">J60</f>
        <v>0</v>
      </c>
      <c r="R48" s="1884" t="s">
        <v>1525</v>
      </c>
    </row>
    <row r="49" spans="1:18" s="1840" customFormat="1" ht="13.5" thickBot="1">
      <c r="A49" s="1193" t="s">
        <v>1132</v>
      </c>
      <c r="B49" s="1827" t="s">
        <v>1482</v>
      </c>
      <c r="C49" s="1363">
        <f ca="1">ROUND(F49*F51*F50*(1-F52)/10000,0)</f>
        <v>0</v>
      </c>
      <c r="D49" s="1275" t="s">
        <v>2980</v>
      </c>
      <c r="E49" s="1828" t="s">
        <v>1483</v>
      </c>
      <c r="F49" s="1280"/>
      <c r="G49" s="1889"/>
      <c r="H49" s="792"/>
      <c r="I49" s="1885" t="s">
        <v>1526</v>
      </c>
      <c r="J49" s="1890">
        <v>2018</v>
      </c>
      <c r="K49" s="1887" t="s">
        <v>1527</v>
      </c>
      <c r="L49" s="1891"/>
      <c r="O49" s="1892" t="s">
        <v>1038</v>
      </c>
      <c r="P49" s="1883" t="s">
        <v>1528</v>
      </c>
      <c r="Q49" s="1884">
        <f ca="1">C29</f>
        <v>10689</v>
      </c>
      <c r="R49" s="1884" t="s">
        <v>1521</v>
      </c>
    </row>
    <row r="50" spans="1:18" s="1840" customFormat="1" ht="13.5" thickBot="1">
      <c r="A50" s="1194"/>
      <c r="B50" s="1197"/>
      <c r="C50" s="1367"/>
      <c r="D50" s="1171"/>
      <c r="E50" s="1276" t="s">
        <v>1398</v>
      </c>
      <c r="F50" s="1277">
        <f ca="1">F7</f>
        <v>1161</v>
      </c>
      <c r="H50" s="792"/>
      <c r="I50" s="1885" t="s">
        <v>1529</v>
      </c>
      <c r="J50" s="1893">
        <f>SUMPRODUCT((I63:I65=J47)*(J62:L62=J48)*(J63:L65))</f>
        <v>60</v>
      </c>
      <c r="K50" s="1887" t="s">
        <v>1530</v>
      </c>
      <c r="L50" s="1891"/>
      <c r="M50" s="1894"/>
      <c r="O50" s="1892" t="s">
        <v>1039</v>
      </c>
      <c r="P50" s="1883" t="s">
        <v>1531</v>
      </c>
      <c r="Q50" s="1895" t="e">
        <f ca="1">J58</f>
        <v>#VALUE!</v>
      </c>
      <c r="R50" s="1884"/>
    </row>
    <row r="51" spans="1:18" s="1840" customFormat="1" ht="13.5" thickBot="1">
      <c r="A51" s="1195"/>
      <c r="B51" s="1197"/>
      <c r="C51" s="1198"/>
      <c r="D51" s="1171"/>
      <c r="E51" s="1199" t="s">
        <v>1399</v>
      </c>
      <c r="F51" s="347">
        <f ca="1">F8</f>
        <v>12</v>
      </c>
      <c r="I51" s="1896" t="s">
        <v>1532</v>
      </c>
      <c r="J51" s="1897">
        <f>IF(J49="",J50,J49+J50-YEAR('数据-取费表'!B2))</f>
        <v>60</v>
      </c>
      <c r="K51" s="1898" t="s">
        <v>1533</v>
      </c>
      <c r="L51" s="1899">
        <f ca="1">ROUND(-PV(INDIRECT("'数据-取费表'!h"&amp;$G$1),L48,(C39-C13*C76),0),0)</f>
        <v>-7451</v>
      </c>
      <c r="M51" s="1900"/>
      <c r="O51" s="1892" t="s">
        <v>1040</v>
      </c>
      <c r="P51" s="1883" t="s">
        <v>1534</v>
      </c>
      <c r="Q51" s="1895">
        <f>J52</f>
        <v>0.09</v>
      </c>
      <c r="R51" s="1884"/>
    </row>
    <row r="52" spans="1:18" s="1840" customFormat="1" ht="13.5" thickBot="1">
      <c r="A52" s="1195"/>
      <c r="B52" s="1197"/>
      <c r="C52" s="1198"/>
      <c r="D52" s="1171"/>
      <c r="E52" s="1199" t="s">
        <v>1400</v>
      </c>
      <c r="F52" s="1274"/>
      <c r="I52" s="1901" t="s">
        <v>1535</v>
      </c>
      <c r="J52" s="1902">
        <v>0.09</v>
      </c>
      <c r="K52" s="1901" t="s">
        <v>1536</v>
      </c>
      <c r="L52" s="1902"/>
      <c r="O52" s="1892" t="s">
        <v>1041</v>
      </c>
      <c r="P52" s="1883" t="s">
        <v>1537</v>
      </c>
      <c r="Q52" s="1884">
        <f ca="1">J53</f>
        <v>47.23</v>
      </c>
      <c r="R52" s="1884" t="s">
        <v>1538</v>
      </c>
    </row>
    <row r="53" spans="1:18" s="1840" customFormat="1" ht="24.75" thickBot="1">
      <c r="A53" s="1404" t="s">
        <v>1133</v>
      </c>
      <c r="B53" s="1829" t="s">
        <v>1401</v>
      </c>
      <c r="C53" s="360">
        <f ca="1">ROUND(IF(F53="押一",C49/12*F11,IF(F53="押二",C49/12*2*F11,IF(F53="押三",C49/12*3*F11,C54*F11))),0)</f>
        <v>0</v>
      </c>
      <c r="D53" s="1822" t="s">
        <v>2987</v>
      </c>
      <c r="E53" s="357" t="s">
        <v>1402</v>
      </c>
      <c r="F53" s="1365"/>
      <c r="I53" s="1903" t="s">
        <v>1539</v>
      </c>
      <c r="J53" s="1904">
        <f ca="1">IF(M47="住宅",IF(D1="——",MAX(J51,L48),IF(D1="在建（套用方法）",MAX(J51,L48-'数据-取费表'!B24),MAX(J51,L48-'数据-取费表'!B20))),IF(D1="——",MIN(J51,L48),IF(D1="在建（套用方法）",MIN(J51,L48-'数据-取费表'!B24),IF(D1="土地（套用方法）",MIN(J51,L48-'数据-取费表'!B20)))))</f>
        <v>47.23</v>
      </c>
      <c r="K53" s="3262" t="s">
        <v>1540</v>
      </c>
      <c r="L53" s="3263"/>
      <c r="O53" s="1882" t="s">
        <v>1042</v>
      </c>
      <c r="P53" s="1883" t="s">
        <v>1541</v>
      </c>
      <c r="Q53" s="1884">
        <f ca="1">Q47+Q48</f>
        <v>11997</v>
      </c>
      <c r="R53" s="1884" t="s">
        <v>1043</v>
      </c>
    </row>
    <row r="54" spans="1:18" s="1840" customFormat="1" ht="13.5" thickBot="1">
      <c r="A54" s="1405"/>
      <c r="B54" s="1823" t="s">
        <v>1380</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1542</v>
      </c>
      <c r="P54" s="1837"/>
      <c r="Q54" s="1837"/>
      <c r="R54" s="1837"/>
    </row>
    <row r="55" spans="1:18" s="1840" customFormat="1" ht="13.5" thickBot="1">
      <c r="A55" s="1332" t="s">
        <v>1071</v>
      </c>
      <c r="B55" s="1825" t="s">
        <v>1405</v>
      </c>
      <c r="C55" s="1333"/>
      <c r="D55" s="1822"/>
      <c r="E55" s="1830"/>
      <c r="F55" s="1905"/>
      <c r="I55" s="1908" t="s">
        <v>1543</v>
      </c>
      <c r="J55" s="1909" t="e">
        <f ca="1">ROUND(IF(J47="钢混",J57/J50,1-(1-2%)*(J50-J57)/J50),3)</f>
        <v>#VALUE!</v>
      </c>
      <c r="K55" s="1910" t="s">
        <v>1544</v>
      </c>
      <c r="L55" s="1911" t="s">
        <v>1545</v>
      </c>
      <c r="O55" s="1875" t="s">
        <v>1514</v>
      </c>
      <c r="P55" s="1876" t="s">
        <v>1515</v>
      </c>
      <c r="Q55" s="1877" t="s">
        <v>1516</v>
      </c>
      <c r="R55" s="1877" t="s">
        <v>1517</v>
      </c>
    </row>
    <row r="56" spans="1:18" s="1840" customFormat="1" ht="25.5" thickTop="1" thickBot="1">
      <c r="A56" s="1175">
        <v>2</v>
      </c>
      <c r="B56" s="1176" t="s">
        <v>1406</v>
      </c>
      <c r="C56" s="275">
        <f ca="1">C13</f>
        <v>10689</v>
      </c>
      <c r="D56" s="1912"/>
      <c r="E56" s="1913"/>
      <c r="F56" s="1905"/>
      <c r="I56" s="1914" t="s">
        <v>1546</v>
      </c>
      <c r="J56" s="1915" t="s">
        <v>3006</v>
      </c>
      <c r="K56" s="1885" t="s">
        <v>1547</v>
      </c>
      <c r="L56" s="1888" t="str">
        <f ca="1">IF(L48&lt;J51,"——",L48-J53)</f>
        <v>——</v>
      </c>
      <c r="O56" s="1882" t="s">
        <v>1036</v>
      </c>
      <c r="P56" s="1883" t="s">
        <v>1520</v>
      </c>
      <c r="Q56" s="1884">
        <f ca="1">C40+J29</f>
        <v>11997</v>
      </c>
      <c r="R56" s="1884" t="s">
        <v>1521</v>
      </c>
    </row>
    <row r="57" spans="1:18" s="1840" customFormat="1" ht="24.75" thickBot="1">
      <c r="A57" s="1916"/>
      <c r="B57" s="1168" t="s">
        <v>1470</v>
      </c>
      <c r="C57" s="281">
        <f ca="1">C29</f>
        <v>10689</v>
      </c>
      <c r="D57" s="1917"/>
      <c r="E57" s="1918"/>
      <c r="F57" s="1919"/>
      <c r="I57" s="1920" t="s">
        <v>1548</v>
      </c>
      <c r="J57" s="1921" t="str">
        <f ca="1">IF(OR(M47="住宅",J51&lt;L48,J56="是"),"——",J51-L48)</f>
        <v>——</v>
      </c>
      <c r="K57" s="1885" t="s">
        <v>1549</v>
      </c>
      <c r="L57" s="1888" t="str">
        <f ca="1">IF(L48&lt;J51,"——",IF(L55="比较法",L49,IF(L55="基准地价",L50,L51)))</f>
        <v>——</v>
      </c>
      <c r="O57" s="1882" t="s">
        <v>1037</v>
      </c>
      <c r="P57" s="1883" t="s">
        <v>1550</v>
      </c>
      <c r="Q57" s="1884">
        <f ca="1">L60</f>
        <v>0</v>
      </c>
      <c r="R57" s="1884" t="s">
        <v>1551</v>
      </c>
    </row>
    <row r="58" spans="1:18" s="1840" customFormat="1" ht="24.75" thickBot="1">
      <c r="A58" s="359" t="s">
        <v>1026</v>
      </c>
      <c r="B58" s="1176" t="s">
        <v>1416</v>
      </c>
      <c r="C58" s="360">
        <f ca="1">ROUND(C59+C64+C65+C66,0)</f>
        <v>1089</v>
      </c>
      <c r="D58" s="1178" t="s">
        <v>1417</v>
      </c>
      <c r="E58" s="1179"/>
      <c r="F58" s="1180"/>
      <c r="I58" s="1920" t="s">
        <v>1552</v>
      </c>
      <c r="J58" s="1922" t="e">
        <f ca="1">IF(J55&lt;0.4,0.4,J55)</f>
        <v>#VALUE!</v>
      </c>
      <c r="K58" s="1898" t="s">
        <v>1553</v>
      </c>
      <c r="L58" s="1888" t="e">
        <f ca="1">ROUND(POWER(1+L52,L47-L48)*(POWER(1+L52,L48)-1)/(POWER(1+L52,L47)-1),4)</f>
        <v>#DIV/0!</v>
      </c>
      <c r="O58" s="1892" t="s">
        <v>1038</v>
      </c>
      <c r="P58" s="1883" t="s">
        <v>1554</v>
      </c>
      <c r="Q58" s="1884">
        <f>IF(L55="比较法",L49,IF(L55="基准地价",L50,0))</f>
        <v>0</v>
      </c>
      <c r="R58" s="1884" t="s">
        <v>1521</v>
      </c>
    </row>
    <row r="59" spans="1:18" s="1840" customFormat="1" ht="24.75" thickBot="1">
      <c r="A59" s="1200" t="s">
        <v>1031</v>
      </c>
      <c r="B59" s="1168" t="s">
        <v>1421</v>
      </c>
      <c r="C59" s="24">
        <f ca="1">ROUND(IF(项目基本情况!B11="自然人",C48*F59,C60+C61+C62),1)</f>
        <v>912.2</v>
      </c>
      <c r="D59" s="1181" t="s">
        <v>1422</v>
      </c>
      <c r="E59" s="1182" t="s">
        <v>1423</v>
      </c>
      <c r="F59" s="367" t="str">
        <f ca="1">IF(项目基本情况!B11="企业","",IF(INDIRECT("'数据-取费表'!c"&amp;$G$1)="住宅",5%,IF(F49*F50*F51/12/(1+'数据-取费表'!C42)&gt;20000,12%,7%)))</f>
        <v/>
      </c>
      <c r="I59" s="1920" t="s">
        <v>1555</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1556</v>
      </c>
      <c r="Q59" s="1895">
        <f>L52</f>
        <v>0</v>
      </c>
      <c r="R59" s="1884"/>
    </row>
    <row r="60" spans="1:18" s="1840" customFormat="1" ht="16.5" thickBot="1">
      <c r="A60" s="1200" t="s">
        <v>1030</v>
      </c>
      <c r="B60" s="1168" t="s">
        <v>1425</v>
      </c>
      <c r="C60" s="24">
        <f ca="1">IF(项目基本情况!B11="自然人","——",ROUND(C48*F60/(1+'数据-取费表'!C42),2))</f>
        <v>0</v>
      </c>
      <c r="D60" s="1182" t="s">
        <v>1426</v>
      </c>
      <c r="E60" s="1168" t="s">
        <v>1414</v>
      </c>
      <c r="F60" s="376">
        <f t="shared" ref="F60:F66" si="0">F32</f>
        <v>5.6000000000000001E-2</v>
      </c>
      <c r="I60" s="1923" t="s">
        <v>1557</v>
      </c>
      <c r="J60" s="1924" t="str">
        <f ca="1">IF(OR(M47="住宅",J51&lt;L48,J56="是"),"0",ROUND(J59/(1+J52)^J53,0))</f>
        <v>0</v>
      </c>
      <c r="K60" s="1925" t="s">
        <v>1558</v>
      </c>
      <c r="L60" s="1924">
        <f ca="1">IF(OR(M47="住宅",L48&lt;J51),0,ROUND(L57*(L58/L59-1),0))</f>
        <v>0</v>
      </c>
      <c r="O60" s="1892" t="s">
        <v>1040</v>
      </c>
      <c r="P60" s="1883" t="s">
        <v>1559</v>
      </c>
      <c r="Q60" s="1884" t="e">
        <f ca="1">L58</f>
        <v>#DIV/0!</v>
      </c>
      <c r="R60" s="1884" t="s">
        <v>1560</v>
      </c>
    </row>
    <row r="61" spans="1:18" s="1840" customFormat="1" ht="13.5" thickBot="1">
      <c r="A61" s="1200" t="s">
        <v>1484</v>
      </c>
      <c r="B61" s="1168" t="s">
        <v>1485</v>
      </c>
      <c r="C61" s="24">
        <f ca="1">IF(项目基本情况!B11="自然人","——",IF(D61="按租金收入计税",ROUND(C48*F61,2),IF(D61="按房产原值计税",ROUND(C57*F61*0.7,2),INDIRECT("'数据-取费表'!Aj"&amp;$G$1))))</f>
        <v>897.88</v>
      </c>
      <c r="D61" s="1826" t="s">
        <v>1430</v>
      </c>
      <c r="E61" s="1168" t="s">
        <v>1486</v>
      </c>
      <c r="F61" s="366">
        <f t="shared" si="0"/>
        <v>0.12</v>
      </c>
      <c r="I61" s="1926"/>
      <c r="J61" s="1926"/>
      <c r="K61" s="1926"/>
      <c r="L61" s="1926"/>
      <c r="O61" s="1892" t="s">
        <v>1041</v>
      </c>
      <c r="P61" s="1883" t="str">
        <f>K59</f>
        <v>续建工期及建筑物耐用年限下的土地年期修正系数Kn</v>
      </c>
      <c r="Q61" s="1884" t="e">
        <f ca="1">L59</f>
        <v>#DIV/0!</v>
      </c>
      <c r="R61" s="1884" t="s">
        <v>1561</v>
      </c>
    </row>
    <row r="62" spans="1:18" s="1840" customFormat="1" ht="13.5" thickBot="1">
      <c r="A62" s="1200" t="s">
        <v>1487</v>
      </c>
      <c r="B62" s="1167" t="s">
        <v>1488</v>
      </c>
      <c r="C62" s="25">
        <f ca="1">IF(项目基本情况!B11="自然人","——",ROUND(F62*F63/10000,2))</f>
        <v>14.33</v>
      </c>
      <c r="D62" s="1183" t="s">
        <v>1489</v>
      </c>
      <c r="E62" s="1168" t="s">
        <v>1490</v>
      </c>
      <c r="F62" s="370">
        <f t="shared" si="0"/>
        <v>10</v>
      </c>
      <c r="I62" s="1927" t="s">
        <v>1562</v>
      </c>
      <c r="J62" s="1928" t="s">
        <v>1563</v>
      </c>
      <c r="K62" s="1928" t="s">
        <v>1564</v>
      </c>
      <c r="L62" s="1928" t="s">
        <v>1565</v>
      </c>
      <c r="M62" s="1929" t="s">
        <v>1566</v>
      </c>
      <c r="O62" s="1882" t="s">
        <v>1042</v>
      </c>
      <c r="P62" s="1883" t="s">
        <v>1567</v>
      </c>
      <c r="Q62" s="1884">
        <f ca="1">Q56+Q57</f>
        <v>11997</v>
      </c>
      <c r="R62" s="1884" t="s">
        <v>1043</v>
      </c>
    </row>
    <row r="63" spans="1:18" s="1840" customFormat="1" ht="13.5" thickBot="1">
      <c r="A63" s="371"/>
      <c r="B63" s="1174"/>
      <c r="C63" s="29"/>
      <c r="D63" s="1184"/>
      <c r="E63" s="1168" t="s">
        <v>1491</v>
      </c>
      <c r="F63" s="347">
        <f t="shared" ca="1" si="0"/>
        <v>14328.68</v>
      </c>
      <c r="I63" s="1927" t="s">
        <v>1568</v>
      </c>
      <c r="J63" s="1928">
        <v>70</v>
      </c>
      <c r="K63" s="1928">
        <v>50</v>
      </c>
      <c r="L63" s="1928">
        <v>80</v>
      </c>
      <c r="M63" s="1930">
        <v>0.02</v>
      </c>
      <c r="O63" s="1867" t="s">
        <v>1569</v>
      </c>
      <c r="P63" s="1837"/>
      <c r="Q63" s="1837"/>
      <c r="R63" s="1837"/>
    </row>
    <row r="64" spans="1:18" s="1840" customFormat="1" ht="13.5" thickBot="1">
      <c r="A64" s="1200" t="s">
        <v>1492</v>
      </c>
      <c r="B64" s="1168" t="s">
        <v>1493</v>
      </c>
      <c r="C64" s="24">
        <f ca="1">ROUND(C57*F64,1)</f>
        <v>160.30000000000001</v>
      </c>
      <c r="D64" s="1182" t="s">
        <v>1494</v>
      </c>
      <c r="E64" s="1168" t="s">
        <v>1486</v>
      </c>
      <c r="F64" s="373">
        <f t="shared" ca="1" si="0"/>
        <v>1.4999999999999999E-2</v>
      </c>
      <c r="I64" s="1927" t="s">
        <v>1570</v>
      </c>
      <c r="J64" s="1928">
        <v>50</v>
      </c>
      <c r="K64" s="1928">
        <v>35</v>
      </c>
      <c r="L64" s="1928">
        <v>60</v>
      </c>
      <c r="M64" s="1929">
        <v>0</v>
      </c>
      <c r="O64" s="1875" t="s">
        <v>1514</v>
      </c>
      <c r="P64" s="1876" t="s">
        <v>1515</v>
      </c>
      <c r="Q64" s="1877" t="s">
        <v>1516</v>
      </c>
      <c r="R64" s="1877" t="s">
        <v>1517</v>
      </c>
    </row>
    <row r="65" spans="1:18" s="1840" customFormat="1" ht="13.5" thickBot="1">
      <c r="A65" s="1200" t="s">
        <v>1495</v>
      </c>
      <c r="B65" s="1168" t="s">
        <v>1445</v>
      </c>
      <c r="C65" s="24">
        <f ca="1">ROUND(C56*F65,1)</f>
        <v>16</v>
      </c>
      <c r="D65" s="1182" t="s">
        <v>1446</v>
      </c>
      <c r="E65" s="1168" t="s">
        <v>1447</v>
      </c>
      <c r="F65" s="375">
        <f t="shared" ca="1" si="0"/>
        <v>1.5E-3</v>
      </c>
      <c r="I65" s="1927" t="s">
        <v>1571</v>
      </c>
      <c r="J65" s="1928">
        <v>40</v>
      </c>
      <c r="K65" s="1928">
        <v>30</v>
      </c>
      <c r="L65" s="1928">
        <v>50</v>
      </c>
      <c r="M65" s="1930">
        <v>0.02</v>
      </c>
      <c r="O65" s="1882" t="s">
        <v>1036</v>
      </c>
      <c r="P65" s="1883" t="s">
        <v>1572</v>
      </c>
      <c r="Q65" s="1884">
        <f ca="1">C40+J29</f>
        <v>11997</v>
      </c>
      <c r="R65" s="1884" t="s">
        <v>1521</v>
      </c>
    </row>
    <row r="66" spans="1:18" s="1840" customFormat="1" ht="16.5" thickBot="1">
      <c r="A66" s="1200" t="s">
        <v>1496</v>
      </c>
      <c r="B66" s="1168" t="s">
        <v>1431</v>
      </c>
      <c r="C66" s="24">
        <f ca="1">ROUND(C48*F66,1)</f>
        <v>0</v>
      </c>
      <c r="D66" s="1182" t="s">
        <v>1497</v>
      </c>
      <c r="E66" s="1168" t="s">
        <v>1414</v>
      </c>
      <c r="F66" s="356">
        <f t="shared" ca="1" si="0"/>
        <v>0.01</v>
      </c>
      <c r="O66" s="1882" t="s">
        <v>1037</v>
      </c>
      <c r="P66" s="1883" t="s">
        <v>1550</v>
      </c>
      <c r="Q66" s="1884">
        <f ca="1">L60</f>
        <v>0</v>
      </c>
      <c r="R66" s="1884" t="s">
        <v>1573</v>
      </c>
    </row>
    <row r="67" spans="1:18" s="1840" customFormat="1" ht="16.5" thickBot="1">
      <c r="A67" s="1175" t="s">
        <v>1027</v>
      </c>
      <c r="B67" s="1185" t="s">
        <v>1455</v>
      </c>
      <c r="C67" s="360">
        <f ca="1">C48-C58</f>
        <v>-1089</v>
      </c>
      <c r="D67" s="1181" t="s">
        <v>1456</v>
      </c>
      <c r="E67" s="1186"/>
      <c r="F67" s="1187"/>
      <c r="O67" s="1892" t="s">
        <v>1038</v>
      </c>
      <c r="P67" s="1883" t="s">
        <v>1554</v>
      </c>
      <c r="Q67" s="1931">
        <f ca="1">L51</f>
        <v>-7451</v>
      </c>
      <c r="R67" s="1884" t="s">
        <v>1574</v>
      </c>
    </row>
    <row r="68" spans="1:18" s="1840" customFormat="1" ht="16.5" thickBot="1">
      <c r="A68" s="1165" t="s">
        <v>1028</v>
      </c>
      <c r="B68" s="1166" t="s">
        <v>1477</v>
      </c>
      <c r="C68" s="345">
        <f ca="1">ROUND(C67*(1-((1+F70)/(1+F68))^F69)/(F68-F70),0)</f>
        <v>-18221</v>
      </c>
      <c r="D68" s="1183" t="s">
        <v>1461</v>
      </c>
      <c r="E68" s="1168" t="s">
        <v>1462</v>
      </c>
      <c r="F68" s="356">
        <f ca="1">F40</f>
        <v>5.5E-2</v>
      </c>
      <c r="O68" s="1892" t="s">
        <v>1039</v>
      </c>
      <c r="P68" s="1932" t="s">
        <v>1575</v>
      </c>
      <c r="Q68" s="1884">
        <f ca="1">ROUND(Q69-Q70*Q71,0)</f>
        <v>-382</v>
      </c>
      <c r="R68" s="1884" t="s">
        <v>1047</v>
      </c>
    </row>
    <row r="69" spans="1:18" s="1840" customFormat="1" ht="13.5" thickBot="1">
      <c r="A69" s="1169"/>
      <c r="B69" s="1170"/>
      <c r="C69" s="350"/>
      <c r="D69" s="1188" t="s">
        <v>1465</v>
      </c>
      <c r="E69" s="1168" t="s">
        <v>1466</v>
      </c>
      <c r="F69" s="378">
        <f ca="1">F41</f>
        <v>47.23</v>
      </c>
      <c r="O69" s="1892" t="s">
        <v>1044</v>
      </c>
      <c r="P69" s="1932" t="s">
        <v>1576</v>
      </c>
      <c r="Q69" s="1884">
        <f ca="1">C39</f>
        <v>527</v>
      </c>
      <c r="R69" s="1884" t="s">
        <v>1521</v>
      </c>
    </row>
    <row r="70" spans="1:18" s="1840" customFormat="1" ht="13.5" thickBot="1">
      <c r="A70" s="1172"/>
      <c r="B70" s="1173"/>
      <c r="C70" s="354"/>
      <c r="D70" s="1184"/>
      <c r="E70" s="1168" t="s">
        <v>1469</v>
      </c>
      <c r="F70" s="1274"/>
      <c r="O70" s="1892" t="s">
        <v>1045</v>
      </c>
      <c r="P70" s="1932" t="s">
        <v>1577</v>
      </c>
      <c r="Q70" s="1884">
        <f ca="1">C13</f>
        <v>10689</v>
      </c>
      <c r="R70" s="1884" t="s">
        <v>1521</v>
      </c>
    </row>
    <row r="71" spans="1:18" s="1840" customFormat="1" ht="13.5" thickBot="1">
      <c r="A71" s="1189" t="s">
        <v>1029</v>
      </c>
      <c r="B71" s="1190" t="s">
        <v>1479</v>
      </c>
      <c r="C71" s="381">
        <f ca="1">ROUND(C68*10000/F71,0)</f>
        <v>-4828</v>
      </c>
      <c r="D71" s="1191" t="s">
        <v>1480</v>
      </c>
      <c r="E71" s="1192" t="s">
        <v>1481</v>
      </c>
      <c r="F71" s="384">
        <f ca="1">F43</f>
        <v>37739.420000000006</v>
      </c>
      <c r="O71" s="1892" t="s">
        <v>1046</v>
      </c>
      <c r="P71" s="1932" t="s">
        <v>1578</v>
      </c>
      <c r="Q71" s="1895">
        <f ca="1">C76</f>
        <v>8.5000000000000006E-2</v>
      </c>
      <c r="R71" s="1884"/>
    </row>
    <row r="72" spans="1:18" s="1840" customFormat="1" ht="13.5" thickBot="1">
      <c r="B72" s="795"/>
      <c r="C72" s="795"/>
      <c r="O72" s="1892" t="s">
        <v>1040</v>
      </c>
      <c r="P72" s="1883" t="s">
        <v>1556</v>
      </c>
      <c r="Q72" s="1895">
        <f>L52</f>
        <v>0</v>
      </c>
      <c r="R72" s="1884"/>
    </row>
    <row r="73" spans="1:18" ht="16.5" thickBot="1">
      <c r="A73" s="1840"/>
      <c r="B73" s="795"/>
      <c r="C73" s="795"/>
      <c r="D73" s="1840"/>
      <c r="E73" s="1840"/>
      <c r="F73" s="1840"/>
      <c r="O73" s="1892" t="s">
        <v>1041</v>
      </c>
      <c r="P73" s="1883" t="s">
        <v>1559</v>
      </c>
      <c r="Q73" s="1884" t="e">
        <f ca="1">L58</f>
        <v>#DIV/0!</v>
      </c>
      <c r="R73" s="1884" t="s">
        <v>1560</v>
      </c>
    </row>
    <row r="74" spans="1:18" ht="13.5" thickBot="1">
      <c r="A74" s="1840"/>
      <c r="B74" s="316" t="s">
        <v>1579</v>
      </c>
      <c r="C74" s="1934"/>
      <c r="D74" s="1840"/>
      <c r="E74" s="1840"/>
      <c r="F74" s="1840"/>
      <c r="O74" s="1892" t="s">
        <v>1048</v>
      </c>
      <c r="P74" s="1883" t="str">
        <f>K59</f>
        <v>续建工期及建筑物耐用年限下的土地年期修正系数Kn</v>
      </c>
      <c r="Q74" s="1884" t="e">
        <f ca="1">L59</f>
        <v>#DIV/0!</v>
      </c>
      <c r="R74" s="1884" t="s">
        <v>1561</v>
      </c>
    </row>
    <row r="75" spans="1:18" ht="13.5" thickBot="1">
      <c r="A75" s="1840"/>
      <c r="B75" s="385" t="s">
        <v>1498</v>
      </c>
      <c r="C75" s="386">
        <f ca="1">ROUND(C13*C76,0)</f>
        <v>909</v>
      </c>
      <c r="D75" s="1840"/>
      <c r="E75" s="1840"/>
      <c r="F75" s="1840"/>
      <c r="K75" s="1866"/>
      <c r="L75" s="1840"/>
      <c r="O75" s="1882" t="s">
        <v>1042</v>
      </c>
      <c r="P75" s="1883" t="s">
        <v>1541</v>
      </c>
      <c r="Q75" s="1884">
        <f ca="1">Q65+Q66</f>
        <v>11997</v>
      </c>
      <c r="R75" s="1884" t="s">
        <v>1043</v>
      </c>
    </row>
    <row r="76" spans="1:18">
      <c r="B76" s="387" t="s">
        <v>1499</v>
      </c>
      <c r="C76" s="388">
        <f ca="1">INDIRECT("'数据-取费表'!j"&amp;$G$1)</f>
        <v>8.5000000000000006E-2</v>
      </c>
      <c r="I76" s="1840"/>
      <c r="J76" s="1840"/>
      <c r="K76" s="1866"/>
      <c r="L76" s="1840"/>
    </row>
    <row r="77" spans="1:18">
      <c r="B77" s="389" t="s">
        <v>1500</v>
      </c>
      <c r="C77" s="390"/>
      <c r="I77" s="1840"/>
      <c r="J77" s="1840"/>
      <c r="K77" s="1866"/>
      <c r="L77" s="1840"/>
    </row>
    <row r="78" spans="1:18">
      <c r="B78" s="313" t="s">
        <v>1501</v>
      </c>
      <c r="C78" s="391"/>
    </row>
    <row r="79" spans="1:18">
      <c r="B79" s="385" t="s">
        <v>1502</v>
      </c>
      <c r="C79" s="317">
        <f ca="1">1-C80</f>
        <v>-0.72500000000000009</v>
      </c>
    </row>
    <row r="80" spans="1:18">
      <c r="B80" s="385" t="s">
        <v>1503</v>
      </c>
      <c r="C80" s="317">
        <f ca="1">ROUND(C75/C39,3)</f>
        <v>1.7250000000000001</v>
      </c>
    </row>
    <row r="81" spans="2:3">
      <c r="B81" s="313" t="s">
        <v>1504</v>
      </c>
      <c r="C81" s="281"/>
    </row>
    <row r="82" spans="2:3">
      <c r="B82" s="316" t="s">
        <v>1505</v>
      </c>
      <c r="C82" s="318">
        <f ca="1">1-C83</f>
        <v>0.10899999999999999</v>
      </c>
    </row>
    <row r="83" spans="2:3">
      <c r="B83" s="316" t="s">
        <v>1506</v>
      </c>
      <c r="C83" s="317">
        <f ca="1">ROUND(C13/C40,3)</f>
        <v>0.89100000000000001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600" priority="56">
      <formula>$L$48&gt;$J$51</formula>
    </cfRule>
  </conditionalFormatting>
  <conditionalFormatting sqref="I55 I60">
    <cfRule type="expression" dxfId="599" priority="57">
      <formula>$J$51&gt;$L$48</formula>
    </cfRule>
  </conditionalFormatting>
  <conditionalFormatting sqref="C11">
    <cfRule type="expression" dxfId="598" priority="3">
      <formula>$F$10="自定义"</formula>
    </cfRule>
  </conditionalFormatting>
  <conditionalFormatting sqref="J11">
    <cfRule type="expression" dxfId="597" priority="2">
      <formula>$M$10="自定义"</formula>
    </cfRule>
  </conditionalFormatting>
  <conditionalFormatting sqref="C54">
    <cfRule type="expression" dxfId="59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2:N759"/>
  <sheetViews>
    <sheetView topLeftCell="A723" workbookViewId="0">
      <selection activeCell="B2" sqref="B2:L758"/>
    </sheetView>
  </sheetViews>
  <sheetFormatPr defaultRowHeight="13.5"/>
  <cols>
    <col min="1" max="1" width="6.625" customWidth="1"/>
    <col min="9" max="9" width="10.5" bestFit="1" customWidth="1"/>
    <col min="10" max="10" width="11.625" bestFit="1" customWidth="1"/>
    <col min="17" max="17" width="14.75" customWidth="1"/>
  </cols>
  <sheetData>
    <row r="2" spans="2:14" ht="33">
      <c r="B2" s="2955"/>
      <c r="C2" s="2955" t="s">
        <v>3041</v>
      </c>
      <c r="D2" s="2955" t="s">
        <v>3042</v>
      </c>
      <c r="E2" s="2956" t="s">
        <v>3043</v>
      </c>
      <c r="F2" s="2956" t="s">
        <v>3044</v>
      </c>
      <c r="G2" s="2956" t="s">
        <v>3045</v>
      </c>
      <c r="H2" s="2955" t="s">
        <v>3046</v>
      </c>
      <c r="I2" s="2955" t="s">
        <v>3047</v>
      </c>
      <c r="J2" s="2955" t="s">
        <v>3048</v>
      </c>
      <c r="K2" s="2955" t="s">
        <v>3049</v>
      </c>
      <c r="L2" s="2955" t="s">
        <v>3050</v>
      </c>
      <c r="M2" s="2957" t="s">
        <v>3051</v>
      </c>
      <c r="N2" s="2957" t="s">
        <v>3052</v>
      </c>
    </row>
    <row r="3" spans="2:14" ht="14.25">
      <c r="B3" s="2958">
        <v>1</v>
      </c>
      <c r="C3" s="2958" t="s">
        <v>3053</v>
      </c>
      <c r="D3" s="2958" t="s">
        <v>3054</v>
      </c>
      <c r="E3" s="2959">
        <v>1</v>
      </c>
      <c r="F3" s="2960">
        <v>1</v>
      </c>
      <c r="G3" s="2959">
        <v>101</v>
      </c>
      <c r="H3" s="2959" t="s">
        <v>3055</v>
      </c>
      <c r="I3" s="2960">
        <v>374.25</v>
      </c>
      <c r="J3" s="2960">
        <v>132.47999999999999</v>
      </c>
      <c r="K3" s="2960">
        <v>0</v>
      </c>
      <c r="L3" s="2960">
        <f>160.92+80.85</f>
        <v>241.76999999999998</v>
      </c>
      <c r="M3" s="2961">
        <f>58.22+58.22</f>
        <v>116.44</v>
      </c>
      <c r="N3" s="2961">
        <v>576.95000000000005</v>
      </c>
    </row>
    <row r="4" spans="2:14" ht="14.25">
      <c r="B4" s="2958">
        <v>2</v>
      </c>
      <c r="C4" s="2958" t="s">
        <v>3053</v>
      </c>
      <c r="D4" s="2958" t="s">
        <v>3054</v>
      </c>
      <c r="E4" s="2959">
        <v>1</v>
      </c>
      <c r="F4" s="2960">
        <v>1</v>
      </c>
      <c r="G4" s="2959">
        <v>102</v>
      </c>
      <c r="H4" s="2959" t="s">
        <v>3055</v>
      </c>
      <c r="I4" s="2960">
        <v>370.64</v>
      </c>
      <c r="J4" s="2960">
        <v>132.47999999999999</v>
      </c>
      <c r="K4" s="2960">
        <v>0</v>
      </c>
      <c r="L4" s="2960">
        <f>161.25+76.91</f>
        <v>238.16</v>
      </c>
      <c r="M4" s="2961"/>
      <c r="N4" s="2961"/>
    </row>
    <row r="5" spans="2:14" ht="14.25">
      <c r="B5" s="2958">
        <v>3</v>
      </c>
      <c r="C5" s="2958" t="s">
        <v>3053</v>
      </c>
      <c r="D5" s="2958" t="s">
        <v>3054</v>
      </c>
      <c r="E5" s="2959">
        <v>1</v>
      </c>
      <c r="F5" s="2960">
        <v>1</v>
      </c>
      <c r="G5" s="2959">
        <v>201</v>
      </c>
      <c r="H5" s="2959" t="s">
        <v>3055</v>
      </c>
      <c r="I5" s="2960">
        <v>275.25</v>
      </c>
      <c r="J5" s="2960">
        <v>149.77000000000001</v>
      </c>
      <c r="K5" s="2960">
        <v>0</v>
      </c>
      <c r="L5" s="2960">
        <f>64.24+61.24</f>
        <v>125.47999999999999</v>
      </c>
      <c r="M5" s="2961"/>
      <c r="N5" s="2961"/>
    </row>
    <row r="6" spans="2:14" ht="14.25">
      <c r="B6" s="2958">
        <v>4</v>
      </c>
      <c r="C6" s="2958" t="s">
        <v>3053</v>
      </c>
      <c r="D6" s="2958" t="s">
        <v>3054</v>
      </c>
      <c r="E6" s="2959">
        <v>1</v>
      </c>
      <c r="F6" s="2960">
        <v>1</v>
      </c>
      <c r="G6" s="2959">
        <v>202</v>
      </c>
      <c r="H6" s="2959" t="s">
        <v>3055</v>
      </c>
      <c r="I6" s="2960">
        <v>304.88</v>
      </c>
      <c r="J6" s="2960">
        <v>149.77000000000001</v>
      </c>
      <c r="K6" s="2960">
        <v>0</v>
      </c>
      <c r="L6" s="2960">
        <f>64.31+90.8</f>
        <v>155.11000000000001</v>
      </c>
      <c r="M6" s="2961"/>
      <c r="N6" s="2961"/>
    </row>
    <row r="7" spans="2:14" ht="14.25" hidden="1">
      <c r="B7" s="2962"/>
      <c r="C7" s="2962" t="s">
        <v>3053</v>
      </c>
      <c r="D7" s="2962" t="s">
        <v>3054</v>
      </c>
      <c r="E7" s="2963">
        <v>1</v>
      </c>
      <c r="F7" s="2964">
        <v>1</v>
      </c>
      <c r="G7" s="2963">
        <v>301</v>
      </c>
      <c r="H7" s="2963" t="s">
        <v>3056</v>
      </c>
      <c r="I7" s="2964">
        <v>143.13</v>
      </c>
      <c r="J7" s="2964">
        <v>143.13</v>
      </c>
      <c r="K7" s="2964">
        <v>0</v>
      </c>
      <c r="L7" s="2964">
        <v>0</v>
      </c>
      <c r="M7" s="2961"/>
      <c r="N7" s="2961"/>
    </row>
    <row r="8" spans="2:14" ht="14.25">
      <c r="B8" s="2958">
        <v>5</v>
      </c>
      <c r="C8" s="2958" t="s">
        <v>3053</v>
      </c>
      <c r="D8" s="2958" t="s">
        <v>3054</v>
      </c>
      <c r="E8" s="2959">
        <v>1</v>
      </c>
      <c r="F8" s="2960">
        <v>1</v>
      </c>
      <c r="G8" s="2959">
        <v>302</v>
      </c>
      <c r="H8" s="2959" t="s">
        <v>3055</v>
      </c>
      <c r="I8" s="2960">
        <v>143.13</v>
      </c>
      <c r="J8" s="2960">
        <v>143.13</v>
      </c>
      <c r="K8" s="2960">
        <v>0</v>
      </c>
      <c r="L8" s="2960">
        <v>0</v>
      </c>
      <c r="M8" s="2961"/>
      <c r="N8" s="2961"/>
    </row>
    <row r="9" spans="2:14" ht="14.25">
      <c r="B9" s="2958">
        <v>6</v>
      </c>
      <c r="C9" s="2958" t="s">
        <v>3053</v>
      </c>
      <c r="D9" s="2958" t="s">
        <v>3054</v>
      </c>
      <c r="E9" s="2959">
        <v>1</v>
      </c>
      <c r="F9" s="2960">
        <v>1</v>
      </c>
      <c r="G9" s="2959">
        <v>401</v>
      </c>
      <c r="H9" s="2959" t="s">
        <v>3055</v>
      </c>
      <c r="I9" s="2960">
        <v>143.13</v>
      </c>
      <c r="J9" s="2960">
        <v>143.13</v>
      </c>
      <c r="K9" s="2960">
        <v>0</v>
      </c>
      <c r="L9" s="2960">
        <v>0</v>
      </c>
      <c r="M9" s="2961"/>
      <c r="N9" s="2961"/>
    </row>
    <row r="10" spans="2:14" ht="14.25" hidden="1">
      <c r="B10" s="2962"/>
      <c r="C10" s="2962" t="s">
        <v>3053</v>
      </c>
      <c r="D10" s="2962" t="s">
        <v>3054</v>
      </c>
      <c r="E10" s="2963">
        <v>1</v>
      </c>
      <c r="F10" s="2964">
        <v>1</v>
      </c>
      <c r="G10" s="2963">
        <v>402</v>
      </c>
      <c r="H10" s="2963" t="s">
        <v>3056</v>
      </c>
      <c r="I10" s="2964">
        <v>143.13</v>
      </c>
      <c r="J10" s="2964">
        <v>143.13</v>
      </c>
      <c r="K10" s="2964">
        <v>0</v>
      </c>
      <c r="L10" s="2964">
        <v>0</v>
      </c>
      <c r="M10" s="2961"/>
      <c r="N10" s="2961"/>
    </row>
    <row r="11" spans="2:14" ht="14.25" hidden="1">
      <c r="B11" s="2962"/>
      <c r="C11" s="2962" t="s">
        <v>3053</v>
      </c>
      <c r="D11" s="2962" t="s">
        <v>3054</v>
      </c>
      <c r="E11" s="2963">
        <v>1</v>
      </c>
      <c r="F11" s="2964">
        <v>1</v>
      </c>
      <c r="G11" s="2963">
        <v>501</v>
      </c>
      <c r="H11" s="2963" t="s">
        <v>3056</v>
      </c>
      <c r="I11" s="2964">
        <v>143.13</v>
      </c>
      <c r="J11" s="2964">
        <v>143.13</v>
      </c>
      <c r="K11" s="2964">
        <v>0</v>
      </c>
      <c r="L11" s="2964">
        <v>0</v>
      </c>
      <c r="M11" s="2961"/>
      <c r="N11" s="2961"/>
    </row>
    <row r="12" spans="2:14" ht="14.25" hidden="1">
      <c r="B12" s="2962"/>
      <c r="C12" s="2962" t="s">
        <v>3053</v>
      </c>
      <c r="D12" s="2962" t="s">
        <v>3054</v>
      </c>
      <c r="E12" s="2963">
        <v>1</v>
      </c>
      <c r="F12" s="2964">
        <v>1</v>
      </c>
      <c r="G12" s="2963">
        <v>502</v>
      </c>
      <c r="H12" s="2963" t="s">
        <v>3056</v>
      </c>
      <c r="I12" s="2964">
        <v>143.13</v>
      </c>
      <c r="J12" s="2964">
        <v>143.13</v>
      </c>
      <c r="K12" s="2964">
        <v>0</v>
      </c>
      <c r="L12" s="2964">
        <v>0</v>
      </c>
      <c r="M12" s="2961"/>
      <c r="N12" s="2961"/>
    </row>
    <row r="13" spans="2:14" ht="14.25">
      <c r="B13" s="2958">
        <v>7</v>
      </c>
      <c r="C13" s="2958" t="s">
        <v>3053</v>
      </c>
      <c r="D13" s="2958" t="s">
        <v>3054</v>
      </c>
      <c r="E13" s="2959">
        <v>1</v>
      </c>
      <c r="F13" s="2960">
        <v>1</v>
      </c>
      <c r="G13" s="2959">
        <v>601</v>
      </c>
      <c r="H13" s="2959" t="s">
        <v>3055</v>
      </c>
      <c r="I13" s="2960">
        <v>143.13</v>
      </c>
      <c r="J13" s="2960">
        <v>143.13</v>
      </c>
      <c r="K13" s="2960">
        <v>0</v>
      </c>
      <c r="L13" s="2960">
        <v>0</v>
      </c>
      <c r="M13" s="2961"/>
      <c r="N13" s="2961"/>
    </row>
    <row r="14" spans="2:14" ht="14.25" hidden="1">
      <c r="B14" s="2962"/>
      <c r="C14" s="2962" t="s">
        <v>3053</v>
      </c>
      <c r="D14" s="2962" t="s">
        <v>3054</v>
      </c>
      <c r="E14" s="2963">
        <v>1</v>
      </c>
      <c r="F14" s="2964">
        <v>1</v>
      </c>
      <c r="G14" s="2963">
        <v>602</v>
      </c>
      <c r="H14" s="2963" t="s">
        <v>3056</v>
      </c>
      <c r="I14" s="2964">
        <v>143.13</v>
      </c>
      <c r="J14" s="2964">
        <v>143.13</v>
      </c>
      <c r="K14" s="2964">
        <v>0</v>
      </c>
      <c r="L14" s="2964">
        <v>0</v>
      </c>
      <c r="M14" s="2961"/>
      <c r="N14" s="2961"/>
    </row>
    <row r="15" spans="2:14" ht="14.25" hidden="1">
      <c r="B15" s="2962"/>
      <c r="C15" s="2962" t="s">
        <v>3053</v>
      </c>
      <c r="D15" s="2962" t="s">
        <v>3054</v>
      </c>
      <c r="E15" s="2963">
        <v>1</v>
      </c>
      <c r="F15" s="2964">
        <v>1</v>
      </c>
      <c r="G15" s="2963">
        <v>701</v>
      </c>
      <c r="H15" s="2963" t="s">
        <v>3056</v>
      </c>
      <c r="I15" s="2964">
        <v>143.13</v>
      </c>
      <c r="J15" s="2964">
        <v>143.13</v>
      </c>
      <c r="K15" s="2964">
        <v>0</v>
      </c>
      <c r="L15" s="2964">
        <v>0</v>
      </c>
      <c r="M15" s="2961"/>
      <c r="N15" s="2961"/>
    </row>
    <row r="16" spans="2:14" ht="14.25" hidden="1">
      <c r="B16" s="2962"/>
      <c r="C16" s="2962" t="s">
        <v>3053</v>
      </c>
      <c r="D16" s="2962" t="s">
        <v>3054</v>
      </c>
      <c r="E16" s="2963">
        <v>1</v>
      </c>
      <c r="F16" s="2964">
        <v>1</v>
      </c>
      <c r="G16" s="2963">
        <v>702</v>
      </c>
      <c r="H16" s="2963" t="s">
        <v>3056</v>
      </c>
      <c r="I16" s="2964">
        <v>143.13</v>
      </c>
      <c r="J16" s="2964">
        <v>143.13</v>
      </c>
      <c r="K16" s="2964">
        <v>0</v>
      </c>
      <c r="L16" s="2964">
        <v>0</v>
      </c>
      <c r="M16" s="2961"/>
      <c r="N16" s="2961"/>
    </row>
    <row r="17" spans="2:14" ht="14.25">
      <c r="B17" s="2958">
        <v>8</v>
      </c>
      <c r="C17" s="2958" t="s">
        <v>3053</v>
      </c>
      <c r="D17" s="2958" t="s">
        <v>3054</v>
      </c>
      <c r="E17" s="2959">
        <v>1</v>
      </c>
      <c r="F17" s="2960">
        <v>1</v>
      </c>
      <c r="G17" s="2959">
        <v>801</v>
      </c>
      <c r="H17" s="2959" t="s">
        <v>3055</v>
      </c>
      <c r="I17" s="2960">
        <v>143.13</v>
      </c>
      <c r="J17" s="2960">
        <v>143.13</v>
      </c>
      <c r="K17" s="2960">
        <v>0</v>
      </c>
      <c r="L17" s="2960">
        <v>0</v>
      </c>
      <c r="M17" s="2961"/>
      <c r="N17" s="2961"/>
    </row>
    <row r="18" spans="2:14" ht="14.25" hidden="1">
      <c r="B18" s="2962"/>
      <c r="C18" s="2962" t="s">
        <v>3053</v>
      </c>
      <c r="D18" s="2962" t="s">
        <v>3054</v>
      </c>
      <c r="E18" s="2963">
        <v>1</v>
      </c>
      <c r="F18" s="2964">
        <v>1</v>
      </c>
      <c r="G18" s="2963">
        <v>802</v>
      </c>
      <c r="H18" s="2963" t="s">
        <v>3056</v>
      </c>
      <c r="I18" s="2964">
        <v>143.13</v>
      </c>
      <c r="J18" s="2964">
        <v>143.13</v>
      </c>
      <c r="K18" s="2964">
        <v>0</v>
      </c>
      <c r="L18" s="2964">
        <v>0</v>
      </c>
      <c r="M18" s="2961"/>
      <c r="N18" s="2961"/>
    </row>
    <row r="19" spans="2:14" ht="14.25">
      <c r="B19" s="2958">
        <v>9</v>
      </c>
      <c r="C19" s="2958" t="s">
        <v>3053</v>
      </c>
      <c r="D19" s="2958" t="s">
        <v>3054</v>
      </c>
      <c r="E19" s="2959">
        <v>1</v>
      </c>
      <c r="F19" s="2960">
        <v>1</v>
      </c>
      <c r="G19" s="2959">
        <v>901</v>
      </c>
      <c r="H19" s="2959" t="s">
        <v>3055</v>
      </c>
      <c r="I19" s="2960">
        <v>143.13</v>
      </c>
      <c r="J19" s="2960">
        <v>143.13</v>
      </c>
      <c r="K19" s="2960">
        <v>0</v>
      </c>
      <c r="L19" s="2960">
        <v>0</v>
      </c>
      <c r="M19" s="2961"/>
      <c r="N19" s="2961"/>
    </row>
    <row r="20" spans="2:14" ht="14.25" hidden="1">
      <c r="B20" s="2962"/>
      <c r="C20" s="2962" t="s">
        <v>3053</v>
      </c>
      <c r="D20" s="2962" t="s">
        <v>3054</v>
      </c>
      <c r="E20" s="2963">
        <v>1</v>
      </c>
      <c r="F20" s="2964">
        <v>1</v>
      </c>
      <c r="G20" s="2963">
        <v>902</v>
      </c>
      <c r="H20" s="2963" t="s">
        <v>3056</v>
      </c>
      <c r="I20" s="2964">
        <v>143.13</v>
      </c>
      <c r="J20" s="2964">
        <v>143.13</v>
      </c>
      <c r="K20" s="2964">
        <v>0</v>
      </c>
      <c r="L20" s="2964">
        <v>0</v>
      </c>
      <c r="M20" s="2961"/>
      <c r="N20" s="2961"/>
    </row>
    <row r="21" spans="2:14" ht="14.25">
      <c r="B21" s="2958">
        <v>10</v>
      </c>
      <c r="C21" s="2958" t="s">
        <v>3053</v>
      </c>
      <c r="D21" s="2958" t="s">
        <v>3054</v>
      </c>
      <c r="E21" s="2959">
        <v>1</v>
      </c>
      <c r="F21" s="2960">
        <v>1</v>
      </c>
      <c r="G21" s="2959">
        <v>1001</v>
      </c>
      <c r="H21" s="2959" t="s">
        <v>3055</v>
      </c>
      <c r="I21" s="2960">
        <v>143.13</v>
      </c>
      <c r="J21" s="2960">
        <v>143.13</v>
      </c>
      <c r="K21" s="2960">
        <v>0</v>
      </c>
      <c r="L21" s="2960">
        <v>0</v>
      </c>
      <c r="M21" s="2961"/>
      <c r="N21" s="2961"/>
    </row>
    <row r="22" spans="2:14" ht="14.25" hidden="1">
      <c r="B22" s="2962"/>
      <c r="C22" s="2962" t="s">
        <v>3053</v>
      </c>
      <c r="D22" s="2962" t="s">
        <v>3054</v>
      </c>
      <c r="E22" s="2963">
        <v>1</v>
      </c>
      <c r="F22" s="2964">
        <v>1</v>
      </c>
      <c r="G22" s="2963">
        <v>1002</v>
      </c>
      <c r="H22" s="2963" t="s">
        <v>3056</v>
      </c>
      <c r="I22" s="2964">
        <v>143.13</v>
      </c>
      <c r="J22" s="2964">
        <v>143.13</v>
      </c>
      <c r="K22" s="2964">
        <v>0</v>
      </c>
      <c r="L22" s="2964">
        <v>0</v>
      </c>
      <c r="M22" s="2961"/>
      <c r="N22" s="2961"/>
    </row>
    <row r="23" spans="2:14" ht="14.25">
      <c r="B23" s="2958">
        <v>11</v>
      </c>
      <c r="C23" s="2958" t="s">
        <v>3053</v>
      </c>
      <c r="D23" s="2958" t="s">
        <v>3054</v>
      </c>
      <c r="E23" s="2959">
        <v>1</v>
      </c>
      <c r="F23" s="2960">
        <v>1</v>
      </c>
      <c r="G23" s="2959">
        <v>1101</v>
      </c>
      <c r="H23" s="2959" t="s">
        <v>3055</v>
      </c>
      <c r="I23" s="2960">
        <v>200.41</v>
      </c>
      <c r="J23" s="2960">
        <v>143.34</v>
      </c>
      <c r="K23" s="2960">
        <v>57.07</v>
      </c>
      <c r="L23" s="2960">
        <v>0</v>
      </c>
      <c r="M23" s="2961"/>
      <c r="N23" s="2961"/>
    </row>
    <row r="24" spans="2:14" ht="14.25">
      <c r="B24" s="2958">
        <v>12</v>
      </c>
      <c r="C24" s="2958" t="s">
        <v>3053</v>
      </c>
      <c r="D24" s="2958" t="s">
        <v>3054</v>
      </c>
      <c r="E24" s="2959">
        <v>1</v>
      </c>
      <c r="F24" s="2960">
        <v>1</v>
      </c>
      <c r="G24" s="2959">
        <v>1102</v>
      </c>
      <c r="H24" s="2959" t="s">
        <v>3055</v>
      </c>
      <c r="I24" s="2960">
        <v>218.63</v>
      </c>
      <c r="J24" s="2960">
        <v>143.34</v>
      </c>
      <c r="K24" s="2960">
        <v>75.290000000000006</v>
      </c>
      <c r="L24" s="2960">
        <v>0</v>
      </c>
      <c r="M24" s="2961"/>
      <c r="N24" s="2961"/>
    </row>
    <row r="25" spans="2:14" ht="14.25">
      <c r="B25" s="2958">
        <v>13</v>
      </c>
      <c r="C25" s="2958" t="s">
        <v>3053</v>
      </c>
      <c r="D25" s="2958" t="s">
        <v>3054</v>
      </c>
      <c r="E25" s="2959">
        <v>1</v>
      </c>
      <c r="F25" s="2960">
        <v>2</v>
      </c>
      <c r="G25" s="2959">
        <v>103</v>
      </c>
      <c r="H25" s="2959" t="s">
        <v>3055</v>
      </c>
      <c r="I25" s="2960">
        <v>370.64</v>
      </c>
      <c r="J25" s="2960">
        <v>132.47999999999999</v>
      </c>
      <c r="K25" s="2960">
        <v>0</v>
      </c>
      <c r="L25" s="2960">
        <f>161.25+76.91</f>
        <v>238.16</v>
      </c>
      <c r="M25" s="2961"/>
      <c r="N25" s="2961"/>
    </row>
    <row r="26" spans="2:14" ht="14.25">
      <c r="B26" s="2958">
        <v>14</v>
      </c>
      <c r="C26" s="2958" t="s">
        <v>3053</v>
      </c>
      <c r="D26" s="2958" t="s">
        <v>3054</v>
      </c>
      <c r="E26" s="2959">
        <v>1</v>
      </c>
      <c r="F26" s="2960">
        <v>2</v>
      </c>
      <c r="G26" s="2959">
        <v>104</v>
      </c>
      <c r="H26" s="2959" t="s">
        <v>3055</v>
      </c>
      <c r="I26" s="2960">
        <v>374.25</v>
      </c>
      <c r="J26" s="2960">
        <v>132.47999999999999</v>
      </c>
      <c r="K26" s="2960">
        <v>0</v>
      </c>
      <c r="L26" s="2960">
        <f>160.92+80.85</f>
        <v>241.76999999999998</v>
      </c>
      <c r="M26" s="2961"/>
      <c r="N26" s="2961"/>
    </row>
    <row r="27" spans="2:14" ht="14.25">
      <c r="B27" s="2958">
        <v>15</v>
      </c>
      <c r="C27" s="2958" t="s">
        <v>3053</v>
      </c>
      <c r="D27" s="2958" t="s">
        <v>3054</v>
      </c>
      <c r="E27" s="2959">
        <v>1</v>
      </c>
      <c r="F27" s="2960">
        <v>2</v>
      </c>
      <c r="G27" s="2959">
        <v>203</v>
      </c>
      <c r="H27" s="2959" t="s">
        <v>3055</v>
      </c>
      <c r="I27" s="2960">
        <v>304.88</v>
      </c>
      <c r="J27" s="2960">
        <v>149.77000000000001</v>
      </c>
      <c r="K27" s="2960">
        <v>0</v>
      </c>
      <c r="L27" s="2960">
        <f>64.31+90.8</f>
        <v>155.11000000000001</v>
      </c>
      <c r="M27" s="2961"/>
      <c r="N27" s="2961"/>
    </row>
    <row r="28" spans="2:14" ht="14.25">
      <c r="B28" s="2958">
        <v>16</v>
      </c>
      <c r="C28" s="2958" t="s">
        <v>3053</v>
      </c>
      <c r="D28" s="2958" t="s">
        <v>3054</v>
      </c>
      <c r="E28" s="2959">
        <v>1</v>
      </c>
      <c r="F28" s="2960">
        <v>2</v>
      </c>
      <c r="G28" s="2959">
        <v>204</v>
      </c>
      <c r="H28" s="2959" t="s">
        <v>3055</v>
      </c>
      <c r="I28" s="2960">
        <v>275.25</v>
      </c>
      <c r="J28" s="2960">
        <v>149.77000000000001</v>
      </c>
      <c r="K28" s="2960">
        <v>0</v>
      </c>
      <c r="L28" s="2960">
        <f>64.24+61.24</f>
        <v>125.47999999999999</v>
      </c>
      <c r="M28" s="2961"/>
      <c r="N28" s="2961"/>
    </row>
    <row r="29" spans="2:14" ht="14.25" hidden="1">
      <c r="B29" s="2962"/>
      <c r="C29" s="2962" t="s">
        <v>3053</v>
      </c>
      <c r="D29" s="2962" t="s">
        <v>3054</v>
      </c>
      <c r="E29" s="2963">
        <v>1</v>
      </c>
      <c r="F29" s="2964">
        <v>2</v>
      </c>
      <c r="G29" s="2963">
        <v>303</v>
      </c>
      <c r="H29" s="2963" t="s">
        <v>3056</v>
      </c>
      <c r="I29" s="2964">
        <v>143.13</v>
      </c>
      <c r="J29" s="2964">
        <v>143.13</v>
      </c>
      <c r="K29" s="2964">
        <v>0</v>
      </c>
      <c r="L29" s="2964">
        <v>0</v>
      </c>
      <c r="M29" s="2961"/>
      <c r="N29" s="2961"/>
    </row>
    <row r="30" spans="2:14" ht="14.25" hidden="1">
      <c r="B30" s="2962"/>
      <c r="C30" s="2962" t="s">
        <v>3053</v>
      </c>
      <c r="D30" s="2962" t="s">
        <v>3054</v>
      </c>
      <c r="E30" s="2963">
        <v>1</v>
      </c>
      <c r="F30" s="2964">
        <v>2</v>
      </c>
      <c r="G30" s="2963">
        <v>304</v>
      </c>
      <c r="H30" s="2963" t="s">
        <v>3056</v>
      </c>
      <c r="I30" s="2964">
        <v>143.13</v>
      </c>
      <c r="J30" s="2964">
        <v>143.13</v>
      </c>
      <c r="K30" s="2964">
        <v>0</v>
      </c>
      <c r="L30" s="2964">
        <v>0</v>
      </c>
      <c r="M30" s="2961"/>
      <c r="N30" s="2961"/>
    </row>
    <row r="31" spans="2:14" ht="14.25" hidden="1">
      <c r="B31" s="2962"/>
      <c r="C31" s="2962" t="s">
        <v>3053</v>
      </c>
      <c r="D31" s="2962" t="s">
        <v>3054</v>
      </c>
      <c r="E31" s="2963">
        <v>1</v>
      </c>
      <c r="F31" s="2964">
        <v>2</v>
      </c>
      <c r="G31" s="2963">
        <v>403</v>
      </c>
      <c r="H31" s="2963" t="s">
        <v>3056</v>
      </c>
      <c r="I31" s="2964">
        <v>143.13</v>
      </c>
      <c r="J31" s="2964">
        <v>143.13</v>
      </c>
      <c r="K31" s="2964">
        <v>0</v>
      </c>
      <c r="L31" s="2964">
        <v>0</v>
      </c>
      <c r="M31" s="2961"/>
      <c r="N31" s="2961"/>
    </row>
    <row r="32" spans="2:14" ht="14.25">
      <c r="B32" s="2958">
        <v>17</v>
      </c>
      <c r="C32" s="2958" t="s">
        <v>3053</v>
      </c>
      <c r="D32" s="2958" t="s">
        <v>3054</v>
      </c>
      <c r="E32" s="2959">
        <v>1</v>
      </c>
      <c r="F32" s="2960">
        <v>2</v>
      </c>
      <c r="G32" s="2959">
        <v>404</v>
      </c>
      <c r="H32" s="2959" t="s">
        <v>3055</v>
      </c>
      <c r="I32" s="2960">
        <v>143.13</v>
      </c>
      <c r="J32" s="2960">
        <v>143.13</v>
      </c>
      <c r="K32" s="2960">
        <v>0</v>
      </c>
      <c r="L32" s="2960">
        <v>0</v>
      </c>
      <c r="M32" s="2961"/>
      <c r="N32" s="2961"/>
    </row>
    <row r="33" spans="2:14" ht="14.25" hidden="1">
      <c r="B33" s="2962"/>
      <c r="C33" s="2962" t="s">
        <v>3053</v>
      </c>
      <c r="D33" s="2962" t="s">
        <v>3054</v>
      </c>
      <c r="E33" s="2963">
        <v>1</v>
      </c>
      <c r="F33" s="2964">
        <v>2</v>
      </c>
      <c r="G33" s="2963">
        <v>503</v>
      </c>
      <c r="H33" s="2963" t="s">
        <v>3056</v>
      </c>
      <c r="I33" s="2964">
        <v>143.13</v>
      </c>
      <c r="J33" s="2964">
        <v>143.13</v>
      </c>
      <c r="K33" s="2964">
        <v>0</v>
      </c>
      <c r="L33" s="2964">
        <v>0</v>
      </c>
      <c r="M33" s="2961"/>
      <c r="N33" s="2961"/>
    </row>
    <row r="34" spans="2:14" ht="14.25">
      <c r="B34" s="2958">
        <v>18</v>
      </c>
      <c r="C34" s="2958" t="s">
        <v>3053</v>
      </c>
      <c r="D34" s="2958" t="s">
        <v>3054</v>
      </c>
      <c r="E34" s="2959">
        <v>1</v>
      </c>
      <c r="F34" s="2960">
        <v>2</v>
      </c>
      <c r="G34" s="2959">
        <v>504</v>
      </c>
      <c r="H34" s="2959" t="s">
        <v>3055</v>
      </c>
      <c r="I34" s="2960">
        <v>143.13</v>
      </c>
      <c r="J34" s="2960">
        <v>143.13</v>
      </c>
      <c r="K34" s="2960">
        <v>0</v>
      </c>
      <c r="L34" s="2960">
        <v>0</v>
      </c>
      <c r="M34" s="2961"/>
      <c r="N34" s="2961"/>
    </row>
    <row r="35" spans="2:14" ht="14.25" hidden="1">
      <c r="B35" s="2962"/>
      <c r="C35" s="2962" t="s">
        <v>3053</v>
      </c>
      <c r="D35" s="2962" t="s">
        <v>3054</v>
      </c>
      <c r="E35" s="2963">
        <v>1</v>
      </c>
      <c r="F35" s="2964">
        <v>2</v>
      </c>
      <c r="G35" s="2963">
        <v>603</v>
      </c>
      <c r="H35" s="2963" t="s">
        <v>3056</v>
      </c>
      <c r="I35" s="2964">
        <v>143.13</v>
      </c>
      <c r="J35" s="2964">
        <v>143.13</v>
      </c>
      <c r="K35" s="2964">
        <v>0</v>
      </c>
      <c r="L35" s="2964">
        <v>0</v>
      </c>
      <c r="M35" s="2961"/>
      <c r="N35" s="2961"/>
    </row>
    <row r="36" spans="2:14" ht="14.25" hidden="1">
      <c r="B36" s="2962"/>
      <c r="C36" s="2962" t="s">
        <v>3053</v>
      </c>
      <c r="D36" s="2962" t="s">
        <v>3054</v>
      </c>
      <c r="E36" s="2963">
        <v>1</v>
      </c>
      <c r="F36" s="2964">
        <v>2</v>
      </c>
      <c r="G36" s="2963">
        <v>604</v>
      </c>
      <c r="H36" s="2963" t="s">
        <v>3056</v>
      </c>
      <c r="I36" s="2964">
        <v>143.13</v>
      </c>
      <c r="J36" s="2964">
        <v>143.13</v>
      </c>
      <c r="K36" s="2964">
        <v>0</v>
      </c>
      <c r="L36" s="2964">
        <v>0</v>
      </c>
      <c r="M36" s="2961"/>
      <c r="N36" s="2961"/>
    </row>
    <row r="37" spans="2:14" ht="14.25" hidden="1">
      <c r="B37" s="2962"/>
      <c r="C37" s="2962" t="s">
        <v>3053</v>
      </c>
      <c r="D37" s="2962" t="s">
        <v>3054</v>
      </c>
      <c r="E37" s="2963">
        <v>1</v>
      </c>
      <c r="F37" s="2964">
        <v>2</v>
      </c>
      <c r="G37" s="2963">
        <v>703</v>
      </c>
      <c r="H37" s="2963" t="s">
        <v>3056</v>
      </c>
      <c r="I37" s="2964">
        <v>143.13</v>
      </c>
      <c r="J37" s="2964">
        <v>143.13</v>
      </c>
      <c r="K37" s="2964">
        <v>0</v>
      </c>
      <c r="L37" s="2964">
        <v>0</v>
      </c>
      <c r="M37" s="2961"/>
      <c r="N37" s="2961"/>
    </row>
    <row r="38" spans="2:14" ht="14.25">
      <c r="B38" s="2958">
        <v>19</v>
      </c>
      <c r="C38" s="2958" t="s">
        <v>3053</v>
      </c>
      <c r="D38" s="2958" t="s">
        <v>3054</v>
      </c>
      <c r="E38" s="2959">
        <v>1</v>
      </c>
      <c r="F38" s="2960">
        <v>2</v>
      </c>
      <c r="G38" s="2959">
        <v>704</v>
      </c>
      <c r="H38" s="2959" t="s">
        <v>3055</v>
      </c>
      <c r="I38" s="2960">
        <v>143.13</v>
      </c>
      <c r="J38" s="2960">
        <v>143.13</v>
      </c>
      <c r="K38" s="2960">
        <v>0</v>
      </c>
      <c r="L38" s="2960">
        <v>0</v>
      </c>
      <c r="M38" s="2961"/>
      <c r="N38" s="2961"/>
    </row>
    <row r="39" spans="2:14" ht="14.25" hidden="1">
      <c r="B39" s="2962"/>
      <c r="C39" s="2962" t="s">
        <v>3053</v>
      </c>
      <c r="D39" s="2962" t="s">
        <v>3054</v>
      </c>
      <c r="E39" s="2963">
        <v>1</v>
      </c>
      <c r="F39" s="2964">
        <v>2</v>
      </c>
      <c r="G39" s="2963">
        <v>803</v>
      </c>
      <c r="H39" s="2963" t="s">
        <v>3056</v>
      </c>
      <c r="I39" s="2964">
        <v>143.13</v>
      </c>
      <c r="J39" s="2964">
        <v>143.13</v>
      </c>
      <c r="K39" s="2964">
        <v>0</v>
      </c>
      <c r="L39" s="2964">
        <v>0</v>
      </c>
      <c r="M39" s="2961"/>
      <c r="N39" s="2961"/>
    </row>
    <row r="40" spans="2:14" ht="14.25">
      <c r="B40" s="2958">
        <v>20</v>
      </c>
      <c r="C40" s="2958" t="s">
        <v>3053</v>
      </c>
      <c r="D40" s="2958" t="s">
        <v>3054</v>
      </c>
      <c r="E40" s="2959">
        <v>1</v>
      </c>
      <c r="F40" s="2960">
        <v>2</v>
      </c>
      <c r="G40" s="2959">
        <v>804</v>
      </c>
      <c r="H40" s="2959" t="s">
        <v>3055</v>
      </c>
      <c r="I40" s="2960">
        <v>143.13</v>
      </c>
      <c r="J40" s="2960">
        <v>143.13</v>
      </c>
      <c r="K40" s="2960">
        <v>0</v>
      </c>
      <c r="L40" s="2960">
        <v>0</v>
      </c>
      <c r="M40" s="2961"/>
      <c r="N40" s="2961"/>
    </row>
    <row r="41" spans="2:14" ht="14.25" hidden="1">
      <c r="B41" s="2962"/>
      <c r="C41" s="2962" t="s">
        <v>3053</v>
      </c>
      <c r="D41" s="2962" t="s">
        <v>3054</v>
      </c>
      <c r="E41" s="2963">
        <v>1</v>
      </c>
      <c r="F41" s="2964">
        <v>2</v>
      </c>
      <c r="G41" s="2963">
        <v>903</v>
      </c>
      <c r="H41" s="2963" t="s">
        <v>3056</v>
      </c>
      <c r="I41" s="2964">
        <v>143.13</v>
      </c>
      <c r="J41" s="2964">
        <v>143.13</v>
      </c>
      <c r="K41" s="2964">
        <v>0</v>
      </c>
      <c r="L41" s="2964">
        <v>0</v>
      </c>
      <c r="M41" s="2961"/>
      <c r="N41" s="2961"/>
    </row>
    <row r="42" spans="2:14" ht="14.25" hidden="1">
      <c r="B42" s="2962"/>
      <c r="C42" s="2962" t="s">
        <v>3053</v>
      </c>
      <c r="D42" s="2962" t="s">
        <v>3054</v>
      </c>
      <c r="E42" s="2963">
        <v>1</v>
      </c>
      <c r="F42" s="2964">
        <v>2</v>
      </c>
      <c r="G42" s="2963">
        <v>904</v>
      </c>
      <c r="H42" s="2963" t="s">
        <v>3056</v>
      </c>
      <c r="I42" s="2964">
        <v>143.13</v>
      </c>
      <c r="J42" s="2964">
        <v>143.13</v>
      </c>
      <c r="K42" s="2964">
        <v>0</v>
      </c>
      <c r="L42" s="2964">
        <v>0</v>
      </c>
      <c r="M42" s="2961"/>
      <c r="N42" s="2961"/>
    </row>
    <row r="43" spans="2:14" ht="14.25">
      <c r="B43" s="2958">
        <v>21</v>
      </c>
      <c r="C43" s="2958" t="s">
        <v>3053</v>
      </c>
      <c r="D43" s="2958" t="s">
        <v>3054</v>
      </c>
      <c r="E43" s="2959">
        <v>1</v>
      </c>
      <c r="F43" s="2960">
        <v>2</v>
      </c>
      <c r="G43" s="2959">
        <v>1003</v>
      </c>
      <c r="H43" s="2959" t="s">
        <v>3055</v>
      </c>
      <c r="I43" s="2960">
        <v>143.13</v>
      </c>
      <c r="J43" s="2960">
        <v>143.13</v>
      </c>
      <c r="K43" s="2960">
        <v>0</v>
      </c>
      <c r="L43" s="2960">
        <v>0</v>
      </c>
      <c r="M43" s="2961"/>
      <c r="N43" s="2961"/>
    </row>
    <row r="44" spans="2:14" ht="14.25">
      <c r="B44" s="2958">
        <v>22</v>
      </c>
      <c r="C44" s="2958" t="s">
        <v>3053</v>
      </c>
      <c r="D44" s="2958" t="s">
        <v>3054</v>
      </c>
      <c r="E44" s="2959">
        <v>1</v>
      </c>
      <c r="F44" s="2960">
        <v>2</v>
      </c>
      <c r="G44" s="2959">
        <v>1004</v>
      </c>
      <c r="H44" s="2959" t="s">
        <v>3055</v>
      </c>
      <c r="I44" s="2960">
        <v>143.13</v>
      </c>
      <c r="J44" s="2960">
        <v>143.13</v>
      </c>
      <c r="K44" s="2960">
        <v>0</v>
      </c>
      <c r="L44" s="2960">
        <v>0</v>
      </c>
      <c r="M44" s="2961"/>
      <c r="N44" s="2961"/>
    </row>
    <row r="45" spans="2:14" ht="14.25">
      <c r="B45" s="2958">
        <v>23</v>
      </c>
      <c r="C45" s="2958" t="s">
        <v>3053</v>
      </c>
      <c r="D45" s="2958" t="s">
        <v>3054</v>
      </c>
      <c r="E45" s="2959">
        <v>1</v>
      </c>
      <c r="F45" s="2960">
        <v>2</v>
      </c>
      <c r="G45" s="2959">
        <v>1103</v>
      </c>
      <c r="H45" s="2959" t="s">
        <v>3055</v>
      </c>
      <c r="I45" s="2960">
        <v>218.63</v>
      </c>
      <c r="J45" s="2960">
        <v>143.34</v>
      </c>
      <c r="K45" s="2960">
        <v>75.290000000000006</v>
      </c>
      <c r="L45" s="2960">
        <v>0</v>
      </c>
      <c r="M45" s="2961"/>
      <c r="N45" s="2961"/>
    </row>
    <row r="46" spans="2:14" ht="14.25">
      <c r="B46" s="2958">
        <v>24</v>
      </c>
      <c r="C46" s="2958" t="s">
        <v>3053</v>
      </c>
      <c r="D46" s="2958" t="s">
        <v>3054</v>
      </c>
      <c r="E46" s="2959">
        <v>1</v>
      </c>
      <c r="F46" s="2960">
        <v>2</v>
      </c>
      <c r="G46" s="2959">
        <v>1104</v>
      </c>
      <c r="H46" s="2959" t="s">
        <v>3055</v>
      </c>
      <c r="I46" s="2960">
        <v>200.41</v>
      </c>
      <c r="J46" s="2960">
        <v>143.34</v>
      </c>
      <c r="K46" s="2960">
        <v>57.07</v>
      </c>
      <c r="L46" s="2960">
        <v>0</v>
      </c>
      <c r="M46" s="2961"/>
      <c r="N46" s="2961"/>
    </row>
    <row r="47" spans="2:14" ht="14.25">
      <c r="B47" s="2958">
        <v>25</v>
      </c>
      <c r="C47" s="2958" t="s">
        <v>3053</v>
      </c>
      <c r="D47" s="2958" t="s">
        <v>3054</v>
      </c>
      <c r="E47" s="2959">
        <v>2</v>
      </c>
      <c r="F47" s="2960">
        <v>1</v>
      </c>
      <c r="G47" s="2959">
        <v>101</v>
      </c>
      <c r="H47" s="2959" t="s">
        <v>3055</v>
      </c>
      <c r="I47" s="2960">
        <v>412.51</v>
      </c>
      <c r="J47" s="2960">
        <v>143.28</v>
      </c>
      <c r="K47" s="2960">
        <v>0</v>
      </c>
      <c r="L47" s="2960">
        <f>159.53+109.7</f>
        <v>269.23</v>
      </c>
      <c r="M47" s="2961">
        <v>54.9</v>
      </c>
      <c r="N47" s="2961">
        <v>0</v>
      </c>
    </row>
    <row r="48" spans="2:14" ht="14.25">
      <c r="B48" s="2958">
        <v>26</v>
      </c>
      <c r="C48" s="2958" t="s">
        <v>3053</v>
      </c>
      <c r="D48" s="2958" t="s">
        <v>3054</v>
      </c>
      <c r="E48" s="2959">
        <v>2</v>
      </c>
      <c r="F48" s="2960">
        <v>1</v>
      </c>
      <c r="G48" s="2959">
        <v>102</v>
      </c>
      <c r="H48" s="2959" t="s">
        <v>3055</v>
      </c>
      <c r="I48" s="2960">
        <v>412.51</v>
      </c>
      <c r="J48" s="2960">
        <v>143.28</v>
      </c>
      <c r="K48" s="2960">
        <v>0</v>
      </c>
      <c r="L48" s="2960">
        <f>159.53+109.7</f>
        <v>269.23</v>
      </c>
      <c r="M48" s="2961"/>
      <c r="N48" s="2961"/>
    </row>
    <row r="49" spans="2:14" ht="14.25">
      <c r="B49" s="2958">
        <v>27</v>
      </c>
      <c r="C49" s="2958" t="s">
        <v>3053</v>
      </c>
      <c r="D49" s="2958" t="s">
        <v>3054</v>
      </c>
      <c r="E49" s="2959">
        <v>2</v>
      </c>
      <c r="F49" s="2960">
        <v>1</v>
      </c>
      <c r="G49" s="2959">
        <v>201</v>
      </c>
      <c r="H49" s="2959" t="s">
        <v>3055</v>
      </c>
      <c r="I49" s="2960">
        <v>293.54000000000002</v>
      </c>
      <c r="J49" s="2960">
        <v>162.5</v>
      </c>
      <c r="K49" s="2960">
        <v>0</v>
      </c>
      <c r="L49" s="2960">
        <f>90.47+40.57</f>
        <v>131.04</v>
      </c>
      <c r="M49" s="2961"/>
      <c r="N49" s="2961"/>
    </row>
    <row r="50" spans="2:14" ht="14.25">
      <c r="B50" s="2958">
        <v>28</v>
      </c>
      <c r="C50" s="2958" t="s">
        <v>3053</v>
      </c>
      <c r="D50" s="2958" t="s">
        <v>3054</v>
      </c>
      <c r="E50" s="2959">
        <v>2</v>
      </c>
      <c r="F50" s="2960">
        <v>1</v>
      </c>
      <c r="G50" s="2959">
        <v>202</v>
      </c>
      <c r="H50" s="2959" t="s">
        <v>3055</v>
      </c>
      <c r="I50" s="2960">
        <v>287.87</v>
      </c>
      <c r="J50" s="2960">
        <v>162.5</v>
      </c>
      <c r="K50" s="2960">
        <v>0</v>
      </c>
      <c r="L50" s="2960">
        <f>90.47+34.9</f>
        <v>125.37</v>
      </c>
      <c r="M50" s="2961"/>
      <c r="N50" s="2961"/>
    </row>
    <row r="51" spans="2:14" ht="14.25">
      <c r="B51" s="2958">
        <v>29</v>
      </c>
      <c r="C51" s="2958" t="s">
        <v>3053</v>
      </c>
      <c r="D51" s="2958" t="s">
        <v>3054</v>
      </c>
      <c r="E51" s="2959">
        <v>2</v>
      </c>
      <c r="F51" s="2960">
        <v>1</v>
      </c>
      <c r="G51" s="2959">
        <v>301</v>
      </c>
      <c r="H51" s="2959" t="s">
        <v>3055</v>
      </c>
      <c r="I51" s="2960">
        <v>155.96</v>
      </c>
      <c r="J51" s="2960">
        <v>155.96</v>
      </c>
      <c r="K51" s="2960">
        <v>0</v>
      </c>
      <c r="L51" s="2960">
        <v>0</v>
      </c>
      <c r="M51" s="2961"/>
      <c r="N51" s="2961"/>
    </row>
    <row r="52" spans="2:14" ht="14.25">
      <c r="B52" s="2958">
        <v>30</v>
      </c>
      <c r="C52" s="2958" t="s">
        <v>3053</v>
      </c>
      <c r="D52" s="2958" t="s">
        <v>3054</v>
      </c>
      <c r="E52" s="2959">
        <v>2</v>
      </c>
      <c r="F52" s="2960">
        <v>1</v>
      </c>
      <c r="G52" s="2959">
        <v>302</v>
      </c>
      <c r="H52" s="2959" t="s">
        <v>3055</v>
      </c>
      <c r="I52" s="2960">
        <v>155.96</v>
      </c>
      <c r="J52" s="2960">
        <v>155.96</v>
      </c>
      <c r="K52" s="2960">
        <v>0</v>
      </c>
      <c r="L52" s="2960">
        <v>0</v>
      </c>
      <c r="M52" s="2961"/>
      <c r="N52" s="2961"/>
    </row>
    <row r="53" spans="2:14" ht="14.25">
      <c r="B53" s="2958">
        <v>31</v>
      </c>
      <c r="C53" s="2958" t="s">
        <v>3053</v>
      </c>
      <c r="D53" s="2958" t="s">
        <v>3054</v>
      </c>
      <c r="E53" s="2959">
        <v>2</v>
      </c>
      <c r="F53" s="2960">
        <v>1</v>
      </c>
      <c r="G53" s="2959">
        <v>401</v>
      </c>
      <c r="H53" s="2959" t="s">
        <v>3055</v>
      </c>
      <c r="I53" s="2960">
        <v>155.96</v>
      </c>
      <c r="J53" s="2960">
        <v>155.96</v>
      </c>
      <c r="K53" s="2960">
        <v>0</v>
      </c>
      <c r="L53" s="2960">
        <v>0</v>
      </c>
      <c r="M53" s="2961"/>
      <c r="N53" s="2961"/>
    </row>
    <row r="54" spans="2:14" ht="14.25">
      <c r="B54" s="2958">
        <v>32</v>
      </c>
      <c r="C54" s="2958" t="s">
        <v>3053</v>
      </c>
      <c r="D54" s="2958" t="s">
        <v>3054</v>
      </c>
      <c r="E54" s="2959">
        <v>2</v>
      </c>
      <c r="F54" s="2960">
        <v>1</v>
      </c>
      <c r="G54" s="2959">
        <v>402</v>
      </c>
      <c r="H54" s="2959" t="s">
        <v>3055</v>
      </c>
      <c r="I54" s="2960">
        <v>155.96</v>
      </c>
      <c r="J54" s="2960">
        <v>155.96</v>
      </c>
      <c r="K54" s="2960">
        <v>0</v>
      </c>
      <c r="L54" s="2960">
        <v>0</v>
      </c>
      <c r="M54" s="2961"/>
      <c r="N54" s="2961"/>
    </row>
    <row r="55" spans="2:14" ht="14.25">
      <c r="B55" s="2958">
        <v>33</v>
      </c>
      <c r="C55" s="2958" t="s">
        <v>3053</v>
      </c>
      <c r="D55" s="2958" t="s">
        <v>3054</v>
      </c>
      <c r="E55" s="2959">
        <v>2</v>
      </c>
      <c r="F55" s="2960">
        <v>1</v>
      </c>
      <c r="G55" s="2959">
        <v>501</v>
      </c>
      <c r="H55" s="2959" t="s">
        <v>3055</v>
      </c>
      <c r="I55" s="2960">
        <v>155.96</v>
      </c>
      <c r="J55" s="2960">
        <v>155.96</v>
      </c>
      <c r="K55" s="2960">
        <v>0</v>
      </c>
      <c r="L55" s="2960">
        <v>0</v>
      </c>
      <c r="M55" s="2961"/>
      <c r="N55" s="2961"/>
    </row>
    <row r="56" spans="2:14" ht="14.25">
      <c r="B56" s="2958">
        <v>34</v>
      </c>
      <c r="C56" s="2958" t="s">
        <v>3053</v>
      </c>
      <c r="D56" s="2958" t="s">
        <v>3054</v>
      </c>
      <c r="E56" s="2959">
        <v>2</v>
      </c>
      <c r="F56" s="2960">
        <v>1</v>
      </c>
      <c r="G56" s="2959">
        <v>502</v>
      </c>
      <c r="H56" s="2959" t="s">
        <v>3055</v>
      </c>
      <c r="I56" s="2960">
        <v>155.96</v>
      </c>
      <c r="J56" s="2960">
        <v>155.96</v>
      </c>
      <c r="K56" s="2960">
        <v>0</v>
      </c>
      <c r="L56" s="2960">
        <v>0</v>
      </c>
      <c r="M56" s="2961"/>
      <c r="N56" s="2961"/>
    </row>
    <row r="57" spans="2:14" ht="14.25">
      <c r="B57" s="2958">
        <v>35</v>
      </c>
      <c r="C57" s="2958" t="s">
        <v>3053</v>
      </c>
      <c r="D57" s="2958" t="s">
        <v>3054</v>
      </c>
      <c r="E57" s="2959">
        <v>2</v>
      </c>
      <c r="F57" s="2960">
        <v>1</v>
      </c>
      <c r="G57" s="2959">
        <v>601</v>
      </c>
      <c r="H57" s="2959" t="s">
        <v>3055</v>
      </c>
      <c r="I57" s="2960">
        <v>155.96</v>
      </c>
      <c r="J57" s="2960">
        <v>155.96</v>
      </c>
      <c r="K57" s="2960">
        <v>0</v>
      </c>
      <c r="L57" s="2960">
        <v>0</v>
      </c>
      <c r="M57" s="2961"/>
      <c r="N57" s="2961"/>
    </row>
    <row r="58" spans="2:14" ht="14.25">
      <c r="B58" s="2958">
        <v>36</v>
      </c>
      <c r="C58" s="2958" t="s">
        <v>3053</v>
      </c>
      <c r="D58" s="2958" t="s">
        <v>3054</v>
      </c>
      <c r="E58" s="2959">
        <v>2</v>
      </c>
      <c r="F58" s="2960">
        <v>1</v>
      </c>
      <c r="G58" s="2959">
        <v>602</v>
      </c>
      <c r="H58" s="2959" t="s">
        <v>3055</v>
      </c>
      <c r="I58" s="2960">
        <v>155.96</v>
      </c>
      <c r="J58" s="2960">
        <v>155.96</v>
      </c>
      <c r="K58" s="2960">
        <v>0</v>
      </c>
      <c r="L58" s="2960">
        <v>0</v>
      </c>
      <c r="M58" s="2961"/>
      <c r="N58" s="2961"/>
    </row>
    <row r="59" spans="2:14" ht="14.25">
      <c r="B59" s="2958">
        <v>37</v>
      </c>
      <c r="C59" s="2958" t="s">
        <v>3053</v>
      </c>
      <c r="D59" s="2958" t="s">
        <v>3054</v>
      </c>
      <c r="E59" s="2959">
        <v>2</v>
      </c>
      <c r="F59" s="2960">
        <v>1</v>
      </c>
      <c r="G59" s="2959">
        <v>701</v>
      </c>
      <c r="H59" s="2959" t="s">
        <v>3055</v>
      </c>
      <c r="I59" s="2960">
        <v>155.96</v>
      </c>
      <c r="J59" s="2960">
        <v>155.96</v>
      </c>
      <c r="K59" s="2960">
        <v>0</v>
      </c>
      <c r="L59" s="2960">
        <v>0</v>
      </c>
      <c r="M59" s="2961"/>
      <c r="N59" s="2961"/>
    </row>
    <row r="60" spans="2:14" ht="14.25">
      <c r="B60" s="2958">
        <v>38</v>
      </c>
      <c r="C60" s="2958" t="s">
        <v>3053</v>
      </c>
      <c r="D60" s="2958" t="s">
        <v>3054</v>
      </c>
      <c r="E60" s="2959">
        <v>2</v>
      </c>
      <c r="F60" s="2960">
        <v>1</v>
      </c>
      <c r="G60" s="2959">
        <v>702</v>
      </c>
      <c r="H60" s="2959" t="s">
        <v>3055</v>
      </c>
      <c r="I60" s="2960">
        <v>155.96</v>
      </c>
      <c r="J60" s="2960">
        <v>155.96</v>
      </c>
      <c r="K60" s="2960">
        <v>0</v>
      </c>
      <c r="L60" s="2960">
        <v>0</v>
      </c>
      <c r="M60" s="2961"/>
      <c r="N60" s="2961"/>
    </row>
    <row r="61" spans="2:14" ht="14.25">
      <c r="B61" s="2958">
        <v>39</v>
      </c>
      <c r="C61" s="2958" t="s">
        <v>3053</v>
      </c>
      <c r="D61" s="2958" t="s">
        <v>3054</v>
      </c>
      <c r="E61" s="2959">
        <v>2</v>
      </c>
      <c r="F61" s="2960">
        <v>1</v>
      </c>
      <c r="G61" s="2959">
        <v>801</v>
      </c>
      <c r="H61" s="2959" t="s">
        <v>3055</v>
      </c>
      <c r="I61" s="2960">
        <v>155.96</v>
      </c>
      <c r="J61" s="2960">
        <v>155.96</v>
      </c>
      <c r="K61" s="2960">
        <v>0</v>
      </c>
      <c r="L61" s="2960">
        <v>0</v>
      </c>
      <c r="M61" s="2961"/>
      <c r="N61" s="2961"/>
    </row>
    <row r="62" spans="2:14" ht="14.25">
      <c r="B62" s="2958">
        <v>40</v>
      </c>
      <c r="C62" s="2958" t="s">
        <v>3053</v>
      </c>
      <c r="D62" s="2958" t="s">
        <v>3054</v>
      </c>
      <c r="E62" s="2959">
        <v>2</v>
      </c>
      <c r="F62" s="2960">
        <v>1</v>
      </c>
      <c r="G62" s="2959">
        <v>802</v>
      </c>
      <c r="H62" s="2959" t="s">
        <v>3055</v>
      </c>
      <c r="I62" s="2960">
        <v>155.96</v>
      </c>
      <c r="J62" s="2960">
        <v>155.96</v>
      </c>
      <c r="K62" s="2960">
        <v>0</v>
      </c>
      <c r="L62" s="2960">
        <v>0</v>
      </c>
      <c r="M62" s="2961"/>
      <c r="N62" s="2961"/>
    </row>
    <row r="63" spans="2:14" ht="14.25">
      <c r="B63" s="2958">
        <v>41</v>
      </c>
      <c r="C63" s="2958" t="s">
        <v>3053</v>
      </c>
      <c r="D63" s="2958" t="s">
        <v>3054</v>
      </c>
      <c r="E63" s="2959">
        <v>2</v>
      </c>
      <c r="F63" s="2960">
        <v>1</v>
      </c>
      <c r="G63" s="2959">
        <v>901</v>
      </c>
      <c r="H63" s="2959" t="s">
        <v>3055</v>
      </c>
      <c r="I63" s="2960">
        <v>155.96</v>
      </c>
      <c r="J63" s="2960">
        <v>155.96</v>
      </c>
      <c r="K63" s="2960">
        <v>0</v>
      </c>
      <c r="L63" s="2960">
        <v>0</v>
      </c>
      <c r="M63" s="2961"/>
      <c r="N63" s="2961"/>
    </row>
    <row r="64" spans="2:14" ht="14.25">
      <c r="B64" s="2958">
        <v>42</v>
      </c>
      <c r="C64" s="2958" t="s">
        <v>3053</v>
      </c>
      <c r="D64" s="2958" t="s">
        <v>3054</v>
      </c>
      <c r="E64" s="2959">
        <v>2</v>
      </c>
      <c r="F64" s="2960">
        <v>1</v>
      </c>
      <c r="G64" s="2959">
        <v>902</v>
      </c>
      <c r="H64" s="2959" t="s">
        <v>3055</v>
      </c>
      <c r="I64" s="2960">
        <v>155.96</v>
      </c>
      <c r="J64" s="2960">
        <v>155.96</v>
      </c>
      <c r="K64" s="2960">
        <v>0</v>
      </c>
      <c r="L64" s="2960">
        <v>0</v>
      </c>
      <c r="M64" s="2961"/>
      <c r="N64" s="2961"/>
    </row>
    <row r="65" spans="2:14" ht="14.25">
      <c r="B65" s="2958">
        <v>43</v>
      </c>
      <c r="C65" s="2958" t="s">
        <v>3053</v>
      </c>
      <c r="D65" s="2958" t="s">
        <v>3054</v>
      </c>
      <c r="E65" s="2959">
        <v>2</v>
      </c>
      <c r="F65" s="2960">
        <v>1</v>
      </c>
      <c r="G65" s="2959">
        <v>1001</v>
      </c>
      <c r="H65" s="2959" t="s">
        <v>3055</v>
      </c>
      <c r="I65" s="2960">
        <v>155.96</v>
      </c>
      <c r="J65" s="2960">
        <v>155.96</v>
      </c>
      <c r="K65" s="2960">
        <v>0</v>
      </c>
      <c r="L65" s="2960">
        <v>0</v>
      </c>
      <c r="M65" s="2961"/>
      <c r="N65" s="2961"/>
    </row>
    <row r="66" spans="2:14" ht="14.25">
      <c r="B66" s="2958">
        <v>44</v>
      </c>
      <c r="C66" s="2958" t="s">
        <v>3053</v>
      </c>
      <c r="D66" s="2958" t="s">
        <v>3054</v>
      </c>
      <c r="E66" s="2959">
        <v>2</v>
      </c>
      <c r="F66" s="2960">
        <v>1</v>
      </c>
      <c r="G66" s="2959">
        <v>1002</v>
      </c>
      <c r="H66" s="2959" t="s">
        <v>3055</v>
      </c>
      <c r="I66" s="2960">
        <v>155.96</v>
      </c>
      <c r="J66" s="2960">
        <v>155.96</v>
      </c>
      <c r="K66" s="2960">
        <v>0</v>
      </c>
      <c r="L66" s="2960">
        <v>0</v>
      </c>
      <c r="M66" s="2961"/>
      <c r="N66" s="2961"/>
    </row>
    <row r="67" spans="2:14" ht="14.25">
      <c r="B67" s="2958">
        <v>45</v>
      </c>
      <c r="C67" s="2958" t="s">
        <v>3053</v>
      </c>
      <c r="D67" s="2958" t="s">
        <v>3054</v>
      </c>
      <c r="E67" s="2959">
        <v>2</v>
      </c>
      <c r="F67" s="2960">
        <v>1</v>
      </c>
      <c r="G67" s="2959">
        <v>1101</v>
      </c>
      <c r="H67" s="2959" t="s">
        <v>3055</v>
      </c>
      <c r="I67" s="2960">
        <v>214.26</v>
      </c>
      <c r="J67" s="2960">
        <v>155.96</v>
      </c>
      <c r="K67" s="2960">
        <v>58.3</v>
      </c>
      <c r="L67" s="2960">
        <v>0</v>
      </c>
      <c r="M67" s="2961"/>
      <c r="N67" s="2961"/>
    </row>
    <row r="68" spans="2:14" ht="14.25">
      <c r="B68" s="2958">
        <v>46</v>
      </c>
      <c r="C68" s="2958" t="s">
        <v>3053</v>
      </c>
      <c r="D68" s="2958" t="s">
        <v>3054</v>
      </c>
      <c r="E68" s="2959">
        <v>2</v>
      </c>
      <c r="F68" s="2960">
        <v>1</v>
      </c>
      <c r="G68" s="2959">
        <v>1102</v>
      </c>
      <c r="H68" s="2959" t="s">
        <v>3055</v>
      </c>
      <c r="I68" s="2960">
        <v>214.26</v>
      </c>
      <c r="J68" s="2960">
        <v>155.96</v>
      </c>
      <c r="K68" s="2960">
        <v>58.3</v>
      </c>
      <c r="L68" s="2960">
        <v>0</v>
      </c>
      <c r="M68" s="2961"/>
      <c r="N68" s="2961"/>
    </row>
    <row r="69" spans="2:14" ht="14.25">
      <c r="B69" s="2958">
        <v>189</v>
      </c>
      <c r="C69" s="2958" t="s">
        <v>3057</v>
      </c>
      <c r="D69" s="2958" t="s">
        <v>3058</v>
      </c>
      <c r="E69" s="2959">
        <v>3</v>
      </c>
      <c r="F69" s="2960">
        <v>1</v>
      </c>
      <c r="G69" s="2959">
        <v>101</v>
      </c>
      <c r="H69" s="2959" t="s">
        <v>3055</v>
      </c>
      <c r="I69" s="2960">
        <v>395.06</v>
      </c>
      <c r="J69" s="2960">
        <v>142.59</v>
      </c>
      <c r="K69" s="2960">
        <v>0</v>
      </c>
      <c r="L69" s="2960">
        <f>153.26+99.21</f>
        <v>252.46999999999997</v>
      </c>
      <c r="M69" s="2961">
        <f>52.74+52.74</f>
        <v>105.48</v>
      </c>
      <c r="N69" s="2961">
        <v>647.26</v>
      </c>
    </row>
    <row r="70" spans="2:14" ht="14.25">
      <c r="B70" s="2958">
        <v>190</v>
      </c>
      <c r="C70" s="2958" t="s">
        <v>3057</v>
      </c>
      <c r="D70" s="2958" t="s">
        <v>3058</v>
      </c>
      <c r="E70" s="2959">
        <v>3</v>
      </c>
      <c r="F70" s="2960">
        <v>1</v>
      </c>
      <c r="G70" s="2959">
        <v>102</v>
      </c>
      <c r="H70" s="2959" t="s">
        <v>3055</v>
      </c>
      <c r="I70" s="2960">
        <v>395.06</v>
      </c>
      <c r="J70" s="2960">
        <v>142.59</v>
      </c>
      <c r="K70" s="2960">
        <v>0</v>
      </c>
      <c r="L70" s="2960">
        <f>153.26+99.21</f>
        <v>252.46999999999997</v>
      </c>
      <c r="M70" s="2961"/>
      <c r="N70" s="2961"/>
    </row>
    <row r="71" spans="2:14" ht="14.25">
      <c r="B71" s="2958">
        <v>191</v>
      </c>
      <c r="C71" s="2958" t="s">
        <v>3057</v>
      </c>
      <c r="D71" s="2958" t="s">
        <v>3058</v>
      </c>
      <c r="E71" s="2959">
        <v>3</v>
      </c>
      <c r="F71" s="2960">
        <v>1</v>
      </c>
      <c r="G71" s="2959">
        <v>201</v>
      </c>
      <c r="H71" s="2959" t="s">
        <v>3055</v>
      </c>
      <c r="I71" s="2960">
        <v>282.14999999999998</v>
      </c>
      <c r="J71" s="2960">
        <v>161.72999999999999</v>
      </c>
      <c r="K71" s="2960">
        <v>0</v>
      </c>
      <c r="L71" s="2960">
        <f>86.91+33.51</f>
        <v>120.41999999999999</v>
      </c>
      <c r="M71" s="2961"/>
      <c r="N71" s="2961"/>
    </row>
    <row r="72" spans="2:14" ht="14.25">
      <c r="B72" s="2958">
        <v>192</v>
      </c>
      <c r="C72" s="2958" t="s">
        <v>3057</v>
      </c>
      <c r="D72" s="2958" t="s">
        <v>3058</v>
      </c>
      <c r="E72" s="2959">
        <v>3</v>
      </c>
      <c r="F72" s="2960">
        <v>1</v>
      </c>
      <c r="G72" s="2959">
        <v>202</v>
      </c>
      <c r="H72" s="2959" t="s">
        <v>3055</v>
      </c>
      <c r="I72" s="2960">
        <v>287.62</v>
      </c>
      <c r="J72" s="2960">
        <v>161.72999999999999</v>
      </c>
      <c r="K72" s="2960">
        <v>0</v>
      </c>
      <c r="L72" s="2960">
        <f>86.91+38.98</f>
        <v>125.88999999999999</v>
      </c>
      <c r="M72" s="2961"/>
      <c r="N72" s="2961"/>
    </row>
    <row r="73" spans="2:14" ht="14.25">
      <c r="B73" s="2958">
        <v>193</v>
      </c>
      <c r="C73" s="2958" t="s">
        <v>3057</v>
      </c>
      <c r="D73" s="2958" t="s">
        <v>3058</v>
      </c>
      <c r="E73" s="2959">
        <v>3</v>
      </c>
      <c r="F73" s="2960">
        <v>1</v>
      </c>
      <c r="G73" s="2959">
        <v>301</v>
      </c>
      <c r="H73" s="2959" t="s">
        <v>3055</v>
      </c>
      <c r="I73" s="2960">
        <v>155.21</v>
      </c>
      <c r="J73" s="2960">
        <v>155.21</v>
      </c>
      <c r="K73" s="2960">
        <v>0</v>
      </c>
      <c r="L73" s="2960">
        <v>0</v>
      </c>
      <c r="M73" s="2961"/>
      <c r="N73" s="2961"/>
    </row>
    <row r="74" spans="2:14" ht="14.25">
      <c r="B74" s="2958">
        <v>194</v>
      </c>
      <c r="C74" s="2958" t="s">
        <v>3057</v>
      </c>
      <c r="D74" s="2958" t="s">
        <v>3058</v>
      </c>
      <c r="E74" s="2959">
        <v>3</v>
      </c>
      <c r="F74" s="2960">
        <v>1</v>
      </c>
      <c r="G74" s="2959">
        <v>302</v>
      </c>
      <c r="H74" s="2959" t="s">
        <v>3055</v>
      </c>
      <c r="I74" s="2960">
        <v>155.21</v>
      </c>
      <c r="J74" s="2960">
        <v>155.21</v>
      </c>
      <c r="K74" s="2960">
        <v>0</v>
      </c>
      <c r="L74" s="2960">
        <v>0</v>
      </c>
      <c r="M74" s="2961"/>
      <c r="N74" s="2961"/>
    </row>
    <row r="75" spans="2:14" ht="14.25">
      <c r="B75" s="2958">
        <v>195</v>
      </c>
      <c r="C75" s="2958" t="s">
        <v>3057</v>
      </c>
      <c r="D75" s="2958" t="s">
        <v>3058</v>
      </c>
      <c r="E75" s="2959">
        <v>3</v>
      </c>
      <c r="F75" s="2960">
        <v>1</v>
      </c>
      <c r="G75" s="2959">
        <v>401</v>
      </c>
      <c r="H75" s="2959" t="s">
        <v>3055</v>
      </c>
      <c r="I75" s="2960">
        <v>155.21</v>
      </c>
      <c r="J75" s="2960">
        <v>155.21</v>
      </c>
      <c r="K75" s="2960">
        <v>0</v>
      </c>
      <c r="L75" s="2960">
        <v>0</v>
      </c>
      <c r="M75" s="2961"/>
      <c r="N75" s="2961"/>
    </row>
    <row r="76" spans="2:14" ht="14.25">
      <c r="B76" s="2958">
        <v>196</v>
      </c>
      <c r="C76" s="2958" t="s">
        <v>3057</v>
      </c>
      <c r="D76" s="2958" t="s">
        <v>3058</v>
      </c>
      <c r="E76" s="2959">
        <v>3</v>
      </c>
      <c r="F76" s="2960">
        <v>1</v>
      </c>
      <c r="G76" s="2959">
        <v>402</v>
      </c>
      <c r="H76" s="2959" t="s">
        <v>3055</v>
      </c>
      <c r="I76" s="2960">
        <v>155.21</v>
      </c>
      <c r="J76" s="2960">
        <v>155.21</v>
      </c>
      <c r="K76" s="2960">
        <v>0</v>
      </c>
      <c r="L76" s="2960">
        <v>0</v>
      </c>
      <c r="M76" s="2961"/>
      <c r="N76" s="2961"/>
    </row>
    <row r="77" spans="2:14" ht="14.25">
      <c r="B77" s="2958">
        <v>197</v>
      </c>
      <c r="C77" s="2958" t="s">
        <v>3057</v>
      </c>
      <c r="D77" s="2958" t="s">
        <v>3058</v>
      </c>
      <c r="E77" s="2959">
        <v>3</v>
      </c>
      <c r="F77" s="2960">
        <v>1</v>
      </c>
      <c r="G77" s="2959">
        <v>501</v>
      </c>
      <c r="H77" s="2959" t="s">
        <v>3055</v>
      </c>
      <c r="I77" s="2960">
        <v>155.21</v>
      </c>
      <c r="J77" s="2960">
        <v>155.21</v>
      </c>
      <c r="K77" s="2960">
        <v>0</v>
      </c>
      <c r="L77" s="2960">
        <v>0</v>
      </c>
      <c r="M77" s="2961"/>
      <c r="N77" s="2961"/>
    </row>
    <row r="78" spans="2:14" ht="14.25">
      <c r="B78" s="2958">
        <v>198</v>
      </c>
      <c r="C78" s="2958" t="s">
        <v>3057</v>
      </c>
      <c r="D78" s="2958" t="s">
        <v>3058</v>
      </c>
      <c r="E78" s="2959">
        <v>3</v>
      </c>
      <c r="F78" s="2960">
        <v>1</v>
      </c>
      <c r="G78" s="2959">
        <v>502</v>
      </c>
      <c r="H78" s="2959" t="s">
        <v>3055</v>
      </c>
      <c r="I78" s="2960">
        <v>155.21</v>
      </c>
      <c r="J78" s="2960">
        <v>155.21</v>
      </c>
      <c r="K78" s="2960">
        <v>0</v>
      </c>
      <c r="L78" s="2960">
        <v>0</v>
      </c>
      <c r="M78" s="2961"/>
      <c r="N78" s="2961"/>
    </row>
    <row r="79" spans="2:14" ht="14.25">
      <c r="B79" s="2958">
        <v>199</v>
      </c>
      <c r="C79" s="2958" t="s">
        <v>3057</v>
      </c>
      <c r="D79" s="2958" t="s">
        <v>3058</v>
      </c>
      <c r="E79" s="2959">
        <v>3</v>
      </c>
      <c r="F79" s="2960">
        <v>1</v>
      </c>
      <c r="G79" s="2959">
        <v>601</v>
      </c>
      <c r="H79" s="2959" t="s">
        <v>3055</v>
      </c>
      <c r="I79" s="2960">
        <v>155.21</v>
      </c>
      <c r="J79" s="2960">
        <v>155.21</v>
      </c>
      <c r="K79" s="2960">
        <v>0</v>
      </c>
      <c r="L79" s="2960">
        <v>0</v>
      </c>
      <c r="M79" s="2961"/>
      <c r="N79" s="2961"/>
    </row>
    <row r="80" spans="2:14" ht="14.25">
      <c r="B80" s="2958">
        <v>200</v>
      </c>
      <c r="C80" s="2958" t="s">
        <v>3057</v>
      </c>
      <c r="D80" s="2958" t="s">
        <v>3058</v>
      </c>
      <c r="E80" s="2959">
        <v>3</v>
      </c>
      <c r="F80" s="2960">
        <v>1</v>
      </c>
      <c r="G80" s="2959">
        <v>602</v>
      </c>
      <c r="H80" s="2959" t="s">
        <v>3055</v>
      </c>
      <c r="I80" s="2960">
        <v>155.21</v>
      </c>
      <c r="J80" s="2960">
        <v>155.21</v>
      </c>
      <c r="K80" s="2960">
        <v>0</v>
      </c>
      <c r="L80" s="2960">
        <v>0</v>
      </c>
      <c r="M80" s="2961"/>
      <c r="N80" s="2961"/>
    </row>
    <row r="81" spans="2:14" ht="14.25">
      <c r="B81" s="2958">
        <v>201</v>
      </c>
      <c r="C81" s="2958" t="s">
        <v>3057</v>
      </c>
      <c r="D81" s="2958" t="s">
        <v>3058</v>
      </c>
      <c r="E81" s="2959">
        <v>3</v>
      </c>
      <c r="F81" s="2960">
        <v>1</v>
      </c>
      <c r="G81" s="2959">
        <v>701</v>
      </c>
      <c r="H81" s="2959" t="s">
        <v>3055</v>
      </c>
      <c r="I81" s="2960">
        <v>155.21</v>
      </c>
      <c r="J81" s="2960">
        <v>155.21</v>
      </c>
      <c r="K81" s="2960">
        <v>0</v>
      </c>
      <c r="L81" s="2960">
        <v>0</v>
      </c>
      <c r="M81" s="2961"/>
      <c r="N81" s="2961"/>
    </row>
    <row r="82" spans="2:14" ht="14.25">
      <c r="B82" s="2958">
        <v>202</v>
      </c>
      <c r="C82" s="2958" t="s">
        <v>3057</v>
      </c>
      <c r="D82" s="2958" t="s">
        <v>3058</v>
      </c>
      <c r="E82" s="2959">
        <v>3</v>
      </c>
      <c r="F82" s="2960">
        <v>1</v>
      </c>
      <c r="G82" s="2959">
        <v>702</v>
      </c>
      <c r="H82" s="2959" t="s">
        <v>3055</v>
      </c>
      <c r="I82" s="2960">
        <v>155.21</v>
      </c>
      <c r="J82" s="2960">
        <v>155.21</v>
      </c>
      <c r="K82" s="2960">
        <v>0</v>
      </c>
      <c r="L82" s="2960">
        <v>0</v>
      </c>
      <c r="M82" s="2961"/>
      <c r="N82" s="2961"/>
    </row>
    <row r="83" spans="2:14" ht="14.25">
      <c r="B83" s="2958">
        <v>203</v>
      </c>
      <c r="C83" s="2958" t="s">
        <v>3057</v>
      </c>
      <c r="D83" s="2958" t="s">
        <v>3058</v>
      </c>
      <c r="E83" s="2959">
        <v>3</v>
      </c>
      <c r="F83" s="2960">
        <v>1</v>
      </c>
      <c r="G83" s="2959">
        <v>801</v>
      </c>
      <c r="H83" s="2959" t="s">
        <v>3055</v>
      </c>
      <c r="I83" s="2960">
        <v>155.21</v>
      </c>
      <c r="J83" s="2960">
        <v>155.21</v>
      </c>
      <c r="K83" s="2960">
        <v>0</v>
      </c>
      <c r="L83" s="2960">
        <v>0</v>
      </c>
      <c r="M83" s="2961"/>
      <c r="N83" s="2961"/>
    </row>
    <row r="84" spans="2:14" ht="14.25">
      <c r="B84" s="2958">
        <v>204</v>
      </c>
      <c r="C84" s="2958" t="s">
        <v>3057</v>
      </c>
      <c r="D84" s="2958" t="s">
        <v>3058</v>
      </c>
      <c r="E84" s="2959">
        <v>3</v>
      </c>
      <c r="F84" s="2960">
        <v>1</v>
      </c>
      <c r="G84" s="2959">
        <v>802</v>
      </c>
      <c r="H84" s="2959" t="s">
        <v>3055</v>
      </c>
      <c r="I84" s="2960">
        <v>155.21</v>
      </c>
      <c r="J84" s="2960">
        <v>155.21</v>
      </c>
      <c r="K84" s="2960">
        <v>0</v>
      </c>
      <c r="L84" s="2960">
        <v>0</v>
      </c>
      <c r="M84" s="2961"/>
      <c r="N84" s="2961"/>
    </row>
    <row r="85" spans="2:14" ht="14.25">
      <c r="B85" s="2958">
        <v>205</v>
      </c>
      <c r="C85" s="2958" t="s">
        <v>3057</v>
      </c>
      <c r="D85" s="2958" t="s">
        <v>3058</v>
      </c>
      <c r="E85" s="2959">
        <v>3</v>
      </c>
      <c r="F85" s="2960">
        <v>1</v>
      </c>
      <c r="G85" s="2959">
        <v>901</v>
      </c>
      <c r="H85" s="2959" t="s">
        <v>3055</v>
      </c>
      <c r="I85" s="2960">
        <v>155.21</v>
      </c>
      <c r="J85" s="2960">
        <v>155.21</v>
      </c>
      <c r="K85" s="2960">
        <v>0</v>
      </c>
      <c r="L85" s="2960">
        <v>0</v>
      </c>
      <c r="M85" s="2961"/>
      <c r="N85" s="2961"/>
    </row>
    <row r="86" spans="2:14" ht="14.25">
      <c r="B86" s="2958">
        <v>206</v>
      </c>
      <c r="C86" s="2958" t="s">
        <v>3057</v>
      </c>
      <c r="D86" s="2958" t="s">
        <v>3058</v>
      </c>
      <c r="E86" s="2959">
        <v>3</v>
      </c>
      <c r="F86" s="2960">
        <v>1</v>
      </c>
      <c r="G86" s="2959">
        <v>902</v>
      </c>
      <c r="H86" s="2959" t="s">
        <v>3055</v>
      </c>
      <c r="I86" s="2960">
        <v>155.21</v>
      </c>
      <c r="J86" s="2960">
        <v>155.21</v>
      </c>
      <c r="K86" s="2960">
        <v>0</v>
      </c>
      <c r="L86" s="2960">
        <v>0</v>
      </c>
      <c r="M86" s="2961"/>
      <c r="N86" s="2961"/>
    </row>
    <row r="87" spans="2:14" ht="14.25">
      <c r="B87" s="2958">
        <v>207</v>
      </c>
      <c r="C87" s="2958" t="s">
        <v>3057</v>
      </c>
      <c r="D87" s="2958" t="s">
        <v>3058</v>
      </c>
      <c r="E87" s="2959">
        <v>3</v>
      </c>
      <c r="F87" s="2960">
        <v>1</v>
      </c>
      <c r="G87" s="2959">
        <v>1001</v>
      </c>
      <c r="H87" s="2959" t="s">
        <v>3055</v>
      </c>
      <c r="I87" s="2960">
        <v>155.21</v>
      </c>
      <c r="J87" s="2960">
        <v>155.21</v>
      </c>
      <c r="K87" s="2960">
        <v>0</v>
      </c>
      <c r="L87" s="2960">
        <v>0</v>
      </c>
      <c r="M87" s="2961"/>
      <c r="N87" s="2961"/>
    </row>
    <row r="88" spans="2:14" ht="14.25">
      <c r="B88" s="2958">
        <v>208</v>
      </c>
      <c r="C88" s="2958" t="s">
        <v>3057</v>
      </c>
      <c r="D88" s="2958" t="s">
        <v>3058</v>
      </c>
      <c r="E88" s="2959">
        <v>3</v>
      </c>
      <c r="F88" s="2960">
        <v>1</v>
      </c>
      <c r="G88" s="2959">
        <v>1002</v>
      </c>
      <c r="H88" s="2959" t="s">
        <v>3055</v>
      </c>
      <c r="I88" s="2960">
        <v>155.21</v>
      </c>
      <c r="J88" s="2960">
        <v>155.21</v>
      </c>
      <c r="K88" s="2960">
        <v>0</v>
      </c>
      <c r="L88" s="2960">
        <v>0</v>
      </c>
      <c r="M88" s="2961"/>
      <c r="N88" s="2961"/>
    </row>
    <row r="89" spans="2:14" ht="14.25">
      <c r="B89" s="2958">
        <v>209</v>
      </c>
      <c r="C89" s="2958" t="s">
        <v>3057</v>
      </c>
      <c r="D89" s="2958" t="s">
        <v>3058</v>
      </c>
      <c r="E89" s="2959">
        <v>3</v>
      </c>
      <c r="F89" s="2960">
        <v>1</v>
      </c>
      <c r="G89" s="2959">
        <v>1101</v>
      </c>
      <c r="H89" s="2959" t="s">
        <v>3055</v>
      </c>
      <c r="I89" s="2960">
        <v>213.31</v>
      </c>
      <c r="J89" s="2960">
        <v>155.21</v>
      </c>
      <c r="K89" s="2960">
        <v>58.1</v>
      </c>
      <c r="L89" s="2960">
        <v>0</v>
      </c>
      <c r="M89" s="2961"/>
      <c r="N89" s="2961"/>
    </row>
    <row r="90" spans="2:14" ht="14.25">
      <c r="B90" s="2958">
        <v>210</v>
      </c>
      <c r="C90" s="2958" t="s">
        <v>3057</v>
      </c>
      <c r="D90" s="2958" t="s">
        <v>3058</v>
      </c>
      <c r="E90" s="2959">
        <v>3</v>
      </c>
      <c r="F90" s="2960">
        <v>1</v>
      </c>
      <c r="G90" s="2959">
        <v>1102</v>
      </c>
      <c r="H90" s="2959" t="s">
        <v>3055</v>
      </c>
      <c r="I90" s="2960">
        <v>229.44</v>
      </c>
      <c r="J90" s="2960">
        <v>155.21</v>
      </c>
      <c r="K90" s="2960">
        <v>74.23</v>
      </c>
      <c r="L90" s="2960">
        <v>0</v>
      </c>
      <c r="M90" s="2961"/>
      <c r="N90" s="2961"/>
    </row>
    <row r="91" spans="2:14" ht="14.25">
      <c r="B91" s="2958">
        <v>211</v>
      </c>
      <c r="C91" s="2958" t="s">
        <v>3057</v>
      </c>
      <c r="D91" s="2958" t="s">
        <v>3058</v>
      </c>
      <c r="E91" s="2959">
        <v>3</v>
      </c>
      <c r="F91" s="2960">
        <v>2</v>
      </c>
      <c r="G91" s="2959">
        <v>103</v>
      </c>
      <c r="H91" s="2959" t="s">
        <v>3055</v>
      </c>
      <c r="I91" s="2960">
        <v>395.05</v>
      </c>
      <c r="J91" s="2960">
        <v>142.59</v>
      </c>
      <c r="K91" s="2960">
        <v>0</v>
      </c>
      <c r="L91" s="2960">
        <f>153.25+99.21</f>
        <v>252.45999999999998</v>
      </c>
      <c r="M91" s="2961"/>
      <c r="N91" s="2961"/>
    </row>
    <row r="92" spans="2:14" ht="14.25">
      <c r="B92" s="2958">
        <v>212</v>
      </c>
      <c r="C92" s="2958" t="s">
        <v>3057</v>
      </c>
      <c r="D92" s="2958" t="s">
        <v>3058</v>
      </c>
      <c r="E92" s="2959">
        <v>3</v>
      </c>
      <c r="F92" s="2960">
        <v>2</v>
      </c>
      <c r="G92" s="2959">
        <v>104</v>
      </c>
      <c r="H92" s="2959" t="s">
        <v>3055</v>
      </c>
      <c r="I92" s="2960">
        <v>395.59</v>
      </c>
      <c r="J92" s="2960">
        <v>142.59</v>
      </c>
      <c r="K92" s="2960">
        <v>0</v>
      </c>
      <c r="L92" s="2960">
        <f>153.79+99.21</f>
        <v>253</v>
      </c>
      <c r="M92" s="2961"/>
      <c r="N92" s="2961"/>
    </row>
    <row r="93" spans="2:14" ht="14.25">
      <c r="B93" s="2958">
        <v>213</v>
      </c>
      <c r="C93" s="2958" t="s">
        <v>3057</v>
      </c>
      <c r="D93" s="2958" t="s">
        <v>3058</v>
      </c>
      <c r="E93" s="2959">
        <v>3</v>
      </c>
      <c r="F93" s="2960">
        <v>2</v>
      </c>
      <c r="G93" s="2959">
        <v>203</v>
      </c>
      <c r="H93" s="2959" t="s">
        <v>3055</v>
      </c>
      <c r="I93" s="2960">
        <v>287.61</v>
      </c>
      <c r="J93" s="2960">
        <v>161.72999999999999</v>
      </c>
      <c r="K93" s="2960">
        <v>0</v>
      </c>
      <c r="L93" s="2960">
        <f>86.9+38.98</f>
        <v>125.88</v>
      </c>
      <c r="M93" s="2961"/>
      <c r="N93" s="2961"/>
    </row>
    <row r="94" spans="2:14" ht="14.25">
      <c r="B94" s="2958">
        <v>214</v>
      </c>
      <c r="C94" s="2958" t="s">
        <v>3057</v>
      </c>
      <c r="D94" s="2958" t="s">
        <v>3058</v>
      </c>
      <c r="E94" s="2959">
        <v>3</v>
      </c>
      <c r="F94" s="2960">
        <v>2</v>
      </c>
      <c r="G94" s="2959">
        <v>204</v>
      </c>
      <c r="H94" s="2959" t="s">
        <v>3055</v>
      </c>
      <c r="I94" s="2960">
        <v>282.42</v>
      </c>
      <c r="J94" s="2960">
        <v>161.72999999999999</v>
      </c>
      <c r="K94" s="2960">
        <v>0</v>
      </c>
      <c r="L94" s="2960">
        <f>87.18+33.51</f>
        <v>120.69</v>
      </c>
      <c r="M94" s="2961"/>
      <c r="N94" s="2961"/>
    </row>
    <row r="95" spans="2:14" ht="14.25">
      <c r="B95" s="2958">
        <v>215</v>
      </c>
      <c r="C95" s="2958" t="s">
        <v>3057</v>
      </c>
      <c r="D95" s="2958" t="s">
        <v>3058</v>
      </c>
      <c r="E95" s="2959">
        <v>3</v>
      </c>
      <c r="F95" s="2960">
        <v>2</v>
      </c>
      <c r="G95" s="2959">
        <v>303</v>
      </c>
      <c r="H95" s="2959" t="s">
        <v>3055</v>
      </c>
      <c r="I95" s="2960">
        <v>155.21</v>
      </c>
      <c r="J95" s="2960">
        <v>155.21</v>
      </c>
      <c r="K95" s="2960">
        <v>0</v>
      </c>
      <c r="L95" s="2960">
        <v>0</v>
      </c>
      <c r="M95" s="2961"/>
      <c r="N95" s="2961"/>
    </row>
    <row r="96" spans="2:14" ht="14.25">
      <c r="B96" s="2958">
        <v>216</v>
      </c>
      <c r="C96" s="2958" t="s">
        <v>3057</v>
      </c>
      <c r="D96" s="2958" t="s">
        <v>3058</v>
      </c>
      <c r="E96" s="2959">
        <v>3</v>
      </c>
      <c r="F96" s="2960">
        <v>2</v>
      </c>
      <c r="G96" s="2959">
        <v>304</v>
      </c>
      <c r="H96" s="2959" t="s">
        <v>3055</v>
      </c>
      <c r="I96" s="2960">
        <v>155.21</v>
      </c>
      <c r="J96" s="2960">
        <v>155.21</v>
      </c>
      <c r="K96" s="2960">
        <v>0</v>
      </c>
      <c r="L96" s="2960">
        <v>0</v>
      </c>
      <c r="M96" s="2961"/>
      <c r="N96" s="2961"/>
    </row>
    <row r="97" spans="2:14" ht="14.25">
      <c r="B97" s="2958">
        <v>217</v>
      </c>
      <c r="C97" s="2958" t="s">
        <v>3057</v>
      </c>
      <c r="D97" s="2958" t="s">
        <v>3058</v>
      </c>
      <c r="E97" s="2959">
        <v>3</v>
      </c>
      <c r="F97" s="2960">
        <v>2</v>
      </c>
      <c r="G97" s="2959">
        <v>403</v>
      </c>
      <c r="H97" s="2959" t="s">
        <v>3055</v>
      </c>
      <c r="I97" s="2960">
        <v>155.21</v>
      </c>
      <c r="J97" s="2960">
        <v>155.21</v>
      </c>
      <c r="K97" s="2960">
        <v>0</v>
      </c>
      <c r="L97" s="2960">
        <v>0</v>
      </c>
      <c r="M97" s="2961"/>
      <c r="N97" s="2961"/>
    </row>
    <row r="98" spans="2:14" ht="14.25">
      <c r="B98" s="2958">
        <v>218</v>
      </c>
      <c r="C98" s="2958" t="s">
        <v>3057</v>
      </c>
      <c r="D98" s="2958" t="s">
        <v>3058</v>
      </c>
      <c r="E98" s="2959">
        <v>3</v>
      </c>
      <c r="F98" s="2960">
        <v>2</v>
      </c>
      <c r="G98" s="2959">
        <v>404</v>
      </c>
      <c r="H98" s="2959" t="s">
        <v>3055</v>
      </c>
      <c r="I98" s="2960">
        <v>155.21</v>
      </c>
      <c r="J98" s="2960">
        <v>155.21</v>
      </c>
      <c r="K98" s="2960">
        <v>0</v>
      </c>
      <c r="L98" s="2960">
        <v>0</v>
      </c>
      <c r="M98" s="2961"/>
      <c r="N98" s="2961"/>
    </row>
    <row r="99" spans="2:14" ht="14.25">
      <c r="B99" s="2958">
        <v>219</v>
      </c>
      <c r="C99" s="2958" t="s">
        <v>3057</v>
      </c>
      <c r="D99" s="2958" t="s">
        <v>3058</v>
      </c>
      <c r="E99" s="2959">
        <v>3</v>
      </c>
      <c r="F99" s="2960">
        <v>2</v>
      </c>
      <c r="G99" s="2959">
        <v>503</v>
      </c>
      <c r="H99" s="2959" t="s">
        <v>3055</v>
      </c>
      <c r="I99" s="2960">
        <v>155.21</v>
      </c>
      <c r="J99" s="2960">
        <v>155.21</v>
      </c>
      <c r="K99" s="2960">
        <v>0</v>
      </c>
      <c r="L99" s="2960">
        <v>0</v>
      </c>
      <c r="M99" s="2961"/>
      <c r="N99" s="2961"/>
    </row>
    <row r="100" spans="2:14" ht="14.25">
      <c r="B100" s="2958">
        <v>220</v>
      </c>
      <c r="C100" s="2958" t="s">
        <v>3057</v>
      </c>
      <c r="D100" s="2958" t="s">
        <v>3058</v>
      </c>
      <c r="E100" s="2959">
        <v>3</v>
      </c>
      <c r="F100" s="2960">
        <v>2</v>
      </c>
      <c r="G100" s="2959">
        <v>504</v>
      </c>
      <c r="H100" s="2959" t="s">
        <v>3055</v>
      </c>
      <c r="I100" s="2960">
        <v>155.21</v>
      </c>
      <c r="J100" s="2960">
        <v>155.21</v>
      </c>
      <c r="K100" s="2960">
        <v>0</v>
      </c>
      <c r="L100" s="2960">
        <v>0</v>
      </c>
      <c r="M100" s="2961"/>
      <c r="N100" s="2961"/>
    </row>
    <row r="101" spans="2:14" ht="14.25">
      <c r="B101" s="2958">
        <v>221</v>
      </c>
      <c r="C101" s="2958" t="s">
        <v>3057</v>
      </c>
      <c r="D101" s="2958" t="s">
        <v>3058</v>
      </c>
      <c r="E101" s="2959">
        <v>3</v>
      </c>
      <c r="F101" s="2960">
        <v>2</v>
      </c>
      <c r="G101" s="2959">
        <v>603</v>
      </c>
      <c r="H101" s="2959" t="s">
        <v>3055</v>
      </c>
      <c r="I101" s="2960">
        <v>155.21</v>
      </c>
      <c r="J101" s="2960">
        <v>155.21</v>
      </c>
      <c r="K101" s="2960">
        <v>0</v>
      </c>
      <c r="L101" s="2960">
        <v>0</v>
      </c>
      <c r="M101" s="2961"/>
      <c r="N101" s="2961"/>
    </row>
    <row r="102" spans="2:14" ht="14.25">
      <c r="B102" s="2958">
        <v>222</v>
      </c>
      <c r="C102" s="2958" t="s">
        <v>3057</v>
      </c>
      <c r="D102" s="2958" t="s">
        <v>3058</v>
      </c>
      <c r="E102" s="2959">
        <v>3</v>
      </c>
      <c r="F102" s="2960">
        <v>2</v>
      </c>
      <c r="G102" s="2959">
        <v>604</v>
      </c>
      <c r="H102" s="2959" t="s">
        <v>3055</v>
      </c>
      <c r="I102" s="2960">
        <v>155.21</v>
      </c>
      <c r="J102" s="2960">
        <v>155.21</v>
      </c>
      <c r="K102" s="2960">
        <v>0</v>
      </c>
      <c r="L102" s="2960">
        <v>0</v>
      </c>
      <c r="M102" s="2961"/>
      <c r="N102" s="2961"/>
    </row>
    <row r="103" spans="2:14" ht="14.25">
      <c r="B103" s="2958">
        <v>223</v>
      </c>
      <c r="C103" s="2958" t="s">
        <v>3057</v>
      </c>
      <c r="D103" s="2958" t="s">
        <v>3058</v>
      </c>
      <c r="E103" s="2959">
        <v>3</v>
      </c>
      <c r="F103" s="2960">
        <v>2</v>
      </c>
      <c r="G103" s="2959">
        <v>703</v>
      </c>
      <c r="H103" s="2959" t="s">
        <v>3055</v>
      </c>
      <c r="I103" s="2960">
        <v>155.21</v>
      </c>
      <c r="J103" s="2960">
        <v>155.21</v>
      </c>
      <c r="K103" s="2960">
        <v>0</v>
      </c>
      <c r="L103" s="2960">
        <v>0</v>
      </c>
      <c r="M103" s="2961"/>
      <c r="N103" s="2961"/>
    </row>
    <row r="104" spans="2:14" ht="14.25">
      <c r="B104" s="2958">
        <v>224</v>
      </c>
      <c r="C104" s="2958" t="s">
        <v>3057</v>
      </c>
      <c r="D104" s="2958" t="s">
        <v>3058</v>
      </c>
      <c r="E104" s="2959">
        <v>3</v>
      </c>
      <c r="F104" s="2960">
        <v>2</v>
      </c>
      <c r="G104" s="2959">
        <v>704</v>
      </c>
      <c r="H104" s="2959" t="s">
        <v>3055</v>
      </c>
      <c r="I104" s="2960">
        <v>155.21</v>
      </c>
      <c r="J104" s="2960">
        <v>155.21</v>
      </c>
      <c r="K104" s="2960">
        <v>0</v>
      </c>
      <c r="L104" s="2960">
        <v>0</v>
      </c>
      <c r="M104" s="2961"/>
      <c r="N104" s="2961"/>
    </row>
    <row r="105" spans="2:14" ht="14.25">
      <c r="B105" s="2958">
        <v>225</v>
      </c>
      <c r="C105" s="2958" t="s">
        <v>3057</v>
      </c>
      <c r="D105" s="2958" t="s">
        <v>3058</v>
      </c>
      <c r="E105" s="2959">
        <v>3</v>
      </c>
      <c r="F105" s="2960">
        <v>2</v>
      </c>
      <c r="G105" s="2959">
        <v>803</v>
      </c>
      <c r="H105" s="2959" t="s">
        <v>3055</v>
      </c>
      <c r="I105" s="2960">
        <v>155.21</v>
      </c>
      <c r="J105" s="2960">
        <v>155.21</v>
      </c>
      <c r="K105" s="2960">
        <v>0</v>
      </c>
      <c r="L105" s="2960">
        <v>0</v>
      </c>
      <c r="M105" s="2961"/>
      <c r="N105" s="2961"/>
    </row>
    <row r="106" spans="2:14" ht="14.25">
      <c r="B106" s="2958">
        <v>226</v>
      </c>
      <c r="C106" s="2958" t="s">
        <v>3057</v>
      </c>
      <c r="D106" s="2958" t="s">
        <v>3058</v>
      </c>
      <c r="E106" s="2959">
        <v>3</v>
      </c>
      <c r="F106" s="2960">
        <v>2</v>
      </c>
      <c r="G106" s="2959">
        <v>804</v>
      </c>
      <c r="H106" s="2959" t="s">
        <v>3055</v>
      </c>
      <c r="I106" s="2960">
        <v>155.21</v>
      </c>
      <c r="J106" s="2960">
        <v>155.21</v>
      </c>
      <c r="K106" s="2960">
        <v>0</v>
      </c>
      <c r="L106" s="2960">
        <v>0</v>
      </c>
      <c r="M106" s="2961"/>
      <c r="N106" s="2961"/>
    </row>
    <row r="107" spans="2:14" ht="14.25">
      <c r="B107" s="2958">
        <v>227</v>
      </c>
      <c r="C107" s="2958" t="s">
        <v>3057</v>
      </c>
      <c r="D107" s="2958" t="s">
        <v>3058</v>
      </c>
      <c r="E107" s="2959">
        <v>3</v>
      </c>
      <c r="F107" s="2960">
        <v>2</v>
      </c>
      <c r="G107" s="2959">
        <v>903</v>
      </c>
      <c r="H107" s="2959" t="s">
        <v>3055</v>
      </c>
      <c r="I107" s="2960">
        <v>155.21</v>
      </c>
      <c r="J107" s="2960">
        <v>155.21</v>
      </c>
      <c r="K107" s="2960">
        <v>0</v>
      </c>
      <c r="L107" s="2960">
        <v>0</v>
      </c>
      <c r="M107" s="2961"/>
      <c r="N107" s="2961"/>
    </row>
    <row r="108" spans="2:14" ht="14.25">
      <c r="B108" s="2958">
        <v>228</v>
      </c>
      <c r="C108" s="2958" t="s">
        <v>3057</v>
      </c>
      <c r="D108" s="2958" t="s">
        <v>3058</v>
      </c>
      <c r="E108" s="2959">
        <v>3</v>
      </c>
      <c r="F108" s="2960">
        <v>2</v>
      </c>
      <c r="G108" s="2959">
        <v>904</v>
      </c>
      <c r="H108" s="2959" t="s">
        <v>3055</v>
      </c>
      <c r="I108" s="2960">
        <v>155.21</v>
      </c>
      <c r="J108" s="2960">
        <v>155.21</v>
      </c>
      <c r="K108" s="2960">
        <v>0</v>
      </c>
      <c r="L108" s="2960">
        <v>0</v>
      </c>
      <c r="M108" s="2961"/>
      <c r="N108" s="2961"/>
    </row>
    <row r="109" spans="2:14" ht="14.25">
      <c r="B109" s="2958">
        <v>229</v>
      </c>
      <c r="C109" s="2958" t="s">
        <v>3057</v>
      </c>
      <c r="D109" s="2958" t="s">
        <v>3058</v>
      </c>
      <c r="E109" s="2959">
        <v>3</v>
      </c>
      <c r="F109" s="2960">
        <v>2</v>
      </c>
      <c r="G109" s="2959">
        <v>1003</v>
      </c>
      <c r="H109" s="2959" t="s">
        <v>3055</v>
      </c>
      <c r="I109" s="2960">
        <v>155.21</v>
      </c>
      <c r="J109" s="2960">
        <v>155.21</v>
      </c>
      <c r="K109" s="2960">
        <v>0</v>
      </c>
      <c r="L109" s="2960">
        <v>0</v>
      </c>
      <c r="M109" s="2961"/>
      <c r="N109" s="2961"/>
    </row>
    <row r="110" spans="2:14" ht="14.25">
      <c r="B110" s="2958">
        <v>230</v>
      </c>
      <c r="C110" s="2958" t="s">
        <v>3057</v>
      </c>
      <c r="D110" s="2958" t="s">
        <v>3058</v>
      </c>
      <c r="E110" s="2959">
        <v>3</v>
      </c>
      <c r="F110" s="2960">
        <v>2</v>
      </c>
      <c r="G110" s="2959">
        <v>1004</v>
      </c>
      <c r="H110" s="2959" t="s">
        <v>3055</v>
      </c>
      <c r="I110" s="2960">
        <v>155.21</v>
      </c>
      <c r="J110" s="2960">
        <v>155.21</v>
      </c>
      <c r="K110" s="2960">
        <v>0</v>
      </c>
      <c r="L110" s="2960">
        <v>0</v>
      </c>
      <c r="M110" s="2961"/>
      <c r="N110" s="2961"/>
    </row>
    <row r="111" spans="2:14" ht="14.25">
      <c r="B111" s="2958">
        <v>231</v>
      </c>
      <c r="C111" s="2958" t="s">
        <v>3057</v>
      </c>
      <c r="D111" s="2958" t="s">
        <v>3058</v>
      </c>
      <c r="E111" s="2959">
        <v>3</v>
      </c>
      <c r="F111" s="2960">
        <v>2</v>
      </c>
      <c r="G111" s="2959">
        <v>1103</v>
      </c>
      <c r="H111" s="2959" t="s">
        <v>3055</v>
      </c>
      <c r="I111" s="2960">
        <v>229.44</v>
      </c>
      <c r="J111" s="2960">
        <v>155.21</v>
      </c>
      <c r="K111" s="2960">
        <v>74.23</v>
      </c>
      <c r="L111" s="2960">
        <v>0</v>
      </c>
      <c r="M111" s="2961"/>
      <c r="N111" s="2961"/>
    </row>
    <row r="112" spans="2:14" ht="14.25">
      <c r="B112" s="2958">
        <v>232</v>
      </c>
      <c r="C112" s="2958" t="s">
        <v>3057</v>
      </c>
      <c r="D112" s="2958" t="s">
        <v>3058</v>
      </c>
      <c r="E112" s="2959">
        <v>3</v>
      </c>
      <c r="F112" s="2960">
        <v>2</v>
      </c>
      <c r="G112" s="2959">
        <v>1104</v>
      </c>
      <c r="H112" s="2959" t="s">
        <v>3055</v>
      </c>
      <c r="I112" s="2960">
        <v>213.31</v>
      </c>
      <c r="J112" s="2960">
        <v>155.21</v>
      </c>
      <c r="K112" s="2960">
        <v>58.1</v>
      </c>
      <c r="L112" s="2960">
        <v>0</v>
      </c>
      <c r="M112" s="2961"/>
      <c r="N112" s="2961"/>
    </row>
    <row r="113" spans="2:14" ht="14.25">
      <c r="B113" s="2958">
        <v>233</v>
      </c>
      <c r="C113" s="2958" t="s">
        <v>3057</v>
      </c>
      <c r="D113" s="2958" t="s">
        <v>3058</v>
      </c>
      <c r="E113" s="2959">
        <v>4</v>
      </c>
      <c r="F113" s="2960">
        <v>1</v>
      </c>
      <c r="G113" s="2959">
        <v>101</v>
      </c>
      <c r="H113" s="2959" t="s">
        <v>3055</v>
      </c>
      <c r="I113" s="2960">
        <v>409.64</v>
      </c>
      <c r="J113" s="2960">
        <v>142.97</v>
      </c>
      <c r="K113" s="2960">
        <v>0</v>
      </c>
      <c r="L113" s="2960">
        <f>158.11+108.56</f>
        <v>266.67</v>
      </c>
      <c r="M113" s="2961">
        <f>54.39+54.38</f>
        <v>108.77000000000001</v>
      </c>
      <c r="N113" s="2961">
        <v>0</v>
      </c>
    </row>
    <row r="114" spans="2:14" ht="14.25">
      <c r="B114" s="2958">
        <v>234</v>
      </c>
      <c r="C114" s="2958" t="s">
        <v>3057</v>
      </c>
      <c r="D114" s="2958" t="s">
        <v>3058</v>
      </c>
      <c r="E114" s="2959">
        <v>4</v>
      </c>
      <c r="F114" s="2960">
        <v>1</v>
      </c>
      <c r="G114" s="2959">
        <v>102</v>
      </c>
      <c r="H114" s="2959" t="s">
        <v>3055</v>
      </c>
      <c r="I114" s="2960">
        <v>409.64</v>
      </c>
      <c r="J114" s="2960">
        <v>142.97</v>
      </c>
      <c r="K114" s="2960">
        <v>0</v>
      </c>
      <c r="L114" s="2960">
        <f>158.11+108.56</f>
        <v>266.67</v>
      </c>
      <c r="M114" s="2961"/>
      <c r="N114" s="2961"/>
    </row>
    <row r="115" spans="2:14" ht="14.25">
      <c r="B115" s="2958">
        <v>235</v>
      </c>
      <c r="C115" s="2958" t="s">
        <v>3057</v>
      </c>
      <c r="D115" s="2958" t="s">
        <v>3058</v>
      </c>
      <c r="E115" s="2959">
        <v>4</v>
      </c>
      <c r="F115" s="2960">
        <v>1</v>
      </c>
      <c r="G115" s="2959">
        <v>201</v>
      </c>
      <c r="H115" s="2959" t="s">
        <v>3055</v>
      </c>
      <c r="I115" s="2960">
        <v>317.91000000000003</v>
      </c>
      <c r="J115" s="2960">
        <v>162.16</v>
      </c>
      <c r="K115" s="2960">
        <v>0</v>
      </c>
      <c r="L115" s="2960">
        <f>89.66+66.09</f>
        <v>155.75</v>
      </c>
      <c r="M115" s="2961"/>
      <c r="N115" s="2961"/>
    </row>
    <row r="116" spans="2:14" ht="14.25">
      <c r="B116" s="2958">
        <v>236</v>
      </c>
      <c r="C116" s="2958" t="s">
        <v>3057</v>
      </c>
      <c r="D116" s="2958" t="s">
        <v>3058</v>
      </c>
      <c r="E116" s="2959">
        <v>4</v>
      </c>
      <c r="F116" s="2960">
        <v>1</v>
      </c>
      <c r="G116" s="2959">
        <v>202</v>
      </c>
      <c r="H116" s="2959" t="s">
        <v>3055</v>
      </c>
      <c r="I116" s="2960">
        <v>336.75</v>
      </c>
      <c r="J116" s="2960">
        <v>162.16</v>
      </c>
      <c r="K116" s="2960">
        <v>0</v>
      </c>
      <c r="L116" s="2960">
        <f>89.66+84.93</f>
        <v>174.59</v>
      </c>
      <c r="M116" s="2961"/>
      <c r="N116" s="2961"/>
    </row>
    <row r="117" spans="2:14" ht="14.25">
      <c r="B117" s="2958">
        <v>237</v>
      </c>
      <c r="C117" s="2958" t="s">
        <v>3057</v>
      </c>
      <c r="D117" s="2958" t="s">
        <v>3058</v>
      </c>
      <c r="E117" s="2959">
        <v>4</v>
      </c>
      <c r="F117" s="2960">
        <v>1</v>
      </c>
      <c r="G117" s="2959">
        <v>301</v>
      </c>
      <c r="H117" s="2959" t="s">
        <v>3055</v>
      </c>
      <c r="I117" s="2960">
        <v>155.62</v>
      </c>
      <c r="J117" s="2960">
        <v>155.62</v>
      </c>
      <c r="K117" s="2960">
        <v>0</v>
      </c>
      <c r="L117" s="2960">
        <v>0</v>
      </c>
      <c r="M117" s="2961"/>
      <c r="N117" s="2961"/>
    </row>
    <row r="118" spans="2:14" ht="14.25">
      <c r="B118" s="2958">
        <v>238</v>
      </c>
      <c r="C118" s="2958" t="s">
        <v>3057</v>
      </c>
      <c r="D118" s="2958" t="s">
        <v>3058</v>
      </c>
      <c r="E118" s="2959">
        <v>4</v>
      </c>
      <c r="F118" s="2960">
        <v>1</v>
      </c>
      <c r="G118" s="2959">
        <v>302</v>
      </c>
      <c r="H118" s="2959" t="s">
        <v>3055</v>
      </c>
      <c r="I118" s="2960">
        <v>155.62</v>
      </c>
      <c r="J118" s="2960">
        <v>155.62</v>
      </c>
      <c r="K118" s="2960">
        <v>0</v>
      </c>
      <c r="L118" s="2960">
        <v>0</v>
      </c>
      <c r="M118" s="2961"/>
      <c r="N118" s="2961"/>
    </row>
    <row r="119" spans="2:14" ht="14.25">
      <c r="B119" s="2958">
        <v>239</v>
      </c>
      <c r="C119" s="2958" t="s">
        <v>3057</v>
      </c>
      <c r="D119" s="2958" t="s">
        <v>3058</v>
      </c>
      <c r="E119" s="2959">
        <v>4</v>
      </c>
      <c r="F119" s="2960">
        <v>1</v>
      </c>
      <c r="G119" s="2959">
        <v>401</v>
      </c>
      <c r="H119" s="2959" t="s">
        <v>3055</v>
      </c>
      <c r="I119" s="2960">
        <v>155.62</v>
      </c>
      <c r="J119" s="2960">
        <v>155.62</v>
      </c>
      <c r="K119" s="2960">
        <v>0</v>
      </c>
      <c r="L119" s="2960">
        <v>0</v>
      </c>
      <c r="M119" s="2961"/>
      <c r="N119" s="2961"/>
    </row>
    <row r="120" spans="2:14" ht="14.25">
      <c r="B120" s="2958">
        <v>240</v>
      </c>
      <c r="C120" s="2958" t="s">
        <v>3057</v>
      </c>
      <c r="D120" s="2958" t="s">
        <v>3058</v>
      </c>
      <c r="E120" s="2959">
        <v>4</v>
      </c>
      <c r="F120" s="2960">
        <v>1</v>
      </c>
      <c r="G120" s="2959">
        <v>402</v>
      </c>
      <c r="H120" s="2959" t="s">
        <v>3055</v>
      </c>
      <c r="I120" s="2960">
        <v>155.62</v>
      </c>
      <c r="J120" s="2960">
        <v>155.62</v>
      </c>
      <c r="K120" s="2960">
        <v>0</v>
      </c>
      <c r="L120" s="2960">
        <v>0</v>
      </c>
      <c r="M120" s="2961"/>
      <c r="N120" s="2961"/>
    </row>
    <row r="121" spans="2:14" ht="14.25">
      <c r="B121" s="2958">
        <v>241</v>
      </c>
      <c r="C121" s="2958" t="s">
        <v>3057</v>
      </c>
      <c r="D121" s="2958" t="s">
        <v>3058</v>
      </c>
      <c r="E121" s="2959">
        <v>4</v>
      </c>
      <c r="F121" s="2960">
        <v>1</v>
      </c>
      <c r="G121" s="2959">
        <v>501</v>
      </c>
      <c r="H121" s="2959" t="s">
        <v>3055</v>
      </c>
      <c r="I121" s="2960">
        <v>155.62</v>
      </c>
      <c r="J121" s="2960">
        <v>155.62</v>
      </c>
      <c r="K121" s="2960">
        <v>0</v>
      </c>
      <c r="L121" s="2960">
        <v>0</v>
      </c>
      <c r="M121" s="2961"/>
      <c r="N121" s="2961"/>
    </row>
    <row r="122" spans="2:14" ht="14.25">
      <c r="B122" s="2958">
        <v>242</v>
      </c>
      <c r="C122" s="2958" t="s">
        <v>3057</v>
      </c>
      <c r="D122" s="2958" t="s">
        <v>3058</v>
      </c>
      <c r="E122" s="2959">
        <v>4</v>
      </c>
      <c r="F122" s="2960">
        <v>1</v>
      </c>
      <c r="G122" s="2959">
        <v>502</v>
      </c>
      <c r="H122" s="2959" t="s">
        <v>3055</v>
      </c>
      <c r="I122" s="2960">
        <v>155.62</v>
      </c>
      <c r="J122" s="2960">
        <v>155.62</v>
      </c>
      <c r="K122" s="2960">
        <v>0</v>
      </c>
      <c r="L122" s="2960">
        <v>0</v>
      </c>
      <c r="M122" s="2961"/>
      <c r="N122" s="2961"/>
    </row>
    <row r="123" spans="2:14" ht="14.25">
      <c r="B123" s="2958">
        <v>243</v>
      </c>
      <c r="C123" s="2958" t="s">
        <v>3057</v>
      </c>
      <c r="D123" s="2958" t="s">
        <v>3058</v>
      </c>
      <c r="E123" s="2959">
        <v>4</v>
      </c>
      <c r="F123" s="2960">
        <v>1</v>
      </c>
      <c r="G123" s="2959">
        <v>601</v>
      </c>
      <c r="H123" s="2959" t="s">
        <v>3055</v>
      </c>
      <c r="I123" s="2960">
        <v>155.62</v>
      </c>
      <c r="J123" s="2960">
        <v>155.62</v>
      </c>
      <c r="K123" s="2960">
        <v>0</v>
      </c>
      <c r="L123" s="2960">
        <v>0</v>
      </c>
      <c r="M123" s="2961"/>
      <c r="N123" s="2961"/>
    </row>
    <row r="124" spans="2:14" ht="14.25">
      <c r="B124" s="2958">
        <v>244</v>
      </c>
      <c r="C124" s="2958" t="s">
        <v>3057</v>
      </c>
      <c r="D124" s="2958" t="s">
        <v>3058</v>
      </c>
      <c r="E124" s="2959">
        <v>4</v>
      </c>
      <c r="F124" s="2960">
        <v>1</v>
      </c>
      <c r="G124" s="2959">
        <v>602</v>
      </c>
      <c r="H124" s="2959" t="s">
        <v>3055</v>
      </c>
      <c r="I124" s="2960">
        <v>155.62</v>
      </c>
      <c r="J124" s="2960">
        <v>155.62</v>
      </c>
      <c r="K124" s="2960">
        <v>0</v>
      </c>
      <c r="L124" s="2960">
        <v>0</v>
      </c>
      <c r="M124" s="2961"/>
      <c r="N124" s="2961"/>
    </row>
    <row r="125" spans="2:14" ht="14.25">
      <c r="B125" s="2958">
        <v>245</v>
      </c>
      <c r="C125" s="2958" t="s">
        <v>3057</v>
      </c>
      <c r="D125" s="2958" t="s">
        <v>3058</v>
      </c>
      <c r="E125" s="2959">
        <v>4</v>
      </c>
      <c r="F125" s="2960">
        <v>1</v>
      </c>
      <c r="G125" s="2959">
        <v>701</v>
      </c>
      <c r="H125" s="2959" t="s">
        <v>3055</v>
      </c>
      <c r="I125" s="2960">
        <v>155.62</v>
      </c>
      <c r="J125" s="2960">
        <v>155.62</v>
      </c>
      <c r="K125" s="2960">
        <v>0</v>
      </c>
      <c r="L125" s="2960">
        <v>0</v>
      </c>
      <c r="M125" s="2961"/>
      <c r="N125" s="2961"/>
    </row>
    <row r="126" spans="2:14" ht="14.25">
      <c r="B126" s="2958">
        <v>246</v>
      </c>
      <c r="C126" s="2958" t="s">
        <v>3057</v>
      </c>
      <c r="D126" s="2958" t="s">
        <v>3058</v>
      </c>
      <c r="E126" s="2959">
        <v>4</v>
      </c>
      <c r="F126" s="2960">
        <v>1</v>
      </c>
      <c r="G126" s="2959">
        <v>702</v>
      </c>
      <c r="H126" s="2959" t="s">
        <v>3055</v>
      </c>
      <c r="I126" s="2960">
        <v>155.62</v>
      </c>
      <c r="J126" s="2960">
        <v>155.62</v>
      </c>
      <c r="K126" s="2960">
        <v>0</v>
      </c>
      <c r="L126" s="2960">
        <v>0</v>
      </c>
      <c r="M126" s="2961"/>
      <c r="N126" s="2961"/>
    </row>
    <row r="127" spans="2:14" ht="14.25">
      <c r="B127" s="2958">
        <v>247</v>
      </c>
      <c r="C127" s="2958" t="s">
        <v>3057</v>
      </c>
      <c r="D127" s="2958" t="s">
        <v>3058</v>
      </c>
      <c r="E127" s="2959">
        <v>4</v>
      </c>
      <c r="F127" s="2960">
        <v>1</v>
      </c>
      <c r="G127" s="2959">
        <v>801</v>
      </c>
      <c r="H127" s="2959" t="s">
        <v>3055</v>
      </c>
      <c r="I127" s="2960">
        <v>155.62</v>
      </c>
      <c r="J127" s="2960">
        <v>155.62</v>
      </c>
      <c r="K127" s="2960">
        <v>0</v>
      </c>
      <c r="L127" s="2960">
        <v>0</v>
      </c>
      <c r="M127" s="2961"/>
      <c r="N127" s="2961"/>
    </row>
    <row r="128" spans="2:14" ht="14.25">
      <c r="B128" s="2958">
        <v>248</v>
      </c>
      <c r="C128" s="2958" t="s">
        <v>3057</v>
      </c>
      <c r="D128" s="2958" t="s">
        <v>3058</v>
      </c>
      <c r="E128" s="2959">
        <v>4</v>
      </c>
      <c r="F128" s="2960">
        <v>1</v>
      </c>
      <c r="G128" s="2959">
        <v>802</v>
      </c>
      <c r="H128" s="2959" t="s">
        <v>3055</v>
      </c>
      <c r="I128" s="2960">
        <v>155.62</v>
      </c>
      <c r="J128" s="2960">
        <v>155.62</v>
      </c>
      <c r="K128" s="2960">
        <v>0</v>
      </c>
      <c r="L128" s="2960">
        <v>0</v>
      </c>
      <c r="M128" s="2961"/>
      <c r="N128" s="2961"/>
    </row>
    <row r="129" spans="2:14" ht="14.25">
      <c r="B129" s="2958">
        <v>249</v>
      </c>
      <c r="C129" s="2958" t="s">
        <v>3057</v>
      </c>
      <c r="D129" s="2958" t="s">
        <v>3058</v>
      </c>
      <c r="E129" s="2959">
        <v>4</v>
      </c>
      <c r="F129" s="2960">
        <v>1</v>
      </c>
      <c r="G129" s="2959">
        <v>901</v>
      </c>
      <c r="H129" s="2959" t="s">
        <v>3055</v>
      </c>
      <c r="I129" s="2960">
        <v>155.62</v>
      </c>
      <c r="J129" s="2960">
        <v>155.62</v>
      </c>
      <c r="K129" s="2960">
        <v>0</v>
      </c>
      <c r="L129" s="2960">
        <v>0</v>
      </c>
      <c r="M129" s="2961"/>
      <c r="N129" s="2961"/>
    </row>
    <row r="130" spans="2:14" ht="14.25">
      <c r="B130" s="2958">
        <v>250</v>
      </c>
      <c r="C130" s="2958" t="s">
        <v>3057</v>
      </c>
      <c r="D130" s="2958" t="s">
        <v>3058</v>
      </c>
      <c r="E130" s="2959">
        <v>4</v>
      </c>
      <c r="F130" s="2960">
        <v>1</v>
      </c>
      <c r="G130" s="2959">
        <v>902</v>
      </c>
      <c r="H130" s="2959" t="s">
        <v>3055</v>
      </c>
      <c r="I130" s="2960">
        <v>155.62</v>
      </c>
      <c r="J130" s="2960">
        <v>155.62</v>
      </c>
      <c r="K130" s="2960">
        <v>0</v>
      </c>
      <c r="L130" s="2960">
        <v>0</v>
      </c>
      <c r="M130" s="2961"/>
      <c r="N130" s="2961"/>
    </row>
    <row r="131" spans="2:14" ht="14.25">
      <c r="B131" s="2958">
        <v>251</v>
      </c>
      <c r="C131" s="2958" t="s">
        <v>3057</v>
      </c>
      <c r="D131" s="2958" t="s">
        <v>3058</v>
      </c>
      <c r="E131" s="2959">
        <v>4</v>
      </c>
      <c r="F131" s="2960">
        <v>1</v>
      </c>
      <c r="G131" s="2959">
        <v>1001</v>
      </c>
      <c r="H131" s="2959" t="s">
        <v>3055</v>
      </c>
      <c r="I131" s="2960">
        <v>155.62</v>
      </c>
      <c r="J131" s="2960">
        <v>155.62</v>
      </c>
      <c r="K131" s="2960">
        <v>0</v>
      </c>
      <c r="L131" s="2960">
        <v>0</v>
      </c>
      <c r="M131" s="2961"/>
      <c r="N131" s="2961"/>
    </row>
    <row r="132" spans="2:14" ht="14.25">
      <c r="B132" s="2958">
        <v>252</v>
      </c>
      <c r="C132" s="2958" t="s">
        <v>3057</v>
      </c>
      <c r="D132" s="2958" t="s">
        <v>3058</v>
      </c>
      <c r="E132" s="2959">
        <v>4</v>
      </c>
      <c r="F132" s="2960">
        <v>1</v>
      </c>
      <c r="G132" s="2959">
        <v>1002</v>
      </c>
      <c r="H132" s="2959" t="s">
        <v>3055</v>
      </c>
      <c r="I132" s="2960">
        <v>155.62</v>
      </c>
      <c r="J132" s="2960">
        <v>155.62</v>
      </c>
      <c r="K132" s="2960">
        <v>0</v>
      </c>
      <c r="L132" s="2960">
        <v>0</v>
      </c>
      <c r="M132" s="2961"/>
      <c r="N132" s="2961"/>
    </row>
    <row r="133" spans="2:14" ht="14.25">
      <c r="B133" s="2958">
        <v>253</v>
      </c>
      <c r="C133" s="2958" t="s">
        <v>3057</v>
      </c>
      <c r="D133" s="2958" t="s">
        <v>3058</v>
      </c>
      <c r="E133" s="2959">
        <v>4</v>
      </c>
      <c r="F133" s="2960">
        <v>1</v>
      </c>
      <c r="G133" s="2959">
        <v>1101</v>
      </c>
      <c r="H133" s="2959" t="s">
        <v>3055</v>
      </c>
      <c r="I133" s="2960">
        <v>213.81</v>
      </c>
      <c r="J133" s="2960">
        <v>155.62</v>
      </c>
      <c r="K133" s="2960">
        <v>58.19</v>
      </c>
      <c r="L133" s="2960">
        <v>0</v>
      </c>
      <c r="M133" s="2961"/>
      <c r="N133" s="2961"/>
    </row>
    <row r="134" spans="2:14" ht="14.25">
      <c r="B134" s="2958">
        <v>254</v>
      </c>
      <c r="C134" s="2958" t="s">
        <v>3057</v>
      </c>
      <c r="D134" s="2958" t="s">
        <v>3058</v>
      </c>
      <c r="E134" s="2959">
        <v>4</v>
      </c>
      <c r="F134" s="2960">
        <v>1</v>
      </c>
      <c r="G134" s="2959">
        <v>1102</v>
      </c>
      <c r="H134" s="2959" t="s">
        <v>3055</v>
      </c>
      <c r="I134" s="2960">
        <v>229.96</v>
      </c>
      <c r="J134" s="2960">
        <v>155.62</v>
      </c>
      <c r="K134" s="2960">
        <v>74.34</v>
      </c>
      <c r="L134" s="2960">
        <v>0</v>
      </c>
      <c r="M134" s="2961"/>
      <c r="N134" s="2961"/>
    </row>
    <row r="135" spans="2:14" ht="14.25">
      <c r="B135" s="2958">
        <v>255</v>
      </c>
      <c r="C135" s="2958" t="s">
        <v>3057</v>
      </c>
      <c r="D135" s="2958" t="s">
        <v>3058</v>
      </c>
      <c r="E135" s="2959">
        <v>4</v>
      </c>
      <c r="F135" s="2960">
        <v>2</v>
      </c>
      <c r="G135" s="2959">
        <v>103</v>
      </c>
      <c r="H135" s="2959" t="s">
        <v>3055</v>
      </c>
      <c r="I135" s="2960">
        <v>409.61</v>
      </c>
      <c r="J135" s="2960">
        <v>142.97</v>
      </c>
      <c r="K135" s="2960">
        <v>0</v>
      </c>
      <c r="L135" s="2960">
        <f>158.09+108.55</f>
        <v>266.64</v>
      </c>
      <c r="M135" s="2961"/>
      <c r="N135" s="2961"/>
    </row>
    <row r="136" spans="2:14" ht="14.25">
      <c r="B136" s="2958">
        <v>256</v>
      </c>
      <c r="C136" s="2958" t="s">
        <v>3057</v>
      </c>
      <c r="D136" s="2958" t="s">
        <v>3058</v>
      </c>
      <c r="E136" s="2959">
        <v>4</v>
      </c>
      <c r="F136" s="2960">
        <v>2</v>
      </c>
      <c r="G136" s="2959">
        <v>104</v>
      </c>
      <c r="H136" s="2959" t="s">
        <v>3055</v>
      </c>
      <c r="I136" s="2960">
        <v>410.17</v>
      </c>
      <c r="J136" s="2960">
        <v>142.97</v>
      </c>
      <c r="K136" s="2960">
        <v>0</v>
      </c>
      <c r="L136" s="2960">
        <f>158.65+108.55</f>
        <v>267.2</v>
      </c>
      <c r="M136" s="2961"/>
      <c r="N136" s="2961"/>
    </row>
    <row r="137" spans="2:14" ht="14.25">
      <c r="B137" s="2958">
        <v>257</v>
      </c>
      <c r="C137" s="2958" t="s">
        <v>3057</v>
      </c>
      <c r="D137" s="2958" t="s">
        <v>3058</v>
      </c>
      <c r="E137" s="2959">
        <v>4</v>
      </c>
      <c r="F137" s="2960">
        <v>2</v>
      </c>
      <c r="G137" s="2959">
        <v>203</v>
      </c>
      <c r="H137" s="2959" t="s">
        <v>3055</v>
      </c>
      <c r="I137" s="2960">
        <v>336.73</v>
      </c>
      <c r="J137" s="2960">
        <v>162.16</v>
      </c>
      <c r="K137" s="2960">
        <v>0</v>
      </c>
      <c r="L137" s="2960">
        <f>89.65+84.92</f>
        <v>174.57</v>
      </c>
      <c r="M137" s="2961"/>
      <c r="N137" s="2961"/>
    </row>
    <row r="138" spans="2:14" ht="14.25">
      <c r="B138" s="2958">
        <v>258</v>
      </c>
      <c r="C138" s="2958" t="s">
        <v>3057</v>
      </c>
      <c r="D138" s="2958" t="s">
        <v>3058</v>
      </c>
      <c r="E138" s="2959">
        <v>4</v>
      </c>
      <c r="F138" s="2960">
        <v>2</v>
      </c>
      <c r="G138" s="2959">
        <v>204</v>
      </c>
      <c r="H138" s="2959" t="s">
        <v>3055</v>
      </c>
      <c r="I138" s="2960">
        <v>318.18</v>
      </c>
      <c r="J138" s="2960">
        <v>162.16</v>
      </c>
      <c r="K138" s="2960">
        <v>0</v>
      </c>
      <c r="L138" s="2960">
        <f>89.93+66.09</f>
        <v>156.02000000000001</v>
      </c>
      <c r="M138" s="2961"/>
      <c r="N138" s="2961"/>
    </row>
    <row r="139" spans="2:14" ht="14.25">
      <c r="B139" s="2958">
        <v>259</v>
      </c>
      <c r="C139" s="2958" t="s">
        <v>3057</v>
      </c>
      <c r="D139" s="2958" t="s">
        <v>3058</v>
      </c>
      <c r="E139" s="2959">
        <v>4</v>
      </c>
      <c r="F139" s="2960">
        <v>2</v>
      </c>
      <c r="G139" s="2959">
        <v>303</v>
      </c>
      <c r="H139" s="2959" t="s">
        <v>3055</v>
      </c>
      <c r="I139" s="2960">
        <v>155.62</v>
      </c>
      <c r="J139" s="2960">
        <v>155.62</v>
      </c>
      <c r="K139" s="2960">
        <v>0</v>
      </c>
      <c r="L139" s="2960">
        <v>0</v>
      </c>
      <c r="M139" s="2961"/>
      <c r="N139" s="2961"/>
    </row>
    <row r="140" spans="2:14" ht="14.25">
      <c r="B140" s="2958">
        <v>260</v>
      </c>
      <c r="C140" s="2958" t="s">
        <v>3057</v>
      </c>
      <c r="D140" s="2958" t="s">
        <v>3058</v>
      </c>
      <c r="E140" s="2959">
        <v>4</v>
      </c>
      <c r="F140" s="2960">
        <v>2</v>
      </c>
      <c r="G140" s="2959">
        <v>304</v>
      </c>
      <c r="H140" s="2959" t="s">
        <v>3055</v>
      </c>
      <c r="I140" s="2960">
        <v>155.62</v>
      </c>
      <c r="J140" s="2960">
        <v>155.62</v>
      </c>
      <c r="K140" s="2960">
        <v>0</v>
      </c>
      <c r="L140" s="2960">
        <v>0</v>
      </c>
      <c r="M140" s="2961"/>
      <c r="N140" s="2961"/>
    </row>
    <row r="141" spans="2:14" ht="14.25">
      <c r="B141" s="2958">
        <v>261</v>
      </c>
      <c r="C141" s="2958" t="s">
        <v>3057</v>
      </c>
      <c r="D141" s="2958" t="s">
        <v>3058</v>
      </c>
      <c r="E141" s="2959">
        <v>4</v>
      </c>
      <c r="F141" s="2960">
        <v>2</v>
      </c>
      <c r="G141" s="2959">
        <v>403</v>
      </c>
      <c r="H141" s="2959" t="s">
        <v>3055</v>
      </c>
      <c r="I141" s="2960">
        <v>155.62</v>
      </c>
      <c r="J141" s="2960">
        <v>155.62</v>
      </c>
      <c r="K141" s="2960">
        <v>0</v>
      </c>
      <c r="L141" s="2960">
        <v>0</v>
      </c>
      <c r="M141" s="2961"/>
      <c r="N141" s="2961"/>
    </row>
    <row r="142" spans="2:14" ht="14.25">
      <c r="B142" s="2958">
        <v>262</v>
      </c>
      <c r="C142" s="2958" t="s">
        <v>3057</v>
      </c>
      <c r="D142" s="2958" t="s">
        <v>3058</v>
      </c>
      <c r="E142" s="2959">
        <v>4</v>
      </c>
      <c r="F142" s="2960">
        <v>2</v>
      </c>
      <c r="G142" s="2959">
        <v>404</v>
      </c>
      <c r="H142" s="2959" t="s">
        <v>3055</v>
      </c>
      <c r="I142" s="2960">
        <v>155.62</v>
      </c>
      <c r="J142" s="2960">
        <v>155.62</v>
      </c>
      <c r="K142" s="2960">
        <v>0</v>
      </c>
      <c r="L142" s="2960">
        <v>0</v>
      </c>
      <c r="M142" s="2961"/>
      <c r="N142" s="2961"/>
    </row>
    <row r="143" spans="2:14" ht="14.25">
      <c r="B143" s="2958">
        <v>263</v>
      </c>
      <c r="C143" s="2958" t="s">
        <v>3057</v>
      </c>
      <c r="D143" s="2958" t="s">
        <v>3058</v>
      </c>
      <c r="E143" s="2959">
        <v>4</v>
      </c>
      <c r="F143" s="2960">
        <v>2</v>
      </c>
      <c r="G143" s="2959">
        <v>503</v>
      </c>
      <c r="H143" s="2959" t="s">
        <v>3055</v>
      </c>
      <c r="I143" s="2960">
        <v>155.62</v>
      </c>
      <c r="J143" s="2960">
        <v>155.62</v>
      </c>
      <c r="K143" s="2960">
        <v>0</v>
      </c>
      <c r="L143" s="2960">
        <v>0</v>
      </c>
      <c r="M143" s="2961"/>
      <c r="N143" s="2961"/>
    </row>
    <row r="144" spans="2:14" ht="14.25">
      <c r="B144" s="2958">
        <v>264</v>
      </c>
      <c r="C144" s="2958" t="s">
        <v>3057</v>
      </c>
      <c r="D144" s="2958" t="s">
        <v>3058</v>
      </c>
      <c r="E144" s="2959">
        <v>4</v>
      </c>
      <c r="F144" s="2960">
        <v>2</v>
      </c>
      <c r="G144" s="2959">
        <v>504</v>
      </c>
      <c r="H144" s="2959" t="s">
        <v>3055</v>
      </c>
      <c r="I144" s="2960">
        <v>155.62</v>
      </c>
      <c r="J144" s="2960">
        <v>155.62</v>
      </c>
      <c r="K144" s="2960">
        <v>0</v>
      </c>
      <c r="L144" s="2960">
        <v>0</v>
      </c>
      <c r="M144" s="2961"/>
      <c r="N144" s="2961"/>
    </row>
    <row r="145" spans="2:14" ht="14.25">
      <c r="B145" s="2958">
        <v>265</v>
      </c>
      <c r="C145" s="2958" t="s">
        <v>3057</v>
      </c>
      <c r="D145" s="2958" t="s">
        <v>3058</v>
      </c>
      <c r="E145" s="2959">
        <v>4</v>
      </c>
      <c r="F145" s="2960">
        <v>2</v>
      </c>
      <c r="G145" s="2959">
        <v>603</v>
      </c>
      <c r="H145" s="2959" t="s">
        <v>3055</v>
      </c>
      <c r="I145" s="2960">
        <v>155.62</v>
      </c>
      <c r="J145" s="2960">
        <v>155.62</v>
      </c>
      <c r="K145" s="2960">
        <v>0</v>
      </c>
      <c r="L145" s="2960">
        <v>0</v>
      </c>
      <c r="M145" s="2961"/>
      <c r="N145" s="2961"/>
    </row>
    <row r="146" spans="2:14" ht="14.25">
      <c r="B146" s="2958">
        <v>266</v>
      </c>
      <c r="C146" s="2958" t="s">
        <v>3057</v>
      </c>
      <c r="D146" s="2958" t="s">
        <v>3058</v>
      </c>
      <c r="E146" s="2959">
        <v>4</v>
      </c>
      <c r="F146" s="2960">
        <v>2</v>
      </c>
      <c r="G146" s="2959">
        <v>604</v>
      </c>
      <c r="H146" s="2959" t="s">
        <v>3055</v>
      </c>
      <c r="I146" s="2960">
        <v>155.62</v>
      </c>
      <c r="J146" s="2960">
        <v>155.62</v>
      </c>
      <c r="K146" s="2960">
        <v>0</v>
      </c>
      <c r="L146" s="2960">
        <v>0</v>
      </c>
      <c r="M146" s="2961"/>
      <c r="N146" s="2961"/>
    </row>
    <row r="147" spans="2:14" ht="14.25">
      <c r="B147" s="2958">
        <v>267</v>
      </c>
      <c r="C147" s="2958" t="s">
        <v>3057</v>
      </c>
      <c r="D147" s="2958" t="s">
        <v>3058</v>
      </c>
      <c r="E147" s="2959">
        <v>4</v>
      </c>
      <c r="F147" s="2960">
        <v>2</v>
      </c>
      <c r="G147" s="2959">
        <v>703</v>
      </c>
      <c r="H147" s="2959" t="s">
        <v>3055</v>
      </c>
      <c r="I147" s="2960">
        <v>155.62</v>
      </c>
      <c r="J147" s="2960">
        <v>155.62</v>
      </c>
      <c r="K147" s="2960">
        <v>0</v>
      </c>
      <c r="L147" s="2960">
        <v>0</v>
      </c>
      <c r="M147" s="2961"/>
      <c r="N147" s="2961"/>
    </row>
    <row r="148" spans="2:14" ht="14.25">
      <c r="B148" s="2958">
        <v>268</v>
      </c>
      <c r="C148" s="2958" t="s">
        <v>3057</v>
      </c>
      <c r="D148" s="2958" t="s">
        <v>3058</v>
      </c>
      <c r="E148" s="2959">
        <v>4</v>
      </c>
      <c r="F148" s="2960">
        <v>2</v>
      </c>
      <c r="G148" s="2959">
        <v>704</v>
      </c>
      <c r="H148" s="2959" t="s">
        <v>3055</v>
      </c>
      <c r="I148" s="2960">
        <v>155.62</v>
      </c>
      <c r="J148" s="2960">
        <v>155.62</v>
      </c>
      <c r="K148" s="2960">
        <v>0</v>
      </c>
      <c r="L148" s="2960">
        <v>0</v>
      </c>
      <c r="M148" s="2961"/>
      <c r="N148" s="2961"/>
    </row>
    <row r="149" spans="2:14" ht="14.25">
      <c r="B149" s="2958">
        <v>269</v>
      </c>
      <c r="C149" s="2958" t="s">
        <v>3057</v>
      </c>
      <c r="D149" s="2958" t="s">
        <v>3058</v>
      </c>
      <c r="E149" s="2959">
        <v>4</v>
      </c>
      <c r="F149" s="2960">
        <v>2</v>
      </c>
      <c r="G149" s="2959">
        <v>803</v>
      </c>
      <c r="H149" s="2959" t="s">
        <v>3055</v>
      </c>
      <c r="I149" s="2960">
        <v>155.62</v>
      </c>
      <c r="J149" s="2960">
        <v>155.62</v>
      </c>
      <c r="K149" s="2960">
        <v>0</v>
      </c>
      <c r="L149" s="2960">
        <v>0</v>
      </c>
      <c r="M149" s="2961"/>
      <c r="N149" s="2961"/>
    </row>
    <row r="150" spans="2:14" ht="14.25">
      <c r="B150" s="2958">
        <v>270</v>
      </c>
      <c r="C150" s="2958" t="s">
        <v>3057</v>
      </c>
      <c r="D150" s="2958" t="s">
        <v>3058</v>
      </c>
      <c r="E150" s="2959">
        <v>4</v>
      </c>
      <c r="F150" s="2960">
        <v>2</v>
      </c>
      <c r="G150" s="2959">
        <v>804</v>
      </c>
      <c r="H150" s="2959" t="s">
        <v>3055</v>
      </c>
      <c r="I150" s="2960">
        <v>155.62</v>
      </c>
      <c r="J150" s="2960">
        <v>155.62</v>
      </c>
      <c r="K150" s="2960">
        <v>0</v>
      </c>
      <c r="L150" s="2960">
        <v>0</v>
      </c>
      <c r="M150" s="2961"/>
      <c r="N150" s="2961"/>
    </row>
    <row r="151" spans="2:14" ht="14.25">
      <c r="B151" s="2958">
        <v>271</v>
      </c>
      <c r="C151" s="2958" t="s">
        <v>3057</v>
      </c>
      <c r="D151" s="2958" t="s">
        <v>3058</v>
      </c>
      <c r="E151" s="2959">
        <v>4</v>
      </c>
      <c r="F151" s="2960">
        <v>2</v>
      </c>
      <c r="G151" s="2959">
        <v>903</v>
      </c>
      <c r="H151" s="2959" t="s">
        <v>3055</v>
      </c>
      <c r="I151" s="2960">
        <v>155.62</v>
      </c>
      <c r="J151" s="2960">
        <v>155.62</v>
      </c>
      <c r="K151" s="2960">
        <v>0</v>
      </c>
      <c r="L151" s="2960">
        <v>0</v>
      </c>
      <c r="M151" s="2961"/>
      <c r="N151" s="2961"/>
    </row>
    <row r="152" spans="2:14" ht="14.25">
      <c r="B152" s="2958">
        <v>272</v>
      </c>
      <c r="C152" s="2958" t="s">
        <v>3057</v>
      </c>
      <c r="D152" s="2958" t="s">
        <v>3058</v>
      </c>
      <c r="E152" s="2959">
        <v>4</v>
      </c>
      <c r="F152" s="2960">
        <v>2</v>
      </c>
      <c r="G152" s="2959">
        <v>904</v>
      </c>
      <c r="H152" s="2959" t="s">
        <v>3055</v>
      </c>
      <c r="I152" s="2960">
        <v>155.62</v>
      </c>
      <c r="J152" s="2960">
        <v>155.62</v>
      </c>
      <c r="K152" s="2960">
        <v>0</v>
      </c>
      <c r="L152" s="2960">
        <v>0</v>
      </c>
      <c r="M152" s="2961"/>
      <c r="N152" s="2961"/>
    </row>
    <row r="153" spans="2:14" ht="14.25">
      <c r="B153" s="2958">
        <v>273</v>
      </c>
      <c r="C153" s="2958" t="s">
        <v>3057</v>
      </c>
      <c r="D153" s="2958" t="s">
        <v>3058</v>
      </c>
      <c r="E153" s="2959">
        <v>4</v>
      </c>
      <c r="F153" s="2960">
        <v>2</v>
      </c>
      <c r="G153" s="2959">
        <v>1003</v>
      </c>
      <c r="H153" s="2959" t="s">
        <v>3055</v>
      </c>
      <c r="I153" s="2960">
        <v>155.62</v>
      </c>
      <c r="J153" s="2960">
        <v>155.62</v>
      </c>
      <c r="K153" s="2960">
        <v>0</v>
      </c>
      <c r="L153" s="2960">
        <v>0</v>
      </c>
      <c r="M153" s="2961"/>
      <c r="N153" s="2961"/>
    </row>
    <row r="154" spans="2:14" ht="14.25">
      <c r="B154" s="2958">
        <v>274</v>
      </c>
      <c r="C154" s="2958" t="s">
        <v>3057</v>
      </c>
      <c r="D154" s="2958" t="s">
        <v>3058</v>
      </c>
      <c r="E154" s="2959">
        <v>4</v>
      </c>
      <c r="F154" s="2960">
        <v>2</v>
      </c>
      <c r="G154" s="2959">
        <v>1004</v>
      </c>
      <c r="H154" s="2959" t="s">
        <v>3055</v>
      </c>
      <c r="I154" s="2960">
        <v>155.62</v>
      </c>
      <c r="J154" s="2960">
        <v>155.62</v>
      </c>
      <c r="K154" s="2960">
        <v>0</v>
      </c>
      <c r="L154" s="2960">
        <v>0</v>
      </c>
      <c r="M154" s="2961"/>
      <c r="N154" s="2961"/>
    </row>
    <row r="155" spans="2:14" ht="14.25">
      <c r="B155" s="2958">
        <v>275</v>
      </c>
      <c r="C155" s="2958" t="s">
        <v>3057</v>
      </c>
      <c r="D155" s="2958" t="s">
        <v>3058</v>
      </c>
      <c r="E155" s="2959">
        <v>4</v>
      </c>
      <c r="F155" s="2960">
        <v>2</v>
      </c>
      <c r="G155" s="2959">
        <v>1103</v>
      </c>
      <c r="H155" s="2959" t="s">
        <v>3055</v>
      </c>
      <c r="I155" s="2960">
        <v>229.96</v>
      </c>
      <c r="J155" s="2960">
        <v>155.62</v>
      </c>
      <c r="K155" s="2960">
        <v>74.34</v>
      </c>
      <c r="L155" s="2960">
        <v>0</v>
      </c>
      <c r="M155" s="2961"/>
      <c r="N155" s="2961"/>
    </row>
    <row r="156" spans="2:14" ht="14.25">
      <c r="B156" s="2958">
        <v>276</v>
      </c>
      <c r="C156" s="2958" t="s">
        <v>3057</v>
      </c>
      <c r="D156" s="2958" t="s">
        <v>3058</v>
      </c>
      <c r="E156" s="2959">
        <v>4</v>
      </c>
      <c r="F156" s="2960">
        <v>2</v>
      </c>
      <c r="G156" s="2959">
        <v>1104</v>
      </c>
      <c r="H156" s="2959" t="s">
        <v>3055</v>
      </c>
      <c r="I156" s="2960">
        <v>213.81</v>
      </c>
      <c r="J156" s="2960">
        <v>155.62</v>
      </c>
      <c r="K156" s="2960">
        <v>58.19</v>
      </c>
      <c r="L156" s="2960">
        <v>0</v>
      </c>
      <c r="M156" s="2961"/>
      <c r="N156" s="2961"/>
    </row>
    <row r="157" spans="2:14" ht="14.25">
      <c r="B157" s="2958">
        <v>277</v>
      </c>
      <c r="C157" s="2958" t="s">
        <v>3057</v>
      </c>
      <c r="D157" s="2958" t="s">
        <v>3058</v>
      </c>
      <c r="E157" s="2959">
        <v>5</v>
      </c>
      <c r="F157" s="2960">
        <v>1</v>
      </c>
      <c r="G157" s="2959">
        <v>101</v>
      </c>
      <c r="H157" s="2959" t="s">
        <v>3055</v>
      </c>
      <c r="I157" s="2960">
        <v>411.69</v>
      </c>
      <c r="J157" s="2960">
        <v>143.26</v>
      </c>
      <c r="K157" s="2960">
        <v>0</v>
      </c>
      <c r="L157" s="2960">
        <f>159.1+109.33</f>
        <v>268.43</v>
      </c>
      <c r="M157" s="2961">
        <v>54.75</v>
      </c>
      <c r="N157" s="2961">
        <v>0</v>
      </c>
    </row>
    <row r="158" spans="2:14" ht="14.25">
      <c r="B158" s="2958">
        <v>278</v>
      </c>
      <c r="C158" s="2958" t="s">
        <v>3057</v>
      </c>
      <c r="D158" s="2958" t="s">
        <v>3058</v>
      </c>
      <c r="E158" s="2959">
        <v>5</v>
      </c>
      <c r="F158" s="2960">
        <v>1</v>
      </c>
      <c r="G158" s="2959">
        <v>102</v>
      </c>
      <c r="H158" s="2959" t="s">
        <v>3055</v>
      </c>
      <c r="I158" s="2960">
        <v>411.69</v>
      </c>
      <c r="J158" s="2960">
        <v>143.26</v>
      </c>
      <c r="K158" s="2960">
        <v>0</v>
      </c>
      <c r="L158" s="2960">
        <f>159.1+109.33</f>
        <v>268.43</v>
      </c>
      <c r="M158" s="2961"/>
      <c r="N158" s="2961"/>
    </row>
    <row r="159" spans="2:14" ht="14.25">
      <c r="B159" s="2958">
        <v>279</v>
      </c>
      <c r="C159" s="2958" t="s">
        <v>3057</v>
      </c>
      <c r="D159" s="2958" t="s">
        <v>3058</v>
      </c>
      <c r="E159" s="2959">
        <v>5</v>
      </c>
      <c r="F159" s="2960">
        <v>1</v>
      </c>
      <c r="G159" s="2959">
        <v>201</v>
      </c>
      <c r="H159" s="2959" t="s">
        <v>3055</v>
      </c>
      <c r="I159" s="2960">
        <v>312.44</v>
      </c>
      <c r="J159" s="2960">
        <v>162.47999999999999</v>
      </c>
      <c r="K159" s="2960">
        <v>0</v>
      </c>
      <c r="L159" s="2960">
        <f>90.22+59.74</f>
        <v>149.96</v>
      </c>
      <c r="M159" s="2961"/>
      <c r="N159" s="2961"/>
    </row>
    <row r="160" spans="2:14" ht="14.25">
      <c r="B160" s="2958">
        <v>280</v>
      </c>
      <c r="C160" s="2958" t="s">
        <v>3057</v>
      </c>
      <c r="D160" s="2958" t="s">
        <v>3058</v>
      </c>
      <c r="E160" s="2959">
        <v>5</v>
      </c>
      <c r="F160" s="2960">
        <v>1</v>
      </c>
      <c r="G160" s="2959">
        <v>202</v>
      </c>
      <c r="H160" s="2959" t="s">
        <v>3055</v>
      </c>
      <c r="I160" s="2960">
        <v>295.89999999999998</v>
      </c>
      <c r="J160" s="2960">
        <v>162.47999999999999</v>
      </c>
      <c r="K160" s="2960">
        <v>0</v>
      </c>
      <c r="L160" s="2960">
        <f>90.22+43.2</f>
        <v>133.42000000000002</v>
      </c>
      <c r="M160" s="2961"/>
      <c r="N160" s="2961"/>
    </row>
    <row r="161" spans="2:14" ht="14.25">
      <c r="B161" s="2958">
        <v>281</v>
      </c>
      <c r="C161" s="2958" t="s">
        <v>3057</v>
      </c>
      <c r="D161" s="2958" t="s">
        <v>3058</v>
      </c>
      <c r="E161" s="2959">
        <v>5</v>
      </c>
      <c r="F161" s="2960">
        <v>1</v>
      </c>
      <c r="G161" s="2959">
        <v>301</v>
      </c>
      <c r="H161" s="2959" t="s">
        <v>3055</v>
      </c>
      <c r="I161" s="2960">
        <v>155.93</v>
      </c>
      <c r="J161" s="2960">
        <v>155.93</v>
      </c>
      <c r="K161" s="2960">
        <v>0</v>
      </c>
      <c r="L161" s="2960">
        <v>0</v>
      </c>
      <c r="M161" s="2961"/>
      <c r="N161" s="2961"/>
    </row>
    <row r="162" spans="2:14" ht="14.25">
      <c r="B162" s="2958">
        <v>282</v>
      </c>
      <c r="C162" s="2958" t="s">
        <v>3057</v>
      </c>
      <c r="D162" s="2958" t="s">
        <v>3058</v>
      </c>
      <c r="E162" s="2959">
        <v>5</v>
      </c>
      <c r="F162" s="2960">
        <v>1</v>
      </c>
      <c r="G162" s="2959">
        <v>302</v>
      </c>
      <c r="H162" s="2959" t="s">
        <v>3055</v>
      </c>
      <c r="I162" s="2960">
        <v>155.93</v>
      </c>
      <c r="J162" s="2960">
        <v>155.93</v>
      </c>
      <c r="K162" s="2960">
        <v>0</v>
      </c>
      <c r="L162" s="2960">
        <v>0</v>
      </c>
      <c r="M162" s="2961"/>
      <c r="N162" s="2961"/>
    </row>
    <row r="163" spans="2:14" ht="14.25">
      <c r="B163" s="2958">
        <v>283</v>
      </c>
      <c r="C163" s="2958" t="s">
        <v>3057</v>
      </c>
      <c r="D163" s="2958" t="s">
        <v>3058</v>
      </c>
      <c r="E163" s="2959">
        <v>5</v>
      </c>
      <c r="F163" s="2960">
        <v>1</v>
      </c>
      <c r="G163" s="2959">
        <v>401</v>
      </c>
      <c r="H163" s="2959" t="s">
        <v>3055</v>
      </c>
      <c r="I163" s="2960">
        <v>155.93</v>
      </c>
      <c r="J163" s="2960">
        <v>155.93</v>
      </c>
      <c r="K163" s="2960">
        <v>0</v>
      </c>
      <c r="L163" s="2960">
        <v>0</v>
      </c>
      <c r="M163" s="2961"/>
      <c r="N163" s="2961"/>
    </row>
    <row r="164" spans="2:14" ht="14.25">
      <c r="B164" s="2958">
        <v>284</v>
      </c>
      <c r="C164" s="2958" t="s">
        <v>3057</v>
      </c>
      <c r="D164" s="2958" t="s">
        <v>3058</v>
      </c>
      <c r="E164" s="2959">
        <v>5</v>
      </c>
      <c r="F164" s="2960">
        <v>1</v>
      </c>
      <c r="G164" s="2959">
        <v>402</v>
      </c>
      <c r="H164" s="2959" t="s">
        <v>3055</v>
      </c>
      <c r="I164" s="2960">
        <v>155.93</v>
      </c>
      <c r="J164" s="2960">
        <v>155.93</v>
      </c>
      <c r="K164" s="2960">
        <v>0</v>
      </c>
      <c r="L164" s="2960">
        <v>0</v>
      </c>
      <c r="M164" s="2961"/>
      <c r="N164" s="2961"/>
    </row>
    <row r="165" spans="2:14" ht="14.25">
      <c r="B165" s="2958">
        <v>285</v>
      </c>
      <c r="C165" s="2958" t="s">
        <v>3057</v>
      </c>
      <c r="D165" s="2958" t="s">
        <v>3058</v>
      </c>
      <c r="E165" s="2959">
        <v>5</v>
      </c>
      <c r="F165" s="2960">
        <v>1</v>
      </c>
      <c r="G165" s="2959">
        <v>501</v>
      </c>
      <c r="H165" s="2959" t="s">
        <v>3055</v>
      </c>
      <c r="I165" s="2960">
        <v>155.93</v>
      </c>
      <c r="J165" s="2960">
        <v>155.93</v>
      </c>
      <c r="K165" s="2960">
        <v>0</v>
      </c>
      <c r="L165" s="2960">
        <v>0</v>
      </c>
      <c r="M165" s="2961"/>
      <c r="N165" s="2961"/>
    </row>
    <row r="166" spans="2:14" ht="14.25">
      <c r="B166" s="2958">
        <v>286</v>
      </c>
      <c r="C166" s="2958" t="s">
        <v>3057</v>
      </c>
      <c r="D166" s="2958" t="s">
        <v>3058</v>
      </c>
      <c r="E166" s="2959">
        <v>5</v>
      </c>
      <c r="F166" s="2960">
        <v>1</v>
      </c>
      <c r="G166" s="2959">
        <v>502</v>
      </c>
      <c r="H166" s="2959" t="s">
        <v>3055</v>
      </c>
      <c r="I166" s="2960">
        <v>155.93</v>
      </c>
      <c r="J166" s="2960">
        <v>155.93</v>
      </c>
      <c r="K166" s="2960">
        <v>0</v>
      </c>
      <c r="L166" s="2960">
        <v>0</v>
      </c>
      <c r="M166" s="2961"/>
      <c r="N166" s="2961"/>
    </row>
    <row r="167" spans="2:14" ht="14.25">
      <c r="B167" s="2958">
        <v>287</v>
      </c>
      <c r="C167" s="2958" t="s">
        <v>3057</v>
      </c>
      <c r="D167" s="2958" t="s">
        <v>3058</v>
      </c>
      <c r="E167" s="2959">
        <v>5</v>
      </c>
      <c r="F167" s="2960">
        <v>1</v>
      </c>
      <c r="G167" s="2959">
        <v>601</v>
      </c>
      <c r="H167" s="2959" t="s">
        <v>3055</v>
      </c>
      <c r="I167" s="2960">
        <v>155.93</v>
      </c>
      <c r="J167" s="2960">
        <v>155.93</v>
      </c>
      <c r="K167" s="2960">
        <v>0</v>
      </c>
      <c r="L167" s="2960">
        <v>0</v>
      </c>
      <c r="M167" s="2961"/>
      <c r="N167" s="2961"/>
    </row>
    <row r="168" spans="2:14" ht="14.25">
      <c r="B168" s="2958">
        <v>288</v>
      </c>
      <c r="C168" s="2958" t="s">
        <v>3057</v>
      </c>
      <c r="D168" s="2958" t="s">
        <v>3058</v>
      </c>
      <c r="E168" s="2959">
        <v>5</v>
      </c>
      <c r="F168" s="2960">
        <v>1</v>
      </c>
      <c r="G168" s="2959">
        <v>602</v>
      </c>
      <c r="H168" s="2959" t="s">
        <v>3055</v>
      </c>
      <c r="I168" s="2960">
        <v>155.93</v>
      </c>
      <c r="J168" s="2960">
        <v>155.93</v>
      </c>
      <c r="K168" s="2960">
        <v>0</v>
      </c>
      <c r="L168" s="2960">
        <v>0</v>
      </c>
      <c r="M168" s="2961"/>
      <c r="N168" s="2961"/>
    </row>
    <row r="169" spans="2:14" ht="14.25">
      <c r="B169" s="2958">
        <v>289</v>
      </c>
      <c r="C169" s="2958" t="s">
        <v>3057</v>
      </c>
      <c r="D169" s="2958" t="s">
        <v>3058</v>
      </c>
      <c r="E169" s="2959">
        <v>5</v>
      </c>
      <c r="F169" s="2960">
        <v>1</v>
      </c>
      <c r="G169" s="2959">
        <v>701</v>
      </c>
      <c r="H169" s="2959" t="s">
        <v>3055</v>
      </c>
      <c r="I169" s="2960">
        <v>155.93</v>
      </c>
      <c r="J169" s="2960">
        <v>155.93</v>
      </c>
      <c r="K169" s="2960">
        <v>0</v>
      </c>
      <c r="L169" s="2960">
        <v>0</v>
      </c>
      <c r="M169" s="2961"/>
      <c r="N169" s="2961"/>
    </row>
    <row r="170" spans="2:14" ht="14.25">
      <c r="B170" s="2958">
        <v>290</v>
      </c>
      <c r="C170" s="2958" t="s">
        <v>3057</v>
      </c>
      <c r="D170" s="2958" t="s">
        <v>3058</v>
      </c>
      <c r="E170" s="2959">
        <v>5</v>
      </c>
      <c r="F170" s="2960">
        <v>1</v>
      </c>
      <c r="G170" s="2959">
        <v>702</v>
      </c>
      <c r="H170" s="2959" t="s">
        <v>3055</v>
      </c>
      <c r="I170" s="2960">
        <v>155.93</v>
      </c>
      <c r="J170" s="2960">
        <v>155.93</v>
      </c>
      <c r="K170" s="2960">
        <v>0</v>
      </c>
      <c r="L170" s="2960">
        <v>0</v>
      </c>
      <c r="M170" s="2961"/>
      <c r="N170" s="2961"/>
    </row>
    <row r="171" spans="2:14" ht="14.25">
      <c r="B171" s="2958">
        <v>291</v>
      </c>
      <c r="C171" s="2958" t="s">
        <v>3057</v>
      </c>
      <c r="D171" s="2958" t="s">
        <v>3058</v>
      </c>
      <c r="E171" s="2959">
        <v>5</v>
      </c>
      <c r="F171" s="2960">
        <v>1</v>
      </c>
      <c r="G171" s="2959">
        <v>801</v>
      </c>
      <c r="H171" s="2959" t="s">
        <v>3055</v>
      </c>
      <c r="I171" s="2960">
        <v>155.93</v>
      </c>
      <c r="J171" s="2960">
        <v>155.93</v>
      </c>
      <c r="K171" s="2960">
        <v>0</v>
      </c>
      <c r="L171" s="2960">
        <v>0</v>
      </c>
      <c r="M171" s="2961"/>
      <c r="N171" s="2961"/>
    </row>
    <row r="172" spans="2:14" ht="14.25">
      <c r="B172" s="2958">
        <v>292</v>
      </c>
      <c r="C172" s="2958" t="s">
        <v>3057</v>
      </c>
      <c r="D172" s="2958" t="s">
        <v>3058</v>
      </c>
      <c r="E172" s="2959">
        <v>5</v>
      </c>
      <c r="F172" s="2960">
        <v>1</v>
      </c>
      <c r="G172" s="2959">
        <v>802</v>
      </c>
      <c r="H172" s="2959" t="s">
        <v>3055</v>
      </c>
      <c r="I172" s="2960">
        <v>155.93</v>
      </c>
      <c r="J172" s="2960">
        <v>155.93</v>
      </c>
      <c r="K172" s="2960">
        <v>0</v>
      </c>
      <c r="L172" s="2960">
        <v>0</v>
      </c>
      <c r="M172" s="2961"/>
      <c r="N172" s="2961"/>
    </row>
    <row r="173" spans="2:14" ht="14.25">
      <c r="B173" s="2958">
        <v>293</v>
      </c>
      <c r="C173" s="2958" t="s">
        <v>3057</v>
      </c>
      <c r="D173" s="2958" t="s">
        <v>3058</v>
      </c>
      <c r="E173" s="2959">
        <v>5</v>
      </c>
      <c r="F173" s="2960">
        <v>1</v>
      </c>
      <c r="G173" s="2959">
        <v>901</v>
      </c>
      <c r="H173" s="2959" t="s">
        <v>3055</v>
      </c>
      <c r="I173" s="2960">
        <v>155.93</v>
      </c>
      <c r="J173" s="2960">
        <v>155.93</v>
      </c>
      <c r="K173" s="2960">
        <v>0</v>
      </c>
      <c r="L173" s="2960">
        <v>0</v>
      </c>
      <c r="M173" s="2961"/>
      <c r="N173" s="2961"/>
    </row>
    <row r="174" spans="2:14" ht="14.25">
      <c r="B174" s="2958">
        <v>294</v>
      </c>
      <c r="C174" s="2958" t="s">
        <v>3057</v>
      </c>
      <c r="D174" s="2958" t="s">
        <v>3058</v>
      </c>
      <c r="E174" s="2959">
        <v>5</v>
      </c>
      <c r="F174" s="2960">
        <v>1</v>
      </c>
      <c r="G174" s="2959">
        <v>902</v>
      </c>
      <c r="H174" s="2959" t="s">
        <v>3055</v>
      </c>
      <c r="I174" s="2960">
        <v>155.93</v>
      </c>
      <c r="J174" s="2960">
        <v>155.93</v>
      </c>
      <c r="K174" s="2960">
        <v>0</v>
      </c>
      <c r="L174" s="2960">
        <v>0</v>
      </c>
      <c r="M174" s="2961"/>
      <c r="N174" s="2961"/>
    </row>
    <row r="175" spans="2:14" ht="14.25">
      <c r="B175" s="2958">
        <v>295</v>
      </c>
      <c r="C175" s="2958" t="s">
        <v>3057</v>
      </c>
      <c r="D175" s="2958" t="s">
        <v>3058</v>
      </c>
      <c r="E175" s="2959">
        <v>5</v>
      </c>
      <c r="F175" s="2960">
        <v>1</v>
      </c>
      <c r="G175" s="2959">
        <v>1001</v>
      </c>
      <c r="H175" s="2959" t="s">
        <v>3055</v>
      </c>
      <c r="I175" s="2960">
        <v>155.93</v>
      </c>
      <c r="J175" s="2960">
        <v>155.93</v>
      </c>
      <c r="K175" s="2960">
        <v>0</v>
      </c>
      <c r="L175" s="2960">
        <v>0</v>
      </c>
      <c r="M175" s="2961"/>
      <c r="N175" s="2961"/>
    </row>
    <row r="176" spans="2:14" ht="14.25">
      <c r="B176" s="2958">
        <v>296</v>
      </c>
      <c r="C176" s="2958" t="s">
        <v>3057</v>
      </c>
      <c r="D176" s="2958" t="s">
        <v>3058</v>
      </c>
      <c r="E176" s="2959">
        <v>5</v>
      </c>
      <c r="F176" s="2960">
        <v>1</v>
      </c>
      <c r="G176" s="2959">
        <v>1002</v>
      </c>
      <c r="H176" s="2959" t="s">
        <v>3055</v>
      </c>
      <c r="I176" s="2960">
        <v>155.93</v>
      </c>
      <c r="J176" s="2960">
        <v>155.93</v>
      </c>
      <c r="K176" s="2960">
        <v>0</v>
      </c>
      <c r="L176" s="2960">
        <v>0</v>
      </c>
      <c r="M176" s="2961"/>
      <c r="N176" s="2961"/>
    </row>
    <row r="177" spans="2:14" ht="14.25">
      <c r="B177" s="2958">
        <v>297</v>
      </c>
      <c r="C177" s="2958" t="s">
        <v>3057</v>
      </c>
      <c r="D177" s="2958" t="s">
        <v>3058</v>
      </c>
      <c r="E177" s="2959">
        <v>5</v>
      </c>
      <c r="F177" s="2960">
        <v>1</v>
      </c>
      <c r="G177" s="2959">
        <v>1101</v>
      </c>
      <c r="H177" s="2959" t="s">
        <v>3055</v>
      </c>
      <c r="I177" s="2960">
        <v>214.22</v>
      </c>
      <c r="J177" s="2960">
        <v>155.93</v>
      </c>
      <c r="K177" s="2960">
        <v>58.29</v>
      </c>
      <c r="L177" s="2960">
        <v>0</v>
      </c>
      <c r="M177" s="2961"/>
      <c r="N177" s="2961"/>
    </row>
    <row r="178" spans="2:14" ht="14.25">
      <c r="B178" s="2958">
        <v>298</v>
      </c>
      <c r="C178" s="2958" t="s">
        <v>3057</v>
      </c>
      <c r="D178" s="2958" t="s">
        <v>3058</v>
      </c>
      <c r="E178" s="2959">
        <v>5</v>
      </c>
      <c r="F178" s="2960">
        <v>1</v>
      </c>
      <c r="G178" s="2959">
        <v>1102</v>
      </c>
      <c r="H178" s="2959" t="s">
        <v>3055</v>
      </c>
      <c r="I178" s="2960">
        <v>214.22</v>
      </c>
      <c r="J178" s="2960">
        <v>155.93</v>
      </c>
      <c r="K178" s="2960">
        <v>58.29</v>
      </c>
      <c r="L178" s="2960">
        <v>0</v>
      </c>
      <c r="M178" s="2961"/>
      <c r="N178" s="2961"/>
    </row>
    <row r="179" spans="2:14" ht="14.25">
      <c r="B179" s="2958">
        <v>299</v>
      </c>
      <c r="C179" s="2958" t="s">
        <v>3057</v>
      </c>
      <c r="D179" s="2958" t="s">
        <v>3058</v>
      </c>
      <c r="E179" s="2959">
        <v>6</v>
      </c>
      <c r="F179" s="2960">
        <v>1</v>
      </c>
      <c r="G179" s="2959">
        <v>101</v>
      </c>
      <c r="H179" s="2959" t="s">
        <v>3055</v>
      </c>
      <c r="I179" s="2960">
        <v>410.55</v>
      </c>
      <c r="J179" s="2960">
        <v>143.28</v>
      </c>
      <c r="K179" s="2960">
        <v>0</v>
      </c>
      <c r="L179" s="2960">
        <f>158.56+108.71</f>
        <v>267.27</v>
      </c>
      <c r="M179" s="2961">
        <v>72.959999999999994</v>
      </c>
      <c r="N179" s="2961">
        <v>0</v>
      </c>
    </row>
    <row r="180" spans="2:14" ht="14.25">
      <c r="B180" s="2958">
        <v>300</v>
      </c>
      <c r="C180" s="2958" t="s">
        <v>3057</v>
      </c>
      <c r="D180" s="2958" t="s">
        <v>3058</v>
      </c>
      <c r="E180" s="2959">
        <v>6</v>
      </c>
      <c r="F180" s="2960">
        <v>1</v>
      </c>
      <c r="G180" s="2959">
        <v>102</v>
      </c>
      <c r="H180" s="2959" t="s">
        <v>3055</v>
      </c>
      <c r="I180" s="2960">
        <v>410.55</v>
      </c>
      <c r="J180" s="2960">
        <v>143.28</v>
      </c>
      <c r="K180" s="2960">
        <v>0</v>
      </c>
      <c r="L180" s="2960">
        <f>158.56+108.71</f>
        <v>267.27</v>
      </c>
      <c r="M180" s="2961"/>
      <c r="N180" s="2961"/>
    </row>
    <row r="181" spans="2:14" ht="14.25">
      <c r="B181" s="2958">
        <v>301</v>
      </c>
      <c r="C181" s="2958" t="s">
        <v>3057</v>
      </c>
      <c r="D181" s="2958" t="s">
        <v>3058</v>
      </c>
      <c r="E181" s="2959">
        <v>6</v>
      </c>
      <c r="F181" s="2960">
        <v>1</v>
      </c>
      <c r="G181" s="2959">
        <v>201</v>
      </c>
      <c r="H181" s="2959" t="s">
        <v>3055</v>
      </c>
      <c r="I181" s="2960">
        <v>318.85000000000002</v>
      </c>
      <c r="J181" s="2960">
        <v>162.5</v>
      </c>
      <c r="K181" s="2960">
        <v>0</v>
      </c>
      <c r="L181" s="2960">
        <f>89.91+66.44</f>
        <v>156.35</v>
      </c>
      <c r="M181" s="2961"/>
      <c r="N181" s="2961"/>
    </row>
    <row r="182" spans="2:14" ht="14.25">
      <c r="B182" s="2958">
        <v>302</v>
      </c>
      <c r="C182" s="2958" t="s">
        <v>3057</v>
      </c>
      <c r="D182" s="2958" t="s">
        <v>3058</v>
      </c>
      <c r="E182" s="2959">
        <v>6</v>
      </c>
      <c r="F182" s="2960">
        <v>1</v>
      </c>
      <c r="G182" s="2959">
        <v>202</v>
      </c>
      <c r="H182" s="2959" t="s">
        <v>3055</v>
      </c>
      <c r="I182" s="2960">
        <v>318.61</v>
      </c>
      <c r="J182" s="2960">
        <v>162.5</v>
      </c>
      <c r="K182" s="2960">
        <v>0</v>
      </c>
      <c r="L182" s="2960">
        <f>89.91+66.2</f>
        <v>156.11000000000001</v>
      </c>
      <c r="M182" s="2961"/>
      <c r="N182" s="2961"/>
    </row>
    <row r="183" spans="2:14" ht="14.25">
      <c r="B183" s="2958">
        <v>303</v>
      </c>
      <c r="C183" s="2958" t="s">
        <v>3057</v>
      </c>
      <c r="D183" s="2958" t="s">
        <v>3058</v>
      </c>
      <c r="E183" s="2959">
        <v>6</v>
      </c>
      <c r="F183" s="2960">
        <v>1</v>
      </c>
      <c r="G183" s="2959">
        <v>301</v>
      </c>
      <c r="H183" s="2959" t="s">
        <v>3055</v>
      </c>
      <c r="I183" s="2960">
        <v>155.94999999999999</v>
      </c>
      <c r="J183" s="2960">
        <v>155.94999999999999</v>
      </c>
      <c r="K183" s="2960">
        <v>0</v>
      </c>
      <c r="L183" s="2960">
        <v>0</v>
      </c>
      <c r="M183" s="2961"/>
      <c r="N183" s="2961"/>
    </row>
    <row r="184" spans="2:14" ht="14.25">
      <c r="B184" s="2958">
        <v>304</v>
      </c>
      <c r="C184" s="2958" t="s">
        <v>3057</v>
      </c>
      <c r="D184" s="2958" t="s">
        <v>3058</v>
      </c>
      <c r="E184" s="2959">
        <v>6</v>
      </c>
      <c r="F184" s="2960">
        <v>1</v>
      </c>
      <c r="G184" s="2959">
        <v>302</v>
      </c>
      <c r="H184" s="2959" t="s">
        <v>3055</v>
      </c>
      <c r="I184" s="2960">
        <v>155.94999999999999</v>
      </c>
      <c r="J184" s="2960">
        <v>155.94999999999999</v>
      </c>
      <c r="K184" s="2960">
        <v>0</v>
      </c>
      <c r="L184" s="2960">
        <v>0</v>
      </c>
      <c r="M184" s="2961"/>
      <c r="N184" s="2961"/>
    </row>
    <row r="185" spans="2:14" ht="14.25">
      <c r="B185" s="2958">
        <v>305</v>
      </c>
      <c r="C185" s="2958" t="s">
        <v>3057</v>
      </c>
      <c r="D185" s="2958" t="s">
        <v>3058</v>
      </c>
      <c r="E185" s="2959">
        <v>6</v>
      </c>
      <c r="F185" s="2960">
        <v>1</v>
      </c>
      <c r="G185" s="2959">
        <v>401</v>
      </c>
      <c r="H185" s="2959" t="s">
        <v>3055</v>
      </c>
      <c r="I185" s="2960">
        <v>155.94999999999999</v>
      </c>
      <c r="J185" s="2960">
        <v>155.94999999999999</v>
      </c>
      <c r="K185" s="2960">
        <v>0</v>
      </c>
      <c r="L185" s="2960">
        <v>0</v>
      </c>
      <c r="M185" s="2961"/>
      <c r="N185" s="2961"/>
    </row>
    <row r="186" spans="2:14" ht="14.25">
      <c r="B186" s="2958">
        <v>306</v>
      </c>
      <c r="C186" s="2958" t="s">
        <v>3057</v>
      </c>
      <c r="D186" s="2958" t="s">
        <v>3058</v>
      </c>
      <c r="E186" s="2959">
        <v>6</v>
      </c>
      <c r="F186" s="2960">
        <v>1</v>
      </c>
      <c r="G186" s="2959">
        <v>402</v>
      </c>
      <c r="H186" s="2959" t="s">
        <v>3055</v>
      </c>
      <c r="I186" s="2960">
        <v>155.94999999999999</v>
      </c>
      <c r="J186" s="2960">
        <v>155.94999999999999</v>
      </c>
      <c r="K186" s="2960">
        <v>0</v>
      </c>
      <c r="L186" s="2960">
        <v>0</v>
      </c>
      <c r="M186" s="2961"/>
      <c r="N186" s="2961"/>
    </row>
    <row r="187" spans="2:14" ht="14.25">
      <c r="B187" s="2958">
        <v>307</v>
      </c>
      <c r="C187" s="2958" t="s">
        <v>3057</v>
      </c>
      <c r="D187" s="2958" t="s">
        <v>3058</v>
      </c>
      <c r="E187" s="2959">
        <v>6</v>
      </c>
      <c r="F187" s="2960">
        <v>1</v>
      </c>
      <c r="G187" s="2959">
        <v>501</v>
      </c>
      <c r="H187" s="2959" t="s">
        <v>3055</v>
      </c>
      <c r="I187" s="2960">
        <v>155.94999999999999</v>
      </c>
      <c r="J187" s="2960">
        <v>155.94999999999999</v>
      </c>
      <c r="K187" s="2960">
        <v>0</v>
      </c>
      <c r="L187" s="2960">
        <v>0</v>
      </c>
      <c r="M187" s="2961"/>
      <c r="N187" s="2961"/>
    </row>
    <row r="188" spans="2:14" ht="14.25">
      <c r="B188" s="2958">
        <v>308</v>
      </c>
      <c r="C188" s="2958" t="s">
        <v>3057</v>
      </c>
      <c r="D188" s="2958" t="s">
        <v>3058</v>
      </c>
      <c r="E188" s="2959">
        <v>6</v>
      </c>
      <c r="F188" s="2960">
        <v>1</v>
      </c>
      <c r="G188" s="2959">
        <v>502</v>
      </c>
      <c r="H188" s="2959" t="s">
        <v>3055</v>
      </c>
      <c r="I188" s="2960">
        <v>155.94999999999999</v>
      </c>
      <c r="J188" s="2960">
        <v>155.94999999999999</v>
      </c>
      <c r="K188" s="2960">
        <v>0</v>
      </c>
      <c r="L188" s="2960">
        <v>0</v>
      </c>
      <c r="M188" s="2961"/>
      <c r="N188" s="2961"/>
    </row>
    <row r="189" spans="2:14" ht="14.25">
      <c r="B189" s="2958">
        <v>309</v>
      </c>
      <c r="C189" s="2958" t="s">
        <v>3057</v>
      </c>
      <c r="D189" s="2958" t="s">
        <v>3058</v>
      </c>
      <c r="E189" s="2959">
        <v>6</v>
      </c>
      <c r="F189" s="2960">
        <v>1</v>
      </c>
      <c r="G189" s="2959">
        <v>601</v>
      </c>
      <c r="H189" s="2959" t="s">
        <v>3055</v>
      </c>
      <c r="I189" s="2960">
        <v>155.94999999999999</v>
      </c>
      <c r="J189" s="2960">
        <v>155.94999999999999</v>
      </c>
      <c r="K189" s="2960">
        <v>0</v>
      </c>
      <c r="L189" s="2960">
        <v>0</v>
      </c>
      <c r="M189" s="2961"/>
      <c r="N189" s="2961"/>
    </row>
    <row r="190" spans="2:14" ht="14.25">
      <c r="B190" s="2958">
        <v>310</v>
      </c>
      <c r="C190" s="2958" t="s">
        <v>3057</v>
      </c>
      <c r="D190" s="2958" t="s">
        <v>3058</v>
      </c>
      <c r="E190" s="2959">
        <v>6</v>
      </c>
      <c r="F190" s="2960">
        <v>1</v>
      </c>
      <c r="G190" s="2959">
        <v>602</v>
      </c>
      <c r="H190" s="2959" t="s">
        <v>3055</v>
      </c>
      <c r="I190" s="2960">
        <v>155.94999999999999</v>
      </c>
      <c r="J190" s="2960">
        <v>155.94999999999999</v>
      </c>
      <c r="K190" s="2960">
        <v>0</v>
      </c>
      <c r="L190" s="2960">
        <v>0</v>
      </c>
      <c r="M190" s="2961"/>
      <c r="N190" s="2961"/>
    </row>
    <row r="191" spans="2:14" ht="14.25">
      <c r="B191" s="2958">
        <v>311</v>
      </c>
      <c r="C191" s="2958" t="s">
        <v>3057</v>
      </c>
      <c r="D191" s="2958" t="s">
        <v>3058</v>
      </c>
      <c r="E191" s="2959">
        <v>6</v>
      </c>
      <c r="F191" s="2960">
        <v>1</v>
      </c>
      <c r="G191" s="2959">
        <v>701</v>
      </c>
      <c r="H191" s="2959" t="s">
        <v>3055</v>
      </c>
      <c r="I191" s="2960">
        <v>155.94999999999999</v>
      </c>
      <c r="J191" s="2960">
        <v>155.94999999999999</v>
      </c>
      <c r="K191" s="2960">
        <v>0</v>
      </c>
      <c r="L191" s="2960">
        <v>0</v>
      </c>
      <c r="M191" s="2961"/>
      <c r="N191" s="2961"/>
    </row>
    <row r="192" spans="2:14" ht="14.25">
      <c r="B192" s="2958">
        <v>312</v>
      </c>
      <c r="C192" s="2958" t="s">
        <v>3057</v>
      </c>
      <c r="D192" s="2958" t="s">
        <v>3058</v>
      </c>
      <c r="E192" s="2965">
        <v>6</v>
      </c>
      <c r="F192" s="2960">
        <v>1</v>
      </c>
      <c r="G192" s="2959">
        <v>702</v>
      </c>
      <c r="H192" s="2959" t="s">
        <v>3055</v>
      </c>
      <c r="I192" s="2960">
        <v>155.94999999999999</v>
      </c>
      <c r="J192" s="2960">
        <v>155.94999999999999</v>
      </c>
      <c r="K192" s="2960">
        <v>0</v>
      </c>
      <c r="L192" s="2960">
        <v>0</v>
      </c>
      <c r="M192" s="2966"/>
      <c r="N192" s="2966"/>
    </row>
    <row r="193" spans="2:14" ht="14.25">
      <c r="B193" s="2958">
        <v>313</v>
      </c>
      <c r="C193" s="2958" t="s">
        <v>3057</v>
      </c>
      <c r="D193" s="2958" t="s">
        <v>3058</v>
      </c>
      <c r="E193" s="2959">
        <v>6</v>
      </c>
      <c r="F193" s="2960">
        <v>1</v>
      </c>
      <c r="G193" s="2959">
        <v>801</v>
      </c>
      <c r="H193" s="2959" t="s">
        <v>3055</v>
      </c>
      <c r="I193" s="2960">
        <v>155.94999999999999</v>
      </c>
      <c r="J193" s="2960">
        <v>155.94999999999999</v>
      </c>
      <c r="K193" s="2960">
        <v>0</v>
      </c>
      <c r="L193" s="2960">
        <v>0</v>
      </c>
      <c r="M193" s="2966"/>
      <c r="N193" s="2966"/>
    </row>
    <row r="194" spans="2:14" ht="14.25">
      <c r="B194" s="2958">
        <v>314</v>
      </c>
      <c r="C194" s="2958" t="s">
        <v>3057</v>
      </c>
      <c r="D194" s="2958" t="s">
        <v>3058</v>
      </c>
      <c r="E194" s="2965">
        <v>6</v>
      </c>
      <c r="F194" s="2960">
        <v>1</v>
      </c>
      <c r="G194" s="2959">
        <v>802</v>
      </c>
      <c r="H194" s="2959" t="s">
        <v>3055</v>
      </c>
      <c r="I194" s="2960">
        <v>155.94999999999999</v>
      </c>
      <c r="J194" s="2960">
        <v>155.94999999999999</v>
      </c>
      <c r="K194" s="2960">
        <v>0</v>
      </c>
      <c r="L194" s="2960">
        <v>0</v>
      </c>
      <c r="M194" s="2966"/>
      <c r="N194" s="2966"/>
    </row>
    <row r="195" spans="2:14" ht="14.25">
      <c r="B195" s="2958">
        <v>315</v>
      </c>
      <c r="C195" s="2958" t="s">
        <v>3057</v>
      </c>
      <c r="D195" s="2958" t="s">
        <v>3058</v>
      </c>
      <c r="E195" s="2959">
        <v>6</v>
      </c>
      <c r="F195" s="2960">
        <v>1</v>
      </c>
      <c r="G195" s="2959">
        <v>901</v>
      </c>
      <c r="H195" s="2959" t="s">
        <v>3055</v>
      </c>
      <c r="I195" s="2960">
        <v>155.94999999999999</v>
      </c>
      <c r="J195" s="2960">
        <v>155.94999999999999</v>
      </c>
      <c r="K195" s="2960">
        <v>0</v>
      </c>
      <c r="L195" s="2960">
        <v>0</v>
      </c>
      <c r="M195" s="2966"/>
      <c r="N195" s="2966"/>
    </row>
    <row r="196" spans="2:14" ht="14.25">
      <c r="B196" s="2958">
        <v>316</v>
      </c>
      <c r="C196" s="2958" t="s">
        <v>3057</v>
      </c>
      <c r="D196" s="2958" t="s">
        <v>3058</v>
      </c>
      <c r="E196" s="2965">
        <v>6</v>
      </c>
      <c r="F196" s="2960">
        <v>1</v>
      </c>
      <c r="G196" s="2959">
        <v>902</v>
      </c>
      <c r="H196" s="2959" t="s">
        <v>3055</v>
      </c>
      <c r="I196" s="2960">
        <v>155.94999999999999</v>
      </c>
      <c r="J196" s="2960">
        <v>155.94999999999999</v>
      </c>
      <c r="K196" s="2960">
        <v>0</v>
      </c>
      <c r="L196" s="2960">
        <v>0</v>
      </c>
      <c r="M196" s="2966"/>
      <c r="N196" s="2966"/>
    </row>
    <row r="197" spans="2:14" ht="14.25">
      <c r="B197" s="2958">
        <v>317</v>
      </c>
      <c r="C197" s="2958" t="s">
        <v>3057</v>
      </c>
      <c r="D197" s="2958" t="s">
        <v>3058</v>
      </c>
      <c r="E197" s="2959">
        <v>6</v>
      </c>
      <c r="F197" s="2960">
        <v>1</v>
      </c>
      <c r="G197" s="2959">
        <v>1001</v>
      </c>
      <c r="H197" s="2959" t="s">
        <v>3055</v>
      </c>
      <c r="I197" s="2960">
        <v>155.94999999999999</v>
      </c>
      <c r="J197" s="2960">
        <v>155.94999999999999</v>
      </c>
      <c r="K197" s="2960">
        <v>0</v>
      </c>
      <c r="L197" s="2960">
        <v>0</v>
      </c>
      <c r="M197" s="2966"/>
      <c r="N197" s="2966"/>
    </row>
    <row r="198" spans="2:14" ht="14.25">
      <c r="B198" s="2958">
        <v>318</v>
      </c>
      <c r="C198" s="2958" t="s">
        <v>3057</v>
      </c>
      <c r="D198" s="2958" t="s">
        <v>3058</v>
      </c>
      <c r="E198" s="2965">
        <v>6</v>
      </c>
      <c r="F198" s="2960">
        <v>1</v>
      </c>
      <c r="G198" s="2959">
        <v>1002</v>
      </c>
      <c r="H198" s="2959" t="s">
        <v>3055</v>
      </c>
      <c r="I198" s="2960">
        <v>155.94999999999999</v>
      </c>
      <c r="J198" s="2960">
        <v>155.94999999999999</v>
      </c>
      <c r="K198" s="2960">
        <v>0</v>
      </c>
      <c r="L198" s="2960">
        <v>0</v>
      </c>
      <c r="M198" s="2966"/>
      <c r="N198" s="2966"/>
    </row>
    <row r="199" spans="2:14" ht="14.25">
      <c r="B199" s="2958">
        <v>319</v>
      </c>
      <c r="C199" s="2958" t="s">
        <v>3057</v>
      </c>
      <c r="D199" s="2958" t="s">
        <v>3058</v>
      </c>
      <c r="E199" s="2959">
        <v>6</v>
      </c>
      <c r="F199" s="2960">
        <v>1</v>
      </c>
      <c r="G199" s="2959">
        <v>1101</v>
      </c>
      <c r="H199" s="2959" t="s">
        <v>3055</v>
      </c>
      <c r="I199" s="2960">
        <v>214.26</v>
      </c>
      <c r="J199" s="2960">
        <v>155.94999999999999</v>
      </c>
      <c r="K199" s="2960">
        <v>58.31</v>
      </c>
      <c r="L199" s="2960">
        <v>0</v>
      </c>
      <c r="M199" s="2966"/>
      <c r="N199" s="2966"/>
    </row>
    <row r="200" spans="2:14" ht="14.25">
      <c r="B200" s="2958">
        <v>320</v>
      </c>
      <c r="C200" s="2958" t="s">
        <v>3057</v>
      </c>
      <c r="D200" s="2958" t="s">
        <v>3058</v>
      </c>
      <c r="E200" s="2965">
        <v>6</v>
      </c>
      <c r="F200" s="2960">
        <v>1</v>
      </c>
      <c r="G200" s="2959">
        <v>1102</v>
      </c>
      <c r="H200" s="2959" t="s">
        <v>3055</v>
      </c>
      <c r="I200" s="2960">
        <v>214.26</v>
      </c>
      <c r="J200" s="2960">
        <v>155.94999999999999</v>
      </c>
      <c r="K200" s="2960">
        <v>58.31</v>
      </c>
      <c r="L200" s="2960">
        <v>0</v>
      </c>
      <c r="M200" s="2966"/>
      <c r="N200" s="2966"/>
    </row>
    <row r="201" spans="2:14" ht="14.25">
      <c r="B201" s="2958">
        <v>47</v>
      </c>
      <c r="C201" s="2958" t="s">
        <v>3053</v>
      </c>
      <c r="D201" s="2958" t="s">
        <v>3054</v>
      </c>
      <c r="E201" s="2959">
        <v>7</v>
      </c>
      <c r="F201" s="2960">
        <v>1</v>
      </c>
      <c r="G201" s="2959">
        <v>101</v>
      </c>
      <c r="H201" s="2959" t="s">
        <v>3055</v>
      </c>
      <c r="I201" s="2960">
        <v>399.32</v>
      </c>
      <c r="J201" s="2960">
        <v>112.36</v>
      </c>
      <c r="K201" s="2960">
        <v>0</v>
      </c>
      <c r="L201" s="2960">
        <f>182.7+104.26</f>
        <v>286.95999999999998</v>
      </c>
      <c r="M201" s="2966">
        <f>10.14+11.53+10.98+90.05+87.6</f>
        <v>210.3</v>
      </c>
      <c r="N201" s="2966">
        <v>0</v>
      </c>
    </row>
    <row r="202" spans="2:14" ht="14.25">
      <c r="B202" s="2958">
        <v>48</v>
      </c>
      <c r="C202" s="2958" t="s">
        <v>3053</v>
      </c>
      <c r="D202" s="2958" t="s">
        <v>3054</v>
      </c>
      <c r="E202" s="2965">
        <v>7</v>
      </c>
      <c r="F202" s="2960">
        <v>1</v>
      </c>
      <c r="G202" s="2959">
        <v>102</v>
      </c>
      <c r="H202" s="2959" t="s">
        <v>3055</v>
      </c>
      <c r="I202" s="2960">
        <v>400.06</v>
      </c>
      <c r="J202" s="2960">
        <v>112.36</v>
      </c>
      <c r="K202" s="2960">
        <v>0</v>
      </c>
      <c r="L202" s="2960">
        <f>191.42+96.28</f>
        <v>287.7</v>
      </c>
      <c r="M202" s="2966"/>
      <c r="N202" s="2966"/>
    </row>
    <row r="203" spans="2:14" ht="14.25" hidden="1">
      <c r="B203" s="2962"/>
      <c r="C203" s="2962" t="s">
        <v>3053</v>
      </c>
      <c r="D203" s="2962" t="s">
        <v>3054</v>
      </c>
      <c r="E203" s="2963">
        <v>7</v>
      </c>
      <c r="F203" s="2964">
        <v>1</v>
      </c>
      <c r="G203" s="2963">
        <v>201</v>
      </c>
      <c r="H203" s="2963" t="s">
        <v>3056</v>
      </c>
      <c r="I203" s="2964">
        <v>145.65</v>
      </c>
      <c r="J203" s="2964">
        <v>145.65</v>
      </c>
      <c r="K203" s="2964">
        <v>0</v>
      </c>
      <c r="L203" s="2964">
        <v>0</v>
      </c>
      <c r="M203" s="2966"/>
      <c r="N203" s="2966"/>
    </row>
    <row r="204" spans="2:14" ht="14.25" hidden="1">
      <c r="B204" s="2962"/>
      <c r="C204" s="2962" t="s">
        <v>3053</v>
      </c>
      <c r="D204" s="2962" t="s">
        <v>3054</v>
      </c>
      <c r="E204" s="2967">
        <v>7</v>
      </c>
      <c r="F204" s="2964">
        <v>1</v>
      </c>
      <c r="G204" s="2963">
        <v>202</v>
      </c>
      <c r="H204" s="2963" t="s">
        <v>3056</v>
      </c>
      <c r="I204" s="2964">
        <v>145.65</v>
      </c>
      <c r="J204" s="2964">
        <v>145.65</v>
      </c>
      <c r="K204" s="2964">
        <v>0</v>
      </c>
      <c r="L204" s="2964">
        <v>0</v>
      </c>
      <c r="M204" s="2966"/>
      <c r="N204" s="2966"/>
    </row>
    <row r="205" spans="2:14" ht="14.25" hidden="1">
      <c r="B205" s="2962"/>
      <c r="C205" s="2962" t="s">
        <v>3053</v>
      </c>
      <c r="D205" s="2962" t="s">
        <v>3054</v>
      </c>
      <c r="E205" s="2963">
        <v>7</v>
      </c>
      <c r="F205" s="2964">
        <v>1</v>
      </c>
      <c r="G205" s="2963">
        <v>301</v>
      </c>
      <c r="H205" s="2963" t="s">
        <v>3056</v>
      </c>
      <c r="I205" s="2964">
        <v>145.65</v>
      </c>
      <c r="J205" s="2964">
        <v>145.65</v>
      </c>
      <c r="K205" s="2964">
        <v>0</v>
      </c>
      <c r="L205" s="2964">
        <v>0</v>
      </c>
      <c r="M205" s="2966"/>
      <c r="N205" s="2966"/>
    </row>
    <row r="206" spans="2:14" ht="14.25" hidden="1">
      <c r="B206" s="2962"/>
      <c r="C206" s="2962" t="s">
        <v>3053</v>
      </c>
      <c r="D206" s="2962" t="s">
        <v>3054</v>
      </c>
      <c r="E206" s="2967">
        <v>7</v>
      </c>
      <c r="F206" s="2964">
        <v>1</v>
      </c>
      <c r="G206" s="2963">
        <v>302</v>
      </c>
      <c r="H206" s="2963" t="s">
        <v>3056</v>
      </c>
      <c r="I206" s="2964">
        <v>145.65</v>
      </c>
      <c r="J206" s="2964">
        <v>145.65</v>
      </c>
      <c r="K206" s="2964">
        <v>0</v>
      </c>
      <c r="L206" s="2964">
        <v>0</v>
      </c>
      <c r="M206" s="2966"/>
      <c r="N206" s="2966"/>
    </row>
    <row r="207" spans="2:14" ht="14.25" hidden="1">
      <c r="B207" s="2962"/>
      <c r="C207" s="2962" t="s">
        <v>3053</v>
      </c>
      <c r="D207" s="2962" t="s">
        <v>3054</v>
      </c>
      <c r="E207" s="2963">
        <v>7</v>
      </c>
      <c r="F207" s="2964">
        <v>1</v>
      </c>
      <c r="G207" s="2963">
        <v>401</v>
      </c>
      <c r="H207" s="2963" t="s">
        <v>3056</v>
      </c>
      <c r="I207" s="2964">
        <v>145.65</v>
      </c>
      <c r="J207" s="2964">
        <v>145.65</v>
      </c>
      <c r="K207" s="2964">
        <v>0</v>
      </c>
      <c r="L207" s="2964">
        <v>0</v>
      </c>
      <c r="M207" s="2966"/>
      <c r="N207" s="2966"/>
    </row>
    <row r="208" spans="2:14" ht="14.25" hidden="1">
      <c r="B208" s="2962"/>
      <c r="C208" s="2962" t="s">
        <v>3053</v>
      </c>
      <c r="D208" s="2962" t="s">
        <v>3054</v>
      </c>
      <c r="E208" s="2967">
        <v>7</v>
      </c>
      <c r="F208" s="2964">
        <v>1</v>
      </c>
      <c r="G208" s="2963">
        <v>402</v>
      </c>
      <c r="H208" s="2963" t="s">
        <v>3056</v>
      </c>
      <c r="I208" s="2964">
        <v>145.65</v>
      </c>
      <c r="J208" s="2964">
        <v>145.65</v>
      </c>
      <c r="K208" s="2964">
        <v>0</v>
      </c>
      <c r="L208" s="2964">
        <v>0</v>
      </c>
      <c r="M208" s="2966"/>
      <c r="N208" s="2966"/>
    </row>
    <row r="209" spans="2:14" ht="14.25" hidden="1">
      <c r="B209" s="2962"/>
      <c r="C209" s="2962" t="s">
        <v>3053</v>
      </c>
      <c r="D209" s="2962" t="s">
        <v>3054</v>
      </c>
      <c r="E209" s="2963">
        <v>7</v>
      </c>
      <c r="F209" s="2964">
        <v>1</v>
      </c>
      <c r="G209" s="2963">
        <v>501</v>
      </c>
      <c r="H209" s="2963" t="s">
        <v>3056</v>
      </c>
      <c r="I209" s="2964">
        <v>145.65</v>
      </c>
      <c r="J209" s="2964">
        <v>145.65</v>
      </c>
      <c r="K209" s="2964">
        <v>0</v>
      </c>
      <c r="L209" s="2964">
        <v>0</v>
      </c>
      <c r="M209" s="2966"/>
      <c r="N209" s="2966"/>
    </row>
    <row r="210" spans="2:14" ht="14.25" hidden="1">
      <c r="B210" s="2962"/>
      <c r="C210" s="2962" t="s">
        <v>3053</v>
      </c>
      <c r="D210" s="2962" t="s">
        <v>3054</v>
      </c>
      <c r="E210" s="2967">
        <v>7</v>
      </c>
      <c r="F210" s="2964">
        <v>1</v>
      </c>
      <c r="G210" s="2963">
        <v>502</v>
      </c>
      <c r="H210" s="2963" t="s">
        <v>3056</v>
      </c>
      <c r="I210" s="2964">
        <v>145.65</v>
      </c>
      <c r="J210" s="2964">
        <v>145.65</v>
      </c>
      <c r="K210" s="2964">
        <v>0</v>
      </c>
      <c r="L210" s="2964">
        <v>0</v>
      </c>
      <c r="M210" s="2966"/>
      <c r="N210" s="2966"/>
    </row>
    <row r="211" spans="2:14" ht="14.25">
      <c r="B211" s="2958">
        <v>49</v>
      </c>
      <c r="C211" s="2958" t="s">
        <v>3053</v>
      </c>
      <c r="D211" s="2958" t="s">
        <v>3054</v>
      </c>
      <c r="E211" s="2959">
        <v>7</v>
      </c>
      <c r="F211" s="2960">
        <v>1</v>
      </c>
      <c r="G211" s="2959">
        <v>601</v>
      </c>
      <c r="H211" s="2959" t="s">
        <v>3055</v>
      </c>
      <c r="I211" s="2960">
        <v>145.65</v>
      </c>
      <c r="J211" s="2960">
        <v>145.65</v>
      </c>
      <c r="K211" s="2960">
        <v>0</v>
      </c>
      <c r="L211" s="2960">
        <v>0</v>
      </c>
      <c r="M211" s="2966"/>
      <c r="N211" s="2966"/>
    </row>
    <row r="212" spans="2:14" ht="14.25" hidden="1">
      <c r="B212" s="2962"/>
      <c r="C212" s="2962" t="s">
        <v>3053</v>
      </c>
      <c r="D212" s="2962" t="s">
        <v>3054</v>
      </c>
      <c r="E212" s="2963">
        <v>7</v>
      </c>
      <c r="F212" s="2964">
        <v>1</v>
      </c>
      <c r="G212" s="2963">
        <v>602</v>
      </c>
      <c r="H212" s="2963" t="s">
        <v>3056</v>
      </c>
      <c r="I212" s="2964">
        <v>145.65</v>
      </c>
      <c r="J212" s="2964">
        <v>145.65</v>
      </c>
      <c r="K212" s="2964">
        <v>0</v>
      </c>
      <c r="L212" s="2964">
        <v>0</v>
      </c>
      <c r="M212" s="2966"/>
      <c r="N212" s="2966"/>
    </row>
    <row r="213" spans="2:14" ht="14.25" hidden="1">
      <c r="B213" s="2962"/>
      <c r="C213" s="2962" t="s">
        <v>3053</v>
      </c>
      <c r="D213" s="2962" t="s">
        <v>3054</v>
      </c>
      <c r="E213" s="2963">
        <v>7</v>
      </c>
      <c r="F213" s="2964">
        <v>1</v>
      </c>
      <c r="G213" s="2963">
        <v>701</v>
      </c>
      <c r="H213" s="2963" t="s">
        <v>3056</v>
      </c>
      <c r="I213" s="2964">
        <v>145.65</v>
      </c>
      <c r="J213" s="2964">
        <v>145.65</v>
      </c>
      <c r="K213" s="2964">
        <v>0</v>
      </c>
      <c r="L213" s="2964">
        <v>0</v>
      </c>
      <c r="M213" s="2966"/>
      <c r="N213" s="2966"/>
    </row>
    <row r="214" spans="2:14" ht="14.25" hidden="1">
      <c r="B214" s="2962"/>
      <c r="C214" s="2962" t="s">
        <v>3053</v>
      </c>
      <c r="D214" s="2962" t="s">
        <v>3054</v>
      </c>
      <c r="E214" s="2963">
        <v>7</v>
      </c>
      <c r="F214" s="2964">
        <v>1</v>
      </c>
      <c r="G214" s="2963">
        <v>702</v>
      </c>
      <c r="H214" s="2963" t="s">
        <v>3056</v>
      </c>
      <c r="I214" s="2964">
        <v>145.65</v>
      </c>
      <c r="J214" s="2964">
        <v>145.65</v>
      </c>
      <c r="K214" s="2964">
        <v>0</v>
      </c>
      <c r="L214" s="2964">
        <v>0</v>
      </c>
      <c r="M214" s="2966"/>
      <c r="N214" s="2966"/>
    </row>
    <row r="215" spans="2:14" ht="14.25" hidden="1">
      <c r="B215" s="2962"/>
      <c r="C215" s="2962" t="s">
        <v>3053</v>
      </c>
      <c r="D215" s="2962" t="s">
        <v>3054</v>
      </c>
      <c r="E215" s="2963">
        <v>7</v>
      </c>
      <c r="F215" s="2964">
        <v>1</v>
      </c>
      <c r="G215" s="2963">
        <v>801</v>
      </c>
      <c r="H215" s="2963" t="s">
        <v>3056</v>
      </c>
      <c r="I215" s="2964">
        <v>145.65</v>
      </c>
      <c r="J215" s="2964">
        <v>145.65</v>
      </c>
      <c r="K215" s="2964">
        <v>0</v>
      </c>
      <c r="L215" s="2964">
        <v>0</v>
      </c>
      <c r="M215" s="2966"/>
      <c r="N215" s="2966"/>
    </row>
    <row r="216" spans="2:14" ht="14.25" hidden="1">
      <c r="B216" s="2962"/>
      <c r="C216" s="2962" t="s">
        <v>3053</v>
      </c>
      <c r="D216" s="2962" t="s">
        <v>3054</v>
      </c>
      <c r="E216" s="2963">
        <v>7</v>
      </c>
      <c r="F216" s="2964">
        <v>1</v>
      </c>
      <c r="G216" s="2963">
        <v>802</v>
      </c>
      <c r="H216" s="2963" t="s">
        <v>3056</v>
      </c>
      <c r="I216" s="2964">
        <v>145.65</v>
      </c>
      <c r="J216" s="2964">
        <v>145.65</v>
      </c>
      <c r="K216" s="2964">
        <v>0</v>
      </c>
      <c r="L216" s="2964">
        <v>0</v>
      </c>
      <c r="M216" s="2966"/>
      <c r="N216" s="2966"/>
    </row>
    <row r="217" spans="2:14" ht="14.25" hidden="1">
      <c r="B217" s="2962"/>
      <c r="C217" s="2962" t="s">
        <v>3053</v>
      </c>
      <c r="D217" s="2962" t="s">
        <v>3054</v>
      </c>
      <c r="E217" s="2963">
        <v>7</v>
      </c>
      <c r="F217" s="2964">
        <v>1</v>
      </c>
      <c r="G217" s="2963">
        <v>901</v>
      </c>
      <c r="H217" s="2963" t="s">
        <v>3056</v>
      </c>
      <c r="I217" s="2964">
        <v>145.65</v>
      </c>
      <c r="J217" s="2964">
        <v>145.65</v>
      </c>
      <c r="K217" s="2964">
        <v>0</v>
      </c>
      <c r="L217" s="2964">
        <v>0</v>
      </c>
      <c r="M217" s="2966"/>
      <c r="N217" s="2966"/>
    </row>
    <row r="218" spans="2:14" ht="14.25" hidden="1">
      <c r="B218" s="2962"/>
      <c r="C218" s="2962" t="s">
        <v>3053</v>
      </c>
      <c r="D218" s="2962" t="s">
        <v>3054</v>
      </c>
      <c r="E218" s="2963">
        <v>7</v>
      </c>
      <c r="F218" s="2964">
        <v>1</v>
      </c>
      <c r="G218" s="2963">
        <v>902</v>
      </c>
      <c r="H218" s="2963" t="s">
        <v>3056</v>
      </c>
      <c r="I218" s="2964">
        <v>145.65</v>
      </c>
      <c r="J218" s="2964">
        <v>145.65</v>
      </c>
      <c r="K218" s="2964">
        <v>0</v>
      </c>
      <c r="L218" s="2964">
        <v>0</v>
      </c>
      <c r="M218" s="2966"/>
      <c r="N218" s="2966"/>
    </row>
    <row r="219" spans="2:14" ht="14.25">
      <c r="B219" s="2958">
        <v>50</v>
      </c>
      <c r="C219" s="2958" t="s">
        <v>3053</v>
      </c>
      <c r="D219" s="2958" t="s">
        <v>3054</v>
      </c>
      <c r="E219" s="2959">
        <v>7</v>
      </c>
      <c r="F219" s="2960">
        <v>1</v>
      </c>
      <c r="G219" s="2959">
        <v>1001</v>
      </c>
      <c r="H219" s="2959" t="s">
        <v>3055</v>
      </c>
      <c r="I219" s="2960">
        <v>145.65</v>
      </c>
      <c r="J219" s="2960">
        <v>145.65</v>
      </c>
      <c r="K219" s="2960">
        <v>0</v>
      </c>
      <c r="L219" s="2960">
        <v>0</v>
      </c>
      <c r="M219" s="2966"/>
      <c r="N219" s="2966"/>
    </row>
    <row r="220" spans="2:14" ht="14.25" hidden="1">
      <c r="B220" s="2962"/>
      <c r="C220" s="2962" t="s">
        <v>3053</v>
      </c>
      <c r="D220" s="2962" t="s">
        <v>3054</v>
      </c>
      <c r="E220" s="2963">
        <v>7</v>
      </c>
      <c r="F220" s="2964">
        <v>1</v>
      </c>
      <c r="G220" s="2963">
        <v>1002</v>
      </c>
      <c r="H220" s="2963" t="s">
        <v>3056</v>
      </c>
      <c r="I220" s="2964">
        <v>145.65</v>
      </c>
      <c r="J220" s="2964">
        <v>145.65</v>
      </c>
      <c r="K220" s="2964">
        <v>0</v>
      </c>
      <c r="L220" s="2964">
        <v>0</v>
      </c>
      <c r="M220" s="2966"/>
      <c r="N220" s="2966"/>
    </row>
    <row r="221" spans="2:14" ht="14.25">
      <c r="B221" s="2958">
        <v>51</v>
      </c>
      <c r="C221" s="2958" t="s">
        <v>3053</v>
      </c>
      <c r="D221" s="2958" t="s">
        <v>3054</v>
      </c>
      <c r="E221" s="2959">
        <v>7</v>
      </c>
      <c r="F221" s="2960">
        <v>1</v>
      </c>
      <c r="G221" s="2959">
        <v>1101</v>
      </c>
      <c r="H221" s="2959" t="s">
        <v>3055</v>
      </c>
      <c r="I221" s="2960">
        <v>203.16</v>
      </c>
      <c r="J221" s="2960">
        <v>145.87</v>
      </c>
      <c r="K221" s="2960">
        <v>57.29</v>
      </c>
      <c r="L221" s="2960">
        <v>0</v>
      </c>
      <c r="M221" s="2966"/>
      <c r="N221" s="2966"/>
    </row>
    <row r="222" spans="2:14" ht="14.25" hidden="1">
      <c r="B222" s="2962"/>
      <c r="C222" s="2962" t="s">
        <v>3053</v>
      </c>
      <c r="D222" s="2962" t="s">
        <v>3054</v>
      </c>
      <c r="E222" s="2963">
        <v>7</v>
      </c>
      <c r="F222" s="2964">
        <v>1</v>
      </c>
      <c r="G222" s="2963">
        <v>1102</v>
      </c>
      <c r="H222" s="2963" t="s">
        <v>3056</v>
      </c>
      <c r="I222" s="2964">
        <v>221.46</v>
      </c>
      <c r="J222" s="2964">
        <v>145.87</v>
      </c>
      <c r="K222" s="2964">
        <v>75.59</v>
      </c>
      <c r="L222" s="2964">
        <v>0</v>
      </c>
      <c r="M222" s="2966"/>
      <c r="N222" s="2966"/>
    </row>
    <row r="223" spans="2:14" ht="14.25">
      <c r="B223" s="2958">
        <v>52</v>
      </c>
      <c r="C223" s="2958" t="s">
        <v>3053</v>
      </c>
      <c r="D223" s="2958" t="s">
        <v>3054</v>
      </c>
      <c r="E223" s="2959">
        <v>7</v>
      </c>
      <c r="F223" s="2960">
        <v>2</v>
      </c>
      <c r="G223" s="2959">
        <v>103</v>
      </c>
      <c r="H223" s="2959" t="s">
        <v>3055</v>
      </c>
      <c r="I223" s="2960">
        <v>400.64</v>
      </c>
      <c r="J223" s="2960">
        <v>112.33</v>
      </c>
      <c r="K223" s="2960">
        <v>0</v>
      </c>
      <c r="L223" s="2960">
        <f>96.53+191.78</f>
        <v>288.31</v>
      </c>
      <c r="M223" s="2966"/>
      <c r="N223" s="2966"/>
    </row>
    <row r="224" spans="2:14" ht="14.25">
      <c r="B224" s="2958">
        <v>53</v>
      </c>
      <c r="C224" s="2958" t="s">
        <v>3053</v>
      </c>
      <c r="D224" s="2958" t="s">
        <v>3054</v>
      </c>
      <c r="E224" s="2959">
        <v>7</v>
      </c>
      <c r="F224" s="2960">
        <v>2</v>
      </c>
      <c r="G224" s="2959">
        <v>104</v>
      </c>
      <c r="H224" s="2959" t="s">
        <v>3055</v>
      </c>
      <c r="I224" s="2960">
        <v>387.85</v>
      </c>
      <c r="J224" s="2960">
        <v>112.33</v>
      </c>
      <c r="K224" s="2960">
        <v>0</v>
      </c>
      <c r="L224" s="2960">
        <f>92.15+183.37</f>
        <v>275.52</v>
      </c>
      <c r="M224" s="2966"/>
      <c r="N224" s="2966"/>
    </row>
    <row r="225" spans="2:14" ht="14.25" hidden="1">
      <c r="B225" s="2962"/>
      <c r="C225" s="2962" t="s">
        <v>3053</v>
      </c>
      <c r="D225" s="2962" t="s">
        <v>3054</v>
      </c>
      <c r="E225" s="2963">
        <v>7</v>
      </c>
      <c r="F225" s="2964">
        <v>2</v>
      </c>
      <c r="G225" s="2963">
        <v>203</v>
      </c>
      <c r="H225" s="2963" t="s">
        <v>3056</v>
      </c>
      <c r="I225" s="2964">
        <v>145.62</v>
      </c>
      <c r="J225" s="2964">
        <v>145.62</v>
      </c>
      <c r="K225" s="2964">
        <v>0</v>
      </c>
      <c r="L225" s="2964">
        <v>0</v>
      </c>
      <c r="M225" s="2966"/>
      <c r="N225" s="2966"/>
    </row>
    <row r="226" spans="2:14" ht="14.25" hidden="1">
      <c r="B226" s="2962"/>
      <c r="C226" s="2962" t="s">
        <v>3053</v>
      </c>
      <c r="D226" s="2962" t="s">
        <v>3054</v>
      </c>
      <c r="E226" s="2963">
        <v>7</v>
      </c>
      <c r="F226" s="2964">
        <v>2</v>
      </c>
      <c r="G226" s="2963">
        <v>204</v>
      </c>
      <c r="H226" s="2963" t="s">
        <v>3056</v>
      </c>
      <c r="I226" s="2964">
        <v>145.62</v>
      </c>
      <c r="J226" s="2964">
        <v>145.62</v>
      </c>
      <c r="K226" s="2964">
        <v>0</v>
      </c>
      <c r="L226" s="2964">
        <v>0</v>
      </c>
      <c r="M226" s="2966"/>
      <c r="N226" s="2966"/>
    </row>
    <row r="227" spans="2:14" ht="14.25" hidden="1">
      <c r="B227" s="2962"/>
      <c r="C227" s="2962" t="s">
        <v>3053</v>
      </c>
      <c r="D227" s="2962" t="s">
        <v>3054</v>
      </c>
      <c r="E227" s="2963">
        <v>7</v>
      </c>
      <c r="F227" s="2964">
        <v>2</v>
      </c>
      <c r="G227" s="2963">
        <v>303</v>
      </c>
      <c r="H227" s="2963" t="s">
        <v>3056</v>
      </c>
      <c r="I227" s="2964">
        <v>145.62</v>
      </c>
      <c r="J227" s="2964">
        <v>145.62</v>
      </c>
      <c r="K227" s="2964">
        <v>0</v>
      </c>
      <c r="L227" s="2964">
        <v>0</v>
      </c>
      <c r="M227" s="2966"/>
      <c r="N227" s="2966"/>
    </row>
    <row r="228" spans="2:14" ht="14.25" hidden="1">
      <c r="B228" s="2962"/>
      <c r="C228" s="2962" t="s">
        <v>3053</v>
      </c>
      <c r="D228" s="2962" t="s">
        <v>3054</v>
      </c>
      <c r="E228" s="2963">
        <v>7</v>
      </c>
      <c r="F228" s="2964">
        <v>2</v>
      </c>
      <c r="G228" s="2963">
        <v>304</v>
      </c>
      <c r="H228" s="2963" t="s">
        <v>3056</v>
      </c>
      <c r="I228" s="2964">
        <v>145.62</v>
      </c>
      <c r="J228" s="2964">
        <v>145.62</v>
      </c>
      <c r="K228" s="2964">
        <v>0</v>
      </c>
      <c r="L228" s="2964">
        <v>0</v>
      </c>
      <c r="M228" s="2966"/>
      <c r="N228" s="2966"/>
    </row>
    <row r="229" spans="2:14" ht="14.25" hidden="1">
      <c r="B229" s="2962"/>
      <c r="C229" s="2962" t="s">
        <v>3053</v>
      </c>
      <c r="D229" s="2962" t="s">
        <v>3054</v>
      </c>
      <c r="E229" s="2963">
        <v>7</v>
      </c>
      <c r="F229" s="2964">
        <v>2</v>
      </c>
      <c r="G229" s="2963">
        <v>403</v>
      </c>
      <c r="H229" s="2963" t="s">
        <v>3056</v>
      </c>
      <c r="I229" s="2964">
        <v>145.62</v>
      </c>
      <c r="J229" s="2964">
        <v>145.62</v>
      </c>
      <c r="K229" s="2964">
        <v>0</v>
      </c>
      <c r="L229" s="2964">
        <v>0</v>
      </c>
      <c r="M229" s="2966"/>
      <c r="N229" s="2966"/>
    </row>
    <row r="230" spans="2:14" ht="14.25" hidden="1">
      <c r="B230" s="2962"/>
      <c r="C230" s="2962" t="s">
        <v>3053</v>
      </c>
      <c r="D230" s="2962" t="s">
        <v>3054</v>
      </c>
      <c r="E230" s="2963">
        <v>7</v>
      </c>
      <c r="F230" s="2964">
        <v>2</v>
      </c>
      <c r="G230" s="2963">
        <v>404</v>
      </c>
      <c r="H230" s="2963" t="s">
        <v>3056</v>
      </c>
      <c r="I230" s="2964">
        <v>145.62</v>
      </c>
      <c r="J230" s="2964">
        <v>145.62</v>
      </c>
      <c r="K230" s="2964">
        <v>0</v>
      </c>
      <c r="L230" s="2964">
        <v>0</v>
      </c>
      <c r="M230" s="2966"/>
      <c r="N230" s="2966"/>
    </row>
    <row r="231" spans="2:14" ht="14.25" hidden="1">
      <c r="B231" s="2962"/>
      <c r="C231" s="2962" t="s">
        <v>3053</v>
      </c>
      <c r="D231" s="2962" t="s">
        <v>3054</v>
      </c>
      <c r="E231" s="2963">
        <v>7</v>
      </c>
      <c r="F231" s="2964">
        <v>2</v>
      </c>
      <c r="G231" s="2963">
        <v>503</v>
      </c>
      <c r="H231" s="2963" t="s">
        <v>3056</v>
      </c>
      <c r="I231" s="2964">
        <v>145.62</v>
      </c>
      <c r="J231" s="2964">
        <v>145.62</v>
      </c>
      <c r="K231" s="2964">
        <v>0</v>
      </c>
      <c r="L231" s="2964">
        <v>0</v>
      </c>
      <c r="M231" s="2966"/>
      <c r="N231" s="2966"/>
    </row>
    <row r="232" spans="2:14" ht="14.25" hidden="1">
      <c r="B232" s="2962"/>
      <c r="C232" s="2962" t="s">
        <v>3053</v>
      </c>
      <c r="D232" s="2962" t="s">
        <v>3054</v>
      </c>
      <c r="E232" s="2963">
        <v>7</v>
      </c>
      <c r="F232" s="2964">
        <v>2</v>
      </c>
      <c r="G232" s="2963">
        <v>504</v>
      </c>
      <c r="H232" s="2963" t="s">
        <v>3056</v>
      </c>
      <c r="I232" s="2964">
        <v>145.62</v>
      </c>
      <c r="J232" s="2964">
        <v>145.62</v>
      </c>
      <c r="K232" s="2964">
        <v>0</v>
      </c>
      <c r="L232" s="2964">
        <v>0</v>
      </c>
      <c r="M232" s="2966"/>
      <c r="N232" s="2966"/>
    </row>
    <row r="233" spans="2:14" ht="14.25">
      <c r="B233" s="2958">
        <v>54</v>
      </c>
      <c r="C233" s="2958" t="s">
        <v>3053</v>
      </c>
      <c r="D233" s="2958" t="s">
        <v>3054</v>
      </c>
      <c r="E233" s="2959">
        <v>7</v>
      </c>
      <c r="F233" s="2960">
        <v>2</v>
      </c>
      <c r="G233" s="2959">
        <v>603</v>
      </c>
      <c r="H233" s="2959" t="s">
        <v>3055</v>
      </c>
      <c r="I233" s="2960">
        <v>145.62</v>
      </c>
      <c r="J233" s="2960">
        <v>145.62</v>
      </c>
      <c r="K233" s="2960">
        <v>0</v>
      </c>
      <c r="L233" s="2960">
        <v>0</v>
      </c>
      <c r="M233" s="2966"/>
      <c r="N233" s="2966"/>
    </row>
    <row r="234" spans="2:14" ht="14.25" hidden="1">
      <c r="B234" s="2962"/>
      <c r="C234" s="2962" t="s">
        <v>3053</v>
      </c>
      <c r="D234" s="2962" t="s">
        <v>3054</v>
      </c>
      <c r="E234" s="2963">
        <v>7</v>
      </c>
      <c r="F234" s="2964">
        <v>2</v>
      </c>
      <c r="G234" s="2963">
        <v>604</v>
      </c>
      <c r="H234" s="2963" t="s">
        <v>3056</v>
      </c>
      <c r="I234" s="2964">
        <v>145.62</v>
      </c>
      <c r="J234" s="2964">
        <v>145.62</v>
      </c>
      <c r="K234" s="2964">
        <v>0</v>
      </c>
      <c r="L234" s="2964">
        <v>0</v>
      </c>
      <c r="M234" s="2966"/>
      <c r="N234" s="2966"/>
    </row>
    <row r="235" spans="2:14" ht="14.25" hidden="1">
      <c r="B235" s="2962"/>
      <c r="C235" s="2962" t="s">
        <v>3053</v>
      </c>
      <c r="D235" s="2962" t="s">
        <v>3054</v>
      </c>
      <c r="E235" s="2963">
        <v>7</v>
      </c>
      <c r="F235" s="2964">
        <v>2</v>
      </c>
      <c r="G235" s="2963">
        <v>703</v>
      </c>
      <c r="H235" s="2963" t="s">
        <v>3056</v>
      </c>
      <c r="I235" s="2964">
        <v>145.62</v>
      </c>
      <c r="J235" s="2964">
        <v>145.62</v>
      </c>
      <c r="K235" s="2964">
        <v>0</v>
      </c>
      <c r="L235" s="2964">
        <v>0</v>
      </c>
      <c r="M235" s="2966"/>
      <c r="N235" s="2966"/>
    </row>
    <row r="236" spans="2:14" ht="14.25" hidden="1">
      <c r="B236" s="2962"/>
      <c r="C236" s="2962" t="s">
        <v>3053</v>
      </c>
      <c r="D236" s="2962" t="s">
        <v>3054</v>
      </c>
      <c r="E236" s="2963">
        <v>7</v>
      </c>
      <c r="F236" s="2964">
        <v>2</v>
      </c>
      <c r="G236" s="2963">
        <v>704</v>
      </c>
      <c r="H236" s="2963" t="s">
        <v>3056</v>
      </c>
      <c r="I236" s="2964">
        <v>145.62</v>
      </c>
      <c r="J236" s="2964">
        <v>145.62</v>
      </c>
      <c r="K236" s="2964">
        <v>0</v>
      </c>
      <c r="L236" s="2964">
        <v>0</v>
      </c>
      <c r="M236" s="2966"/>
      <c r="N236" s="2966"/>
    </row>
    <row r="237" spans="2:14" ht="14.25" hidden="1">
      <c r="B237" s="2962"/>
      <c r="C237" s="2962" t="s">
        <v>3053</v>
      </c>
      <c r="D237" s="2962" t="s">
        <v>3054</v>
      </c>
      <c r="E237" s="2963">
        <v>7</v>
      </c>
      <c r="F237" s="2964">
        <v>2</v>
      </c>
      <c r="G237" s="2963">
        <v>803</v>
      </c>
      <c r="H237" s="2963" t="s">
        <v>3056</v>
      </c>
      <c r="I237" s="2964">
        <v>145.62</v>
      </c>
      <c r="J237" s="2964">
        <v>145.62</v>
      </c>
      <c r="K237" s="2964">
        <v>0</v>
      </c>
      <c r="L237" s="2964">
        <v>0</v>
      </c>
      <c r="M237" s="2966"/>
      <c r="N237" s="2966"/>
    </row>
    <row r="238" spans="2:14" ht="14.25" hidden="1">
      <c r="B238" s="2962"/>
      <c r="C238" s="2962" t="s">
        <v>3053</v>
      </c>
      <c r="D238" s="2962" t="s">
        <v>3054</v>
      </c>
      <c r="E238" s="2963">
        <v>7</v>
      </c>
      <c r="F238" s="2964">
        <v>2</v>
      </c>
      <c r="G238" s="2963">
        <v>804</v>
      </c>
      <c r="H238" s="2963" t="s">
        <v>3056</v>
      </c>
      <c r="I238" s="2964">
        <v>145.62</v>
      </c>
      <c r="J238" s="2964">
        <v>145.62</v>
      </c>
      <c r="K238" s="2964">
        <v>0</v>
      </c>
      <c r="L238" s="2964">
        <v>0</v>
      </c>
      <c r="M238" s="2966"/>
      <c r="N238" s="2966"/>
    </row>
    <row r="239" spans="2:14" ht="14.25" hidden="1">
      <c r="B239" s="2962"/>
      <c r="C239" s="2962" t="s">
        <v>3053</v>
      </c>
      <c r="D239" s="2962" t="s">
        <v>3054</v>
      </c>
      <c r="E239" s="2963">
        <v>7</v>
      </c>
      <c r="F239" s="2964">
        <v>2</v>
      </c>
      <c r="G239" s="2963">
        <v>903</v>
      </c>
      <c r="H239" s="2963" t="s">
        <v>3056</v>
      </c>
      <c r="I239" s="2964">
        <v>145.62</v>
      </c>
      <c r="J239" s="2964">
        <v>145.62</v>
      </c>
      <c r="K239" s="2964">
        <v>0</v>
      </c>
      <c r="L239" s="2964">
        <v>0</v>
      </c>
      <c r="M239" s="2966"/>
      <c r="N239" s="2966"/>
    </row>
    <row r="240" spans="2:14" ht="14.25" hidden="1">
      <c r="B240" s="2962"/>
      <c r="C240" s="2962" t="s">
        <v>3053</v>
      </c>
      <c r="D240" s="2962" t="s">
        <v>3054</v>
      </c>
      <c r="E240" s="2963">
        <v>7</v>
      </c>
      <c r="F240" s="2964">
        <v>2</v>
      </c>
      <c r="G240" s="2963">
        <v>904</v>
      </c>
      <c r="H240" s="2963" t="s">
        <v>3056</v>
      </c>
      <c r="I240" s="2964">
        <v>145.62</v>
      </c>
      <c r="J240" s="2964">
        <v>145.62</v>
      </c>
      <c r="K240" s="2964">
        <v>0</v>
      </c>
      <c r="L240" s="2964">
        <v>0</v>
      </c>
      <c r="M240" s="2966"/>
      <c r="N240" s="2966"/>
    </row>
    <row r="241" spans="2:14" ht="14.25" hidden="1">
      <c r="B241" s="2962"/>
      <c r="C241" s="2962" t="s">
        <v>3053</v>
      </c>
      <c r="D241" s="2962" t="s">
        <v>3054</v>
      </c>
      <c r="E241" s="2963">
        <v>7</v>
      </c>
      <c r="F241" s="2964">
        <v>2</v>
      </c>
      <c r="G241" s="2963">
        <v>1003</v>
      </c>
      <c r="H241" s="2963" t="s">
        <v>3056</v>
      </c>
      <c r="I241" s="2964">
        <v>145.62</v>
      </c>
      <c r="J241" s="2964">
        <v>145.62</v>
      </c>
      <c r="K241" s="2964">
        <v>0</v>
      </c>
      <c r="L241" s="2964">
        <v>0</v>
      </c>
      <c r="M241" s="2966"/>
      <c r="N241" s="2966"/>
    </row>
    <row r="242" spans="2:14" ht="14.25" hidden="1">
      <c r="B242" s="2962"/>
      <c r="C242" s="2962" t="s">
        <v>3053</v>
      </c>
      <c r="D242" s="2962" t="s">
        <v>3054</v>
      </c>
      <c r="E242" s="2963">
        <v>7</v>
      </c>
      <c r="F242" s="2964">
        <v>2</v>
      </c>
      <c r="G242" s="2963">
        <v>1004</v>
      </c>
      <c r="H242" s="2963" t="s">
        <v>3056</v>
      </c>
      <c r="I242" s="2964">
        <v>145.62</v>
      </c>
      <c r="J242" s="2964">
        <v>145.62</v>
      </c>
      <c r="K242" s="2964">
        <v>0</v>
      </c>
      <c r="L242" s="2964">
        <v>0</v>
      </c>
      <c r="M242" s="2966"/>
      <c r="N242" s="2966"/>
    </row>
    <row r="243" spans="2:14" ht="14.25">
      <c r="B243" s="2958">
        <v>55</v>
      </c>
      <c r="C243" s="2958" t="s">
        <v>3053</v>
      </c>
      <c r="D243" s="2958" t="s">
        <v>3054</v>
      </c>
      <c r="E243" s="2959">
        <v>7</v>
      </c>
      <c r="F243" s="2960">
        <v>2</v>
      </c>
      <c r="G243" s="2959">
        <v>1103</v>
      </c>
      <c r="H243" s="2959" t="s">
        <v>3055</v>
      </c>
      <c r="I243" s="2960">
        <v>221.41</v>
      </c>
      <c r="J243" s="2960">
        <v>145.84</v>
      </c>
      <c r="K243" s="2960">
        <v>75.569999999999993</v>
      </c>
      <c r="L243" s="2960">
        <v>0</v>
      </c>
      <c r="M243" s="2966"/>
      <c r="N243" s="2966"/>
    </row>
    <row r="244" spans="2:14" ht="14.25">
      <c r="B244" s="2958">
        <v>56</v>
      </c>
      <c r="C244" s="2958" t="s">
        <v>3053</v>
      </c>
      <c r="D244" s="2958" t="s">
        <v>3054</v>
      </c>
      <c r="E244" s="2959">
        <v>7</v>
      </c>
      <c r="F244" s="2960">
        <v>2</v>
      </c>
      <c r="G244" s="2959">
        <v>1104</v>
      </c>
      <c r="H244" s="2959" t="s">
        <v>3055</v>
      </c>
      <c r="I244" s="2960">
        <v>203.12</v>
      </c>
      <c r="J244" s="2960">
        <v>145.84</v>
      </c>
      <c r="K244" s="2960">
        <v>57.28</v>
      </c>
      <c r="L244" s="2960">
        <v>0</v>
      </c>
      <c r="M244" s="2966"/>
      <c r="N244" s="2966"/>
    </row>
    <row r="245" spans="2:14" ht="14.25" hidden="1">
      <c r="B245" s="2962"/>
      <c r="C245" s="2962" t="s">
        <v>3053</v>
      </c>
      <c r="D245" s="2962" t="s">
        <v>3054</v>
      </c>
      <c r="E245" s="2963">
        <v>8</v>
      </c>
      <c r="F245" s="2964">
        <v>1</v>
      </c>
      <c r="G245" s="2963">
        <v>101</v>
      </c>
      <c r="H245" s="2963" t="s">
        <v>3056</v>
      </c>
      <c r="I245" s="2964">
        <v>350.19</v>
      </c>
      <c r="J245" s="2964">
        <v>133.18</v>
      </c>
      <c r="K245" s="2964">
        <v>0</v>
      </c>
      <c r="L245" s="2964">
        <f>125.43+91.58</f>
        <v>217.01</v>
      </c>
      <c r="M245" s="2966">
        <f>73.65+66.15</f>
        <v>139.80000000000001</v>
      </c>
      <c r="N245" s="2966">
        <v>0</v>
      </c>
    </row>
    <row r="246" spans="2:14" ht="14.25" hidden="1">
      <c r="B246" s="2962"/>
      <c r="C246" s="2962" t="s">
        <v>3053</v>
      </c>
      <c r="D246" s="2962" t="s">
        <v>3054</v>
      </c>
      <c r="E246" s="2963">
        <v>8</v>
      </c>
      <c r="F246" s="2964">
        <v>1</v>
      </c>
      <c r="G246" s="2963">
        <v>102</v>
      </c>
      <c r="H246" s="2963" t="s">
        <v>3056</v>
      </c>
      <c r="I246" s="2964">
        <v>346</v>
      </c>
      <c r="J246" s="2964">
        <v>133.18</v>
      </c>
      <c r="K246" s="2964">
        <v>0</v>
      </c>
      <c r="L246" s="2964">
        <f>125.68+87.14</f>
        <v>212.82</v>
      </c>
      <c r="M246" s="2966"/>
      <c r="N246" s="2966"/>
    </row>
    <row r="247" spans="2:14" ht="14.25" hidden="1">
      <c r="B247" s="2962"/>
      <c r="C247" s="2962" t="s">
        <v>3053</v>
      </c>
      <c r="D247" s="2962" t="s">
        <v>3054</v>
      </c>
      <c r="E247" s="2963">
        <v>8</v>
      </c>
      <c r="F247" s="2964">
        <v>1</v>
      </c>
      <c r="G247" s="2963">
        <v>201</v>
      </c>
      <c r="H247" s="2963" t="s">
        <v>3056</v>
      </c>
      <c r="I247" s="2964">
        <v>250.15</v>
      </c>
      <c r="J247" s="2964">
        <v>151.76</v>
      </c>
      <c r="K247" s="2964">
        <v>0</v>
      </c>
      <c r="L247" s="2964">
        <f>67.68+30.71</f>
        <v>98.390000000000015</v>
      </c>
      <c r="M247" s="2966"/>
      <c r="N247" s="2966"/>
    </row>
    <row r="248" spans="2:14" ht="14.25" hidden="1">
      <c r="B248" s="2962"/>
      <c r="C248" s="2962" t="s">
        <v>3053</v>
      </c>
      <c r="D248" s="2962" t="s">
        <v>3054</v>
      </c>
      <c r="E248" s="2963">
        <v>8</v>
      </c>
      <c r="F248" s="2964">
        <v>1</v>
      </c>
      <c r="G248" s="2963">
        <v>202</v>
      </c>
      <c r="H248" s="2963" t="s">
        <v>3056</v>
      </c>
      <c r="I248" s="2964">
        <v>305.62</v>
      </c>
      <c r="J248" s="2964">
        <v>151.76</v>
      </c>
      <c r="K248" s="2964">
        <v>0</v>
      </c>
      <c r="L248" s="2964">
        <f>67.75+86.11</f>
        <v>153.86000000000001</v>
      </c>
      <c r="M248" s="2966"/>
      <c r="N248" s="2966"/>
    </row>
    <row r="249" spans="2:14" ht="14.25">
      <c r="B249" s="2958">
        <v>57</v>
      </c>
      <c r="C249" s="2958" t="s">
        <v>3053</v>
      </c>
      <c r="D249" s="2958" t="s">
        <v>3054</v>
      </c>
      <c r="E249" s="2959">
        <v>8</v>
      </c>
      <c r="F249" s="2960">
        <v>1</v>
      </c>
      <c r="G249" s="2959">
        <v>301</v>
      </c>
      <c r="H249" s="2959" t="s">
        <v>3055</v>
      </c>
      <c r="I249" s="2960">
        <v>143.88999999999999</v>
      </c>
      <c r="J249" s="2960">
        <v>143.88999999999999</v>
      </c>
      <c r="K249" s="2960">
        <v>0</v>
      </c>
      <c r="L249" s="2960">
        <v>0</v>
      </c>
      <c r="M249" s="2966"/>
      <c r="N249" s="2966"/>
    </row>
    <row r="250" spans="2:14" ht="14.25" hidden="1">
      <c r="B250" s="2962"/>
      <c r="C250" s="2962" t="s">
        <v>3053</v>
      </c>
      <c r="D250" s="2962" t="s">
        <v>3054</v>
      </c>
      <c r="E250" s="2963">
        <v>8</v>
      </c>
      <c r="F250" s="2964">
        <v>1</v>
      </c>
      <c r="G250" s="2963">
        <v>302</v>
      </c>
      <c r="H250" s="2963" t="s">
        <v>3056</v>
      </c>
      <c r="I250" s="2964">
        <v>143.88999999999999</v>
      </c>
      <c r="J250" s="2964">
        <v>143.88999999999999</v>
      </c>
      <c r="K250" s="2964">
        <v>0</v>
      </c>
      <c r="L250" s="2964">
        <v>0</v>
      </c>
      <c r="M250" s="2966"/>
      <c r="N250" s="2966"/>
    </row>
    <row r="251" spans="2:14" ht="14.25">
      <c r="B251" s="2958">
        <v>58</v>
      </c>
      <c r="C251" s="2958" t="s">
        <v>3053</v>
      </c>
      <c r="D251" s="2958" t="s">
        <v>3054</v>
      </c>
      <c r="E251" s="2959">
        <v>8</v>
      </c>
      <c r="F251" s="2960">
        <v>1</v>
      </c>
      <c r="G251" s="2959">
        <v>401</v>
      </c>
      <c r="H251" s="2959" t="s">
        <v>3055</v>
      </c>
      <c r="I251" s="2960">
        <v>143.88999999999999</v>
      </c>
      <c r="J251" s="2960">
        <v>143.88999999999999</v>
      </c>
      <c r="K251" s="2960">
        <v>0</v>
      </c>
      <c r="L251" s="2960">
        <v>0</v>
      </c>
      <c r="M251" s="2966"/>
      <c r="N251" s="2966"/>
    </row>
    <row r="252" spans="2:14" ht="14.25" hidden="1">
      <c r="B252" s="2962"/>
      <c r="C252" s="2962" t="s">
        <v>3053</v>
      </c>
      <c r="D252" s="2962" t="s">
        <v>3054</v>
      </c>
      <c r="E252" s="2963">
        <v>8</v>
      </c>
      <c r="F252" s="2964">
        <v>1</v>
      </c>
      <c r="G252" s="2963">
        <v>402</v>
      </c>
      <c r="H252" s="2963" t="s">
        <v>3056</v>
      </c>
      <c r="I252" s="2964">
        <v>143.88999999999999</v>
      </c>
      <c r="J252" s="2964">
        <v>143.88999999999999</v>
      </c>
      <c r="K252" s="2964">
        <v>0</v>
      </c>
      <c r="L252" s="2964">
        <v>0</v>
      </c>
      <c r="M252" s="2966"/>
      <c r="N252" s="2966"/>
    </row>
    <row r="253" spans="2:14" ht="14.25" hidden="1">
      <c r="B253" s="2962"/>
      <c r="C253" s="2962" t="s">
        <v>3053</v>
      </c>
      <c r="D253" s="2962" t="s">
        <v>3054</v>
      </c>
      <c r="E253" s="2963">
        <v>8</v>
      </c>
      <c r="F253" s="2964">
        <v>1</v>
      </c>
      <c r="G253" s="2963">
        <v>501</v>
      </c>
      <c r="H253" s="2963" t="s">
        <v>3056</v>
      </c>
      <c r="I253" s="2964">
        <v>143.88999999999999</v>
      </c>
      <c r="J253" s="2964">
        <v>143.88999999999999</v>
      </c>
      <c r="K253" s="2964">
        <v>0</v>
      </c>
      <c r="L253" s="2964">
        <v>0</v>
      </c>
      <c r="M253" s="2966"/>
      <c r="N253" s="2966"/>
    </row>
    <row r="254" spans="2:14" ht="14.25" hidden="1">
      <c r="B254" s="2962"/>
      <c r="C254" s="2962" t="s">
        <v>3053</v>
      </c>
      <c r="D254" s="2962" t="s">
        <v>3054</v>
      </c>
      <c r="E254" s="2963">
        <v>8</v>
      </c>
      <c r="F254" s="2964">
        <v>1</v>
      </c>
      <c r="G254" s="2963">
        <v>502</v>
      </c>
      <c r="H254" s="2963" t="s">
        <v>3056</v>
      </c>
      <c r="I254" s="2964">
        <v>143.88999999999999</v>
      </c>
      <c r="J254" s="2964">
        <v>143.88999999999999</v>
      </c>
      <c r="K254" s="2964">
        <v>0</v>
      </c>
      <c r="L254" s="2964">
        <v>0</v>
      </c>
      <c r="M254" s="2966"/>
      <c r="N254" s="2966"/>
    </row>
    <row r="255" spans="2:14" ht="14.25">
      <c r="B255" s="2958">
        <v>59</v>
      </c>
      <c r="C255" s="2958" t="s">
        <v>3053</v>
      </c>
      <c r="D255" s="2958" t="s">
        <v>3054</v>
      </c>
      <c r="E255" s="2959">
        <v>8</v>
      </c>
      <c r="F255" s="2960">
        <v>1</v>
      </c>
      <c r="G255" s="2959">
        <v>601</v>
      </c>
      <c r="H255" s="2959" t="s">
        <v>3055</v>
      </c>
      <c r="I255" s="2960">
        <v>143.88999999999999</v>
      </c>
      <c r="J255" s="2960">
        <v>143.88999999999999</v>
      </c>
      <c r="K255" s="2960">
        <v>0</v>
      </c>
      <c r="L255" s="2960">
        <v>0</v>
      </c>
      <c r="M255" s="2966"/>
      <c r="N255" s="2966"/>
    </row>
    <row r="256" spans="2:14" ht="14.25" hidden="1">
      <c r="B256" s="2962"/>
      <c r="C256" s="2962" t="s">
        <v>3053</v>
      </c>
      <c r="D256" s="2962" t="s">
        <v>3054</v>
      </c>
      <c r="E256" s="2963">
        <v>8</v>
      </c>
      <c r="F256" s="2964">
        <v>1</v>
      </c>
      <c r="G256" s="2963">
        <v>602</v>
      </c>
      <c r="H256" s="2963" t="s">
        <v>3056</v>
      </c>
      <c r="I256" s="2964">
        <v>143.88999999999999</v>
      </c>
      <c r="J256" s="2964">
        <v>143.88999999999999</v>
      </c>
      <c r="K256" s="2964">
        <v>0</v>
      </c>
      <c r="L256" s="2964">
        <v>0</v>
      </c>
      <c r="M256" s="2966"/>
      <c r="N256" s="2966"/>
    </row>
    <row r="257" spans="2:14" ht="14.25">
      <c r="B257" s="2958">
        <v>60</v>
      </c>
      <c r="C257" s="2958" t="s">
        <v>3053</v>
      </c>
      <c r="D257" s="2958" t="s">
        <v>3054</v>
      </c>
      <c r="E257" s="2959">
        <v>8</v>
      </c>
      <c r="F257" s="2960">
        <v>1</v>
      </c>
      <c r="G257" s="2959">
        <v>701</v>
      </c>
      <c r="H257" s="2959" t="s">
        <v>3055</v>
      </c>
      <c r="I257" s="2960">
        <v>143.88999999999999</v>
      </c>
      <c r="J257" s="2960">
        <v>143.88999999999999</v>
      </c>
      <c r="K257" s="2960">
        <v>0</v>
      </c>
      <c r="L257" s="2960">
        <v>0</v>
      </c>
      <c r="M257" s="2966"/>
      <c r="N257" s="2966"/>
    </row>
    <row r="258" spans="2:14" ht="14.25" hidden="1">
      <c r="B258" s="2962"/>
      <c r="C258" s="2962" t="s">
        <v>3053</v>
      </c>
      <c r="D258" s="2962" t="s">
        <v>3054</v>
      </c>
      <c r="E258" s="2963">
        <v>8</v>
      </c>
      <c r="F258" s="2964">
        <v>1</v>
      </c>
      <c r="G258" s="2963">
        <v>702</v>
      </c>
      <c r="H258" s="2963" t="s">
        <v>3056</v>
      </c>
      <c r="I258" s="2964">
        <v>143.88999999999999</v>
      </c>
      <c r="J258" s="2964">
        <v>143.88999999999999</v>
      </c>
      <c r="K258" s="2964">
        <v>0</v>
      </c>
      <c r="L258" s="2964">
        <v>0</v>
      </c>
      <c r="M258" s="2966"/>
      <c r="N258" s="2966"/>
    </row>
    <row r="259" spans="2:14" ht="14.25" hidden="1">
      <c r="B259" s="2962"/>
      <c r="C259" s="2962" t="s">
        <v>3053</v>
      </c>
      <c r="D259" s="2962" t="s">
        <v>3054</v>
      </c>
      <c r="E259" s="2963">
        <v>8</v>
      </c>
      <c r="F259" s="2964">
        <v>1</v>
      </c>
      <c r="G259" s="2963">
        <v>801</v>
      </c>
      <c r="H259" s="2963" t="s">
        <v>3056</v>
      </c>
      <c r="I259" s="2964">
        <v>143.88999999999999</v>
      </c>
      <c r="J259" s="2964">
        <v>143.88999999999999</v>
      </c>
      <c r="K259" s="2964">
        <v>0</v>
      </c>
      <c r="L259" s="2964">
        <v>0</v>
      </c>
      <c r="M259" s="2966"/>
      <c r="N259" s="2966"/>
    </row>
    <row r="260" spans="2:14" ht="14.25" hidden="1">
      <c r="B260" s="2962"/>
      <c r="C260" s="2962" t="s">
        <v>3053</v>
      </c>
      <c r="D260" s="2962" t="s">
        <v>3054</v>
      </c>
      <c r="E260" s="2963">
        <v>8</v>
      </c>
      <c r="F260" s="2964">
        <v>1</v>
      </c>
      <c r="G260" s="2963">
        <v>802</v>
      </c>
      <c r="H260" s="2963" t="s">
        <v>3056</v>
      </c>
      <c r="I260" s="2964">
        <v>143.88999999999999</v>
      </c>
      <c r="J260" s="2964">
        <v>143.88999999999999</v>
      </c>
      <c r="K260" s="2964">
        <v>0</v>
      </c>
      <c r="L260" s="2964">
        <v>0</v>
      </c>
      <c r="M260" s="2966"/>
      <c r="N260" s="2966"/>
    </row>
    <row r="261" spans="2:14" ht="14.25">
      <c r="B261" s="2958">
        <v>61</v>
      </c>
      <c r="C261" s="2958" t="s">
        <v>3053</v>
      </c>
      <c r="D261" s="2958" t="s">
        <v>3054</v>
      </c>
      <c r="E261" s="2959">
        <v>8</v>
      </c>
      <c r="F261" s="2960">
        <v>1</v>
      </c>
      <c r="G261" s="2959">
        <v>901</v>
      </c>
      <c r="H261" s="2959" t="s">
        <v>3055</v>
      </c>
      <c r="I261" s="2960">
        <v>200.79</v>
      </c>
      <c r="J261" s="2960">
        <v>143.88999999999999</v>
      </c>
      <c r="K261" s="2960">
        <v>56.9</v>
      </c>
      <c r="L261" s="2960">
        <v>0</v>
      </c>
      <c r="M261" s="2966"/>
      <c r="N261" s="2966"/>
    </row>
    <row r="262" spans="2:14" ht="14.25" hidden="1">
      <c r="B262" s="2962"/>
      <c r="C262" s="2962" t="s">
        <v>3053</v>
      </c>
      <c r="D262" s="2962" t="s">
        <v>3054</v>
      </c>
      <c r="E262" s="2963">
        <v>8</v>
      </c>
      <c r="F262" s="2964">
        <v>1</v>
      </c>
      <c r="G262" s="2963">
        <v>902</v>
      </c>
      <c r="H262" s="2963" t="s">
        <v>3056</v>
      </c>
      <c r="I262" s="2964">
        <v>200.79</v>
      </c>
      <c r="J262" s="2964">
        <v>143.88999999999999</v>
      </c>
      <c r="K262" s="2964">
        <v>56.9</v>
      </c>
      <c r="L262" s="2964">
        <v>0</v>
      </c>
      <c r="M262" s="2966"/>
      <c r="N262" s="2966"/>
    </row>
    <row r="263" spans="2:14" ht="14.25" hidden="1">
      <c r="B263" s="2962"/>
      <c r="C263" s="2962" t="s">
        <v>3053</v>
      </c>
      <c r="D263" s="2962" t="s">
        <v>3054</v>
      </c>
      <c r="E263" s="2963">
        <v>8</v>
      </c>
      <c r="F263" s="2964">
        <v>2</v>
      </c>
      <c r="G263" s="2963">
        <v>103</v>
      </c>
      <c r="H263" s="2963" t="s">
        <v>3056</v>
      </c>
      <c r="I263" s="2964">
        <v>345.77</v>
      </c>
      <c r="J263" s="2964">
        <v>133.22</v>
      </c>
      <c r="K263" s="2964">
        <v>0</v>
      </c>
      <c r="L263" s="2964">
        <f>125.51+87.04</f>
        <v>212.55</v>
      </c>
      <c r="M263" s="2966"/>
      <c r="N263" s="2966"/>
    </row>
    <row r="264" spans="2:14" ht="14.25" hidden="1">
      <c r="B264" s="2962"/>
      <c r="C264" s="2962" t="s">
        <v>3053</v>
      </c>
      <c r="D264" s="2962" t="s">
        <v>3054</v>
      </c>
      <c r="E264" s="2963">
        <v>8</v>
      </c>
      <c r="F264" s="2964">
        <v>2</v>
      </c>
      <c r="G264" s="2963">
        <v>104</v>
      </c>
      <c r="H264" s="2963" t="s">
        <v>3056</v>
      </c>
      <c r="I264" s="2964">
        <v>349.61</v>
      </c>
      <c r="J264" s="2964">
        <v>133.22</v>
      </c>
      <c r="K264" s="2964">
        <v>0</v>
      </c>
      <c r="L264" s="2964">
        <f>125.26+91.13</f>
        <v>216.39</v>
      </c>
      <c r="M264" s="2966"/>
      <c r="N264" s="2966"/>
    </row>
    <row r="265" spans="2:14" ht="14.25">
      <c r="B265" s="2958">
        <v>62</v>
      </c>
      <c r="C265" s="2958" t="s">
        <v>3053</v>
      </c>
      <c r="D265" s="2958" t="s">
        <v>3054</v>
      </c>
      <c r="E265" s="2959">
        <v>8</v>
      </c>
      <c r="F265" s="2960">
        <v>2</v>
      </c>
      <c r="G265" s="2959">
        <v>203</v>
      </c>
      <c r="H265" s="2959" t="s">
        <v>3055</v>
      </c>
      <c r="I265" s="2960">
        <v>305.49</v>
      </c>
      <c r="J265" s="2960">
        <v>151.81</v>
      </c>
      <c r="K265" s="2960">
        <v>0</v>
      </c>
      <c r="L265" s="2960">
        <f>67.66+86.02</f>
        <v>153.68</v>
      </c>
      <c r="M265" s="2966"/>
      <c r="N265" s="2966"/>
    </row>
    <row r="266" spans="2:14" ht="14.25" hidden="1">
      <c r="B266" s="2962"/>
      <c r="C266" s="2962" t="s">
        <v>3053</v>
      </c>
      <c r="D266" s="2962" t="s">
        <v>3054</v>
      </c>
      <c r="E266" s="2963">
        <v>8</v>
      </c>
      <c r="F266" s="2964">
        <v>2</v>
      </c>
      <c r="G266" s="2963">
        <v>204</v>
      </c>
      <c r="H266" s="2963" t="s">
        <v>3056</v>
      </c>
      <c r="I266" s="2964">
        <v>250.08</v>
      </c>
      <c r="J266" s="2964">
        <v>151.81</v>
      </c>
      <c r="K266" s="2964">
        <v>0</v>
      </c>
      <c r="L266" s="2964">
        <f>67.59+30.68</f>
        <v>98.27000000000001</v>
      </c>
      <c r="M266" s="2966"/>
      <c r="N266" s="2966"/>
    </row>
    <row r="267" spans="2:14" ht="14.25" hidden="1">
      <c r="B267" s="2962"/>
      <c r="C267" s="2962" t="s">
        <v>3053</v>
      </c>
      <c r="D267" s="2962" t="s">
        <v>3054</v>
      </c>
      <c r="E267" s="2963">
        <v>8</v>
      </c>
      <c r="F267" s="2964">
        <v>2</v>
      </c>
      <c r="G267" s="2963">
        <v>303</v>
      </c>
      <c r="H267" s="2963" t="s">
        <v>3056</v>
      </c>
      <c r="I267" s="2964">
        <v>143.93</v>
      </c>
      <c r="J267" s="2964">
        <v>143.93</v>
      </c>
      <c r="K267" s="2964">
        <v>0</v>
      </c>
      <c r="L267" s="2964">
        <v>0</v>
      </c>
      <c r="M267" s="2966"/>
      <c r="N267" s="2966"/>
    </row>
    <row r="268" spans="2:14" ht="14.25" hidden="1">
      <c r="B268" s="2962"/>
      <c r="C268" s="2962" t="s">
        <v>3053</v>
      </c>
      <c r="D268" s="2962" t="s">
        <v>3054</v>
      </c>
      <c r="E268" s="2963">
        <v>8</v>
      </c>
      <c r="F268" s="2964">
        <v>2</v>
      </c>
      <c r="G268" s="2963">
        <v>304</v>
      </c>
      <c r="H268" s="2963" t="s">
        <v>3056</v>
      </c>
      <c r="I268" s="2964">
        <v>143.93</v>
      </c>
      <c r="J268" s="2964">
        <v>143.93</v>
      </c>
      <c r="K268" s="2964">
        <v>0</v>
      </c>
      <c r="L268" s="2964">
        <v>0</v>
      </c>
      <c r="M268" s="2966"/>
      <c r="N268" s="2966"/>
    </row>
    <row r="269" spans="2:14" ht="14.25" hidden="1">
      <c r="B269" s="2962"/>
      <c r="C269" s="2962" t="s">
        <v>3053</v>
      </c>
      <c r="D269" s="2962" t="s">
        <v>3054</v>
      </c>
      <c r="E269" s="2963">
        <v>8</v>
      </c>
      <c r="F269" s="2964">
        <v>2</v>
      </c>
      <c r="G269" s="2963">
        <v>403</v>
      </c>
      <c r="H269" s="2963" t="s">
        <v>3056</v>
      </c>
      <c r="I269" s="2964">
        <v>143.93</v>
      </c>
      <c r="J269" s="2964">
        <v>143.93</v>
      </c>
      <c r="K269" s="2964">
        <v>0</v>
      </c>
      <c r="L269" s="2964">
        <v>0</v>
      </c>
      <c r="M269" s="2966"/>
      <c r="N269" s="2966"/>
    </row>
    <row r="270" spans="2:14" ht="14.25" hidden="1">
      <c r="B270" s="2962"/>
      <c r="C270" s="2962" t="s">
        <v>3053</v>
      </c>
      <c r="D270" s="2962" t="s">
        <v>3054</v>
      </c>
      <c r="E270" s="2963">
        <v>8</v>
      </c>
      <c r="F270" s="2964">
        <v>2</v>
      </c>
      <c r="G270" s="2963">
        <v>404</v>
      </c>
      <c r="H270" s="2963" t="s">
        <v>3056</v>
      </c>
      <c r="I270" s="2964">
        <v>143.93</v>
      </c>
      <c r="J270" s="2964">
        <v>143.93</v>
      </c>
      <c r="K270" s="2964">
        <v>0</v>
      </c>
      <c r="L270" s="2964">
        <v>0</v>
      </c>
      <c r="M270" s="2966"/>
      <c r="N270" s="2966"/>
    </row>
    <row r="271" spans="2:14" ht="14.25" hidden="1">
      <c r="B271" s="2962"/>
      <c r="C271" s="2962" t="s">
        <v>3053</v>
      </c>
      <c r="D271" s="2962" t="s">
        <v>3054</v>
      </c>
      <c r="E271" s="2963">
        <v>8</v>
      </c>
      <c r="F271" s="2964">
        <v>2</v>
      </c>
      <c r="G271" s="2963">
        <v>503</v>
      </c>
      <c r="H271" s="2963" t="s">
        <v>3056</v>
      </c>
      <c r="I271" s="2964">
        <v>143.93</v>
      </c>
      <c r="J271" s="2964">
        <v>143.93</v>
      </c>
      <c r="K271" s="2964">
        <v>0</v>
      </c>
      <c r="L271" s="2964">
        <v>0</v>
      </c>
      <c r="M271" s="2966"/>
      <c r="N271" s="2966"/>
    </row>
    <row r="272" spans="2:14" ht="14.25" hidden="1">
      <c r="B272" s="2962"/>
      <c r="C272" s="2962" t="s">
        <v>3053</v>
      </c>
      <c r="D272" s="2962" t="s">
        <v>3054</v>
      </c>
      <c r="E272" s="2963">
        <v>8</v>
      </c>
      <c r="F272" s="2964">
        <v>2</v>
      </c>
      <c r="G272" s="2963">
        <v>504</v>
      </c>
      <c r="H272" s="2963" t="s">
        <v>3056</v>
      </c>
      <c r="I272" s="2964">
        <v>143.93</v>
      </c>
      <c r="J272" s="2964">
        <v>143.93</v>
      </c>
      <c r="K272" s="2964">
        <v>0</v>
      </c>
      <c r="L272" s="2964">
        <v>0</v>
      </c>
      <c r="M272" s="2966"/>
      <c r="N272" s="2966"/>
    </row>
    <row r="273" spans="2:14" ht="14.25" hidden="1">
      <c r="B273" s="2962"/>
      <c r="C273" s="2962" t="s">
        <v>3053</v>
      </c>
      <c r="D273" s="2962" t="s">
        <v>3054</v>
      </c>
      <c r="E273" s="2963">
        <v>8</v>
      </c>
      <c r="F273" s="2964">
        <v>2</v>
      </c>
      <c r="G273" s="2963">
        <v>603</v>
      </c>
      <c r="H273" s="2963" t="s">
        <v>3056</v>
      </c>
      <c r="I273" s="2964">
        <v>143.93</v>
      </c>
      <c r="J273" s="2964">
        <v>143.93</v>
      </c>
      <c r="K273" s="2964">
        <v>0</v>
      </c>
      <c r="L273" s="2964">
        <v>0</v>
      </c>
      <c r="M273" s="2966"/>
      <c r="N273" s="2966"/>
    </row>
    <row r="274" spans="2:14" ht="14.25" hidden="1">
      <c r="B274" s="2962"/>
      <c r="C274" s="2962" t="s">
        <v>3053</v>
      </c>
      <c r="D274" s="2962" t="s">
        <v>3054</v>
      </c>
      <c r="E274" s="2963">
        <v>8</v>
      </c>
      <c r="F274" s="2964">
        <v>2</v>
      </c>
      <c r="G274" s="2963">
        <v>604</v>
      </c>
      <c r="H274" s="2963" t="s">
        <v>3056</v>
      </c>
      <c r="I274" s="2964">
        <v>143.93</v>
      </c>
      <c r="J274" s="2964">
        <v>143.93</v>
      </c>
      <c r="K274" s="2964">
        <v>0</v>
      </c>
      <c r="L274" s="2964">
        <v>0</v>
      </c>
      <c r="M274" s="2966"/>
      <c r="N274" s="2966"/>
    </row>
    <row r="275" spans="2:14" ht="14.25" hidden="1">
      <c r="B275" s="2962"/>
      <c r="C275" s="2962" t="s">
        <v>3053</v>
      </c>
      <c r="D275" s="2962" t="s">
        <v>3054</v>
      </c>
      <c r="E275" s="2963">
        <v>8</v>
      </c>
      <c r="F275" s="2964">
        <v>2</v>
      </c>
      <c r="G275" s="2963">
        <v>703</v>
      </c>
      <c r="H275" s="2963" t="s">
        <v>3056</v>
      </c>
      <c r="I275" s="2964">
        <v>143.93</v>
      </c>
      <c r="J275" s="2964">
        <v>143.93</v>
      </c>
      <c r="K275" s="2964">
        <v>0</v>
      </c>
      <c r="L275" s="2964">
        <v>0</v>
      </c>
      <c r="M275" s="2966"/>
      <c r="N275" s="2966"/>
    </row>
    <row r="276" spans="2:14" ht="14.25" hidden="1">
      <c r="B276" s="2962"/>
      <c r="C276" s="2962" t="s">
        <v>3053</v>
      </c>
      <c r="D276" s="2962" t="s">
        <v>3054</v>
      </c>
      <c r="E276" s="2963">
        <v>8</v>
      </c>
      <c r="F276" s="2964">
        <v>2</v>
      </c>
      <c r="G276" s="2963">
        <v>704</v>
      </c>
      <c r="H276" s="2963" t="s">
        <v>3056</v>
      </c>
      <c r="I276" s="2964">
        <v>143.93</v>
      </c>
      <c r="J276" s="2964">
        <v>143.93</v>
      </c>
      <c r="K276" s="2964">
        <v>0</v>
      </c>
      <c r="L276" s="2964">
        <v>0</v>
      </c>
      <c r="M276" s="2966"/>
      <c r="N276" s="2966"/>
    </row>
    <row r="277" spans="2:14" ht="14.25" hidden="1">
      <c r="B277" s="2962"/>
      <c r="C277" s="2962" t="s">
        <v>3053</v>
      </c>
      <c r="D277" s="2962" t="s">
        <v>3054</v>
      </c>
      <c r="E277" s="2963">
        <v>8</v>
      </c>
      <c r="F277" s="2964">
        <v>2</v>
      </c>
      <c r="G277" s="2963">
        <v>803</v>
      </c>
      <c r="H277" s="2963" t="s">
        <v>3056</v>
      </c>
      <c r="I277" s="2964">
        <v>143.93</v>
      </c>
      <c r="J277" s="2964">
        <v>143.93</v>
      </c>
      <c r="K277" s="2964">
        <v>0</v>
      </c>
      <c r="L277" s="2964">
        <v>0</v>
      </c>
      <c r="M277" s="2966"/>
      <c r="N277" s="2966"/>
    </row>
    <row r="278" spans="2:14" ht="14.25" hidden="1">
      <c r="B278" s="2962"/>
      <c r="C278" s="2962" t="s">
        <v>3053</v>
      </c>
      <c r="D278" s="2962" t="s">
        <v>3054</v>
      </c>
      <c r="E278" s="2963">
        <v>8</v>
      </c>
      <c r="F278" s="2964">
        <v>2</v>
      </c>
      <c r="G278" s="2963">
        <v>804</v>
      </c>
      <c r="H278" s="2963" t="s">
        <v>3056</v>
      </c>
      <c r="I278" s="2964">
        <v>143.93</v>
      </c>
      <c r="J278" s="2964">
        <v>143.93</v>
      </c>
      <c r="K278" s="2964">
        <v>0</v>
      </c>
      <c r="L278" s="2964">
        <v>0</v>
      </c>
      <c r="M278" s="2966"/>
      <c r="N278" s="2966"/>
    </row>
    <row r="279" spans="2:14" ht="14.25" hidden="1">
      <c r="B279" s="2962"/>
      <c r="C279" s="2962" t="s">
        <v>3053</v>
      </c>
      <c r="D279" s="2962" t="s">
        <v>3054</v>
      </c>
      <c r="E279" s="2963">
        <v>8</v>
      </c>
      <c r="F279" s="2964">
        <v>2</v>
      </c>
      <c r="G279" s="2963">
        <v>903</v>
      </c>
      <c r="H279" s="2963" t="s">
        <v>3056</v>
      </c>
      <c r="I279" s="2964">
        <v>143.93</v>
      </c>
      <c r="J279" s="2964">
        <v>143.93</v>
      </c>
      <c r="K279" s="2964">
        <v>0</v>
      </c>
      <c r="L279" s="2964">
        <v>0</v>
      </c>
      <c r="M279" s="2966"/>
      <c r="N279" s="2966"/>
    </row>
    <row r="280" spans="2:14" ht="14.25" hidden="1">
      <c r="B280" s="2962"/>
      <c r="C280" s="2962" t="s">
        <v>3053</v>
      </c>
      <c r="D280" s="2962" t="s">
        <v>3054</v>
      </c>
      <c r="E280" s="2963">
        <v>8</v>
      </c>
      <c r="F280" s="2964">
        <v>2</v>
      </c>
      <c r="G280" s="2963">
        <v>904</v>
      </c>
      <c r="H280" s="2963" t="s">
        <v>3056</v>
      </c>
      <c r="I280" s="2964">
        <v>143.93</v>
      </c>
      <c r="J280" s="2964">
        <v>143.93</v>
      </c>
      <c r="K280" s="2964">
        <v>0</v>
      </c>
      <c r="L280" s="2964">
        <v>0</v>
      </c>
      <c r="M280" s="2966"/>
      <c r="N280" s="2966"/>
    </row>
    <row r="281" spans="2:14" ht="14.25" hidden="1">
      <c r="B281" s="2962"/>
      <c r="C281" s="2962" t="s">
        <v>3053</v>
      </c>
      <c r="D281" s="2962" t="s">
        <v>3054</v>
      </c>
      <c r="E281" s="2963">
        <v>8</v>
      </c>
      <c r="F281" s="2964">
        <v>2</v>
      </c>
      <c r="G281" s="2963">
        <v>1003</v>
      </c>
      <c r="H281" s="2963" t="s">
        <v>3056</v>
      </c>
      <c r="I281" s="2964">
        <v>143.93</v>
      </c>
      <c r="J281" s="2964">
        <v>143.93</v>
      </c>
      <c r="K281" s="2964">
        <v>0</v>
      </c>
      <c r="L281" s="2964">
        <v>0</v>
      </c>
      <c r="M281" s="2966"/>
      <c r="N281" s="2966"/>
    </row>
    <row r="282" spans="2:14" ht="14.25" hidden="1">
      <c r="B282" s="2962"/>
      <c r="C282" s="2962" t="s">
        <v>3053</v>
      </c>
      <c r="D282" s="2962" t="s">
        <v>3054</v>
      </c>
      <c r="E282" s="2963">
        <v>8</v>
      </c>
      <c r="F282" s="2964">
        <v>2</v>
      </c>
      <c r="G282" s="2963">
        <v>1004</v>
      </c>
      <c r="H282" s="2963" t="s">
        <v>3056</v>
      </c>
      <c r="I282" s="2964">
        <v>143.93</v>
      </c>
      <c r="J282" s="2964">
        <v>143.93</v>
      </c>
      <c r="K282" s="2964">
        <v>0</v>
      </c>
      <c r="L282" s="2964">
        <v>0</v>
      </c>
      <c r="M282" s="2966"/>
      <c r="N282" s="2966"/>
    </row>
    <row r="283" spans="2:14" ht="14.25" hidden="1">
      <c r="B283" s="2962"/>
      <c r="C283" s="2962" t="s">
        <v>3053</v>
      </c>
      <c r="D283" s="2962" t="s">
        <v>3054</v>
      </c>
      <c r="E283" s="2963">
        <v>8</v>
      </c>
      <c r="F283" s="2964">
        <v>2</v>
      </c>
      <c r="G283" s="2963">
        <v>1103</v>
      </c>
      <c r="H283" s="2963" t="s">
        <v>3056</v>
      </c>
      <c r="I283" s="2964">
        <v>201.06</v>
      </c>
      <c r="J283" s="2964">
        <v>144.15</v>
      </c>
      <c r="K283" s="2964">
        <v>56.91</v>
      </c>
      <c r="L283" s="2964">
        <v>0</v>
      </c>
      <c r="M283" s="2966"/>
      <c r="N283" s="2966"/>
    </row>
    <row r="284" spans="2:14" ht="14.25" hidden="1">
      <c r="B284" s="2962"/>
      <c r="C284" s="2962" t="s">
        <v>3053</v>
      </c>
      <c r="D284" s="2962" t="s">
        <v>3054</v>
      </c>
      <c r="E284" s="2963">
        <v>8</v>
      </c>
      <c r="F284" s="2964">
        <v>2</v>
      </c>
      <c r="G284" s="2963">
        <v>1104</v>
      </c>
      <c r="H284" s="2963" t="s">
        <v>3056</v>
      </c>
      <c r="I284" s="2964">
        <v>201.06</v>
      </c>
      <c r="J284" s="2964">
        <v>144.15</v>
      </c>
      <c r="K284" s="2964">
        <v>56.91</v>
      </c>
      <c r="L284" s="2964">
        <v>0</v>
      </c>
      <c r="M284" s="2966"/>
      <c r="N284" s="2966"/>
    </row>
    <row r="285" spans="2:14" ht="14.25">
      <c r="B285" s="2958">
        <v>321</v>
      </c>
      <c r="C285" s="2958" t="s">
        <v>3057</v>
      </c>
      <c r="D285" s="2958" t="s">
        <v>3058</v>
      </c>
      <c r="E285" s="2959">
        <v>9</v>
      </c>
      <c r="F285" s="2960">
        <v>1</v>
      </c>
      <c r="G285" s="2959">
        <v>101</v>
      </c>
      <c r="H285" s="2959" t="s">
        <v>3055</v>
      </c>
      <c r="I285" s="2960">
        <v>414.58</v>
      </c>
      <c r="J285" s="2960">
        <v>143.21</v>
      </c>
      <c r="K285" s="2960">
        <v>0</v>
      </c>
      <c r="L285" s="2960">
        <f>161.36+110.01</f>
        <v>271.37</v>
      </c>
      <c r="M285" s="2966">
        <f>55.51+39.23</f>
        <v>94.74</v>
      </c>
      <c r="N285" s="2966">
        <v>0</v>
      </c>
    </row>
    <row r="286" spans="2:14" ht="14.25">
      <c r="B286" s="2958">
        <v>322</v>
      </c>
      <c r="C286" s="2958" t="s">
        <v>3057</v>
      </c>
      <c r="D286" s="2958" t="s">
        <v>3058</v>
      </c>
      <c r="E286" s="2959">
        <v>9</v>
      </c>
      <c r="F286" s="2960">
        <v>1</v>
      </c>
      <c r="G286" s="2959">
        <v>102</v>
      </c>
      <c r="H286" s="2959" t="s">
        <v>3055</v>
      </c>
      <c r="I286" s="2960">
        <v>414.33</v>
      </c>
      <c r="J286" s="2960">
        <v>143.21</v>
      </c>
      <c r="K286" s="2960">
        <v>0</v>
      </c>
      <c r="L286" s="2960">
        <f>161.36+109.76</f>
        <v>271.12</v>
      </c>
      <c r="M286" s="2966"/>
      <c r="N286" s="2966"/>
    </row>
    <row r="287" spans="2:14" ht="14.25">
      <c r="B287" s="2958">
        <v>323</v>
      </c>
      <c r="C287" s="2958" t="s">
        <v>3057</v>
      </c>
      <c r="D287" s="2958" t="s">
        <v>3058</v>
      </c>
      <c r="E287" s="2959">
        <v>9</v>
      </c>
      <c r="F287" s="2960">
        <v>1</v>
      </c>
      <c r="G287" s="2959">
        <v>201</v>
      </c>
      <c r="H287" s="2959" t="s">
        <v>3055</v>
      </c>
      <c r="I287" s="2960">
        <v>340.61</v>
      </c>
      <c r="J287" s="2960">
        <v>162.43</v>
      </c>
      <c r="K287" s="2960">
        <v>0</v>
      </c>
      <c r="L287" s="2960">
        <f>91.5+86.68</f>
        <v>178.18</v>
      </c>
      <c r="M287" s="2966"/>
      <c r="N287" s="2966"/>
    </row>
    <row r="288" spans="2:14" ht="14.25">
      <c r="B288" s="2958">
        <v>324</v>
      </c>
      <c r="C288" s="2958" t="s">
        <v>3057</v>
      </c>
      <c r="D288" s="2958" t="s">
        <v>3058</v>
      </c>
      <c r="E288" s="2959">
        <v>9</v>
      </c>
      <c r="F288" s="2960">
        <v>1</v>
      </c>
      <c r="G288" s="2959">
        <v>202</v>
      </c>
      <c r="H288" s="2959" t="s">
        <v>3055</v>
      </c>
      <c r="I288" s="2960">
        <v>321.39</v>
      </c>
      <c r="J288" s="2960">
        <v>162.43</v>
      </c>
      <c r="K288" s="2960">
        <v>0</v>
      </c>
      <c r="L288" s="2960">
        <f>91.5+67.46</f>
        <v>158.95999999999998</v>
      </c>
      <c r="M288" s="2966"/>
      <c r="N288" s="2966"/>
    </row>
    <row r="289" spans="2:14" ht="14.25">
      <c r="B289" s="2958">
        <v>325</v>
      </c>
      <c r="C289" s="2958" t="s">
        <v>3057</v>
      </c>
      <c r="D289" s="2958" t="s">
        <v>3058</v>
      </c>
      <c r="E289" s="2959">
        <v>9</v>
      </c>
      <c r="F289" s="2960">
        <v>1</v>
      </c>
      <c r="G289" s="2959">
        <v>301</v>
      </c>
      <c r="H289" s="2959" t="s">
        <v>3055</v>
      </c>
      <c r="I289" s="2960">
        <v>155.88999999999999</v>
      </c>
      <c r="J289" s="2960">
        <v>155.88999999999999</v>
      </c>
      <c r="K289" s="2960">
        <v>0</v>
      </c>
      <c r="L289" s="2960">
        <v>0</v>
      </c>
      <c r="M289" s="2966"/>
      <c r="N289" s="2966"/>
    </row>
    <row r="290" spans="2:14" ht="14.25">
      <c r="B290" s="2958">
        <v>326</v>
      </c>
      <c r="C290" s="2958" t="s">
        <v>3057</v>
      </c>
      <c r="D290" s="2958" t="s">
        <v>3058</v>
      </c>
      <c r="E290" s="2959">
        <v>9</v>
      </c>
      <c r="F290" s="2960">
        <v>1</v>
      </c>
      <c r="G290" s="2959">
        <v>302</v>
      </c>
      <c r="H290" s="2959" t="s">
        <v>3055</v>
      </c>
      <c r="I290" s="2960">
        <v>155.88999999999999</v>
      </c>
      <c r="J290" s="2960">
        <v>155.88999999999999</v>
      </c>
      <c r="K290" s="2960">
        <v>0</v>
      </c>
      <c r="L290" s="2960">
        <v>0</v>
      </c>
      <c r="M290" s="2966"/>
      <c r="N290" s="2966"/>
    </row>
    <row r="291" spans="2:14" ht="14.25">
      <c r="B291" s="2958">
        <v>327</v>
      </c>
      <c r="C291" s="2958" t="s">
        <v>3057</v>
      </c>
      <c r="D291" s="2958" t="s">
        <v>3058</v>
      </c>
      <c r="E291" s="2959">
        <v>9</v>
      </c>
      <c r="F291" s="2960">
        <v>1</v>
      </c>
      <c r="G291" s="2959">
        <v>401</v>
      </c>
      <c r="H291" s="2959" t="s">
        <v>3055</v>
      </c>
      <c r="I291" s="2960">
        <v>155.88999999999999</v>
      </c>
      <c r="J291" s="2960">
        <v>155.88999999999999</v>
      </c>
      <c r="K291" s="2960">
        <v>0</v>
      </c>
      <c r="L291" s="2960">
        <v>0</v>
      </c>
      <c r="M291" s="2966"/>
      <c r="N291" s="2966"/>
    </row>
    <row r="292" spans="2:14" ht="14.25">
      <c r="B292" s="2958">
        <v>328</v>
      </c>
      <c r="C292" s="2958" t="s">
        <v>3057</v>
      </c>
      <c r="D292" s="2958" t="s">
        <v>3058</v>
      </c>
      <c r="E292" s="2959">
        <v>9</v>
      </c>
      <c r="F292" s="2960">
        <v>1</v>
      </c>
      <c r="G292" s="2959">
        <v>402</v>
      </c>
      <c r="H292" s="2959" t="s">
        <v>3055</v>
      </c>
      <c r="I292" s="2960">
        <v>155.88999999999999</v>
      </c>
      <c r="J292" s="2960">
        <v>155.88999999999999</v>
      </c>
      <c r="K292" s="2960">
        <v>0</v>
      </c>
      <c r="L292" s="2960">
        <v>0</v>
      </c>
      <c r="M292" s="2966"/>
      <c r="N292" s="2966"/>
    </row>
    <row r="293" spans="2:14" ht="14.25">
      <c r="B293" s="2958">
        <v>329</v>
      </c>
      <c r="C293" s="2958" t="s">
        <v>3057</v>
      </c>
      <c r="D293" s="2958" t="s">
        <v>3058</v>
      </c>
      <c r="E293" s="2959">
        <v>9</v>
      </c>
      <c r="F293" s="2960">
        <v>1</v>
      </c>
      <c r="G293" s="2959">
        <v>501</v>
      </c>
      <c r="H293" s="2959" t="s">
        <v>3055</v>
      </c>
      <c r="I293" s="2960">
        <v>155.88999999999999</v>
      </c>
      <c r="J293" s="2960">
        <v>155.88999999999999</v>
      </c>
      <c r="K293" s="2960">
        <v>0</v>
      </c>
      <c r="L293" s="2960">
        <v>0</v>
      </c>
      <c r="M293" s="2966"/>
      <c r="N293" s="2966"/>
    </row>
    <row r="294" spans="2:14" ht="14.25">
      <c r="B294" s="2958">
        <v>330</v>
      </c>
      <c r="C294" s="2958" t="s">
        <v>3057</v>
      </c>
      <c r="D294" s="2958" t="s">
        <v>3058</v>
      </c>
      <c r="E294" s="2959">
        <v>9</v>
      </c>
      <c r="F294" s="2960">
        <v>1</v>
      </c>
      <c r="G294" s="2959">
        <v>502</v>
      </c>
      <c r="H294" s="2959" t="s">
        <v>3055</v>
      </c>
      <c r="I294" s="2960">
        <v>155.88999999999999</v>
      </c>
      <c r="J294" s="2960">
        <v>155.88999999999999</v>
      </c>
      <c r="K294" s="2960">
        <v>0</v>
      </c>
      <c r="L294" s="2960">
        <v>0</v>
      </c>
      <c r="M294" s="2966"/>
      <c r="N294" s="2966"/>
    </row>
    <row r="295" spans="2:14" ht="14.25">
      <c r="B295" s="2958">
        <v>331</v>
      </c>
      <c r="C295" s="2958" t="s">
        <v>3057</v>
      </c>
      <c r="D295" s="2958" t="s">
        <v>3058</v>
      </c>
      <c r="E295" s="2959">
        <v>9</v>
      </c>
      <c r="F295" s="2960">
        <v>1</v>
      </c>
      <c r="G295" s="2959">
        <v>601</v>
      </c>
      <c r="H295" s="2959" t="s">
        <v>3055</v>
      </c>
      <c r="I295" s="2960">
        <v>155.88999999999999</v>
      </c>
      <c r="J295" s="2960">
        <v>155.88999999999999</v>
      </c>
      <c r="K295" s="2960">
        <v>0</v>
      </c>
      <c r="L295" s="2960">
        <v>0</v>
      </c>
      <c r="M295" s="2966"/>
      <c r="N295" s="2966"/>
    </row>
    <row r="296" spans="2:14" ht="14.25">
      <c r="B296" s="2958">
        <v>332</v>
      </c>
      <c r="C296" s="2958" t="s">
        <v>3057</v>
      </c>
      <c r="D296" s="2958" t="s">
        <v>3058</v>
      </c>
      <c r="E296" s="2959">
        <v>9</v>
      </c>
      <c r="F296" s="2960">
        <v>1</v>
      </c>
      <c r="G296" s="2959">
        <v>602</v>
      </c>
      <c r="H296" s="2959" t="s">
        <v>3055</v>
      </c>
      <c r="I296" s="2960">
        <v>155.88999999999999</v>
      </c>
      <c r="J296" s="2960">
        <v>155.88999999999999</v>
      </c>
      <c r="K296" s="2960">
        <v>0</v>
      </c>
      <c r="L296" s="2960">
        <v>0</v>
      </c>
      <c r="M296" s="2966"/>
      <c r="N296" s="2966"/>
    </row>
    <row r="297" spans="2:14" ht="14.25">
      <c r="B297" s="2958">
        <v>333</v>
      </c>
      <c r="C297" s="2958" t="s">
        <v>3057</v>
      </c>
      <c r="D297" s="2958" t="s">
        <v>3058</v>
      </c>
      <c r="E297" s="2959">
        <v>9</v>
      </c>
      <c r="F297" s="2960">
        <v>1</v>
      </c>
      <c r="G297" s="2959">
        <v>701</v>
      </c>
      <c r="H297" s="2959" t="s">
        <v>3055</v>
      </c>
      <c r="I297" s="2960">
        <v>155.88999999999999</v>
      </c>
      <c r="J297" s="2960">
        <v>155.88999999999999</v>
      </c>
      <c r="K297" s="2960">
        <v>0</v>
      </c>
      <c r="L297" s="2960">
        <v>0</v>
      </c>
      <c r="M297" s="2966"/>
      <c r="N297" s="2966"/>
    </row>
    <row r="298" spans="2:14" ht="14.25">
      <c r="B298" s="2958">
        <v>334</v>
      </c>
      <c r="C298" s="2958" t="s">
        <v>3057</v>
      </c>
      <c r="D298" s="2958" t="s">
        <v>3058</v>
      </c>
      <c r="E298" s="2959">
        <v>9</v>
      </c>
      <c r="F298" s="2960">
        <v>1</v>
      </c>
      <c r="G298" s="2959">
        <v>702</v>
      </c>
      <c r="H298" s="2959" t="s">
        <v>3055</v>
      </c>
      <c r="I298" s="2960">
        <v>155.88999999999999</v>
      </c>
      <c r="J298" s="2960">
        <v>155.88999999999999</v>
      </c>
      <c r="K298" s="2960">
        <v>0</v>
      </c>
      <c r="L298" s="2960">
        <v>0</v>
      </c>
      <c r="M298" s="2966"/>
      <c r="N298" s="2966"/>
    </row>
    <row r="299" spans="2:14" ht="14.25">
      <c r="B299" s="2958">
        <v>335</v>
      </c>
      <c r="C299" s="2958" t="s">
        <v>3057</v>
      </c>
      <c r="D299" s="2958" t="s">
        <v>3058</v>
      </c>
      <c r="E299" s="2959">
        <v>9</v>
      </c>
      <c r="F299" s="2960">
        <v>1</v>
      </c>
      <c r="G299" s="2959">
        <v>801</v>
      </c>
      <c r="H299" s="2959" t="s">
        <v>3055</v>
      </c>
      <c r="I299" s="2960">
        <v>155.88999999999999</v>
      </c>
      <c r="J299" s="2960">
        <v>155.88999999999999</v>
      </c>
      <c r="K299" s="2960">
        <v>0</v>
      </c>
      <c r="L299" s="2960">
        <v>0</v>
      </c>
      <c r="M299" s="2966"/>
      <c r="N299" s="2966"/>
    </row>
    <row r="300" spans="2:14" ht="14.25">
      <c r="B300" s="2958">
        <v>336</v>
      </c>
      <c r="C300" s="2958" t="s">
        <v>3057</v>
      </c>
      <c r="D300" s="2958" t="s">
        <v>3058</v>
      </c>
      <c r="E300" s="2959">
        <v>9</v>
      </c>
      <c r="F300" s="2960">
        <v>1</v>
      </c>
      <c r="G300" s="2959">
        <v>802</v>
      </c>
      <c r="H300" s="2959" t="s">
        <v>3055</v>
      </c>
      <c r="I300" s="2960">
        <v>155.88999999999999</v>
      </c>
      <c r="J300" s="2960">
        <v>155.88999999999999</v>
      </c>
      <c r="K300" s="2960">
        <v>0</v>
      </c>
      <c r="L300" s="2960">
        <v>0</v>
      </c>
      <c r="M300" s="2966"/>
      <c r="N300" s="2966"/>
    </row>
    <row r="301" spans="2:14" ht="14.25">
      <c r="B301" s="2958">
        <v>337</v>
      </c>
      <c r="C301" s="2958" t="s">
        <v>3057</v>
      </c>
      <c r="D301" s="2958" t="s">
        <v>3058</v>
      </c>
      <c r="E301" s="2959">
        <v>9</v>
      </c>
      <c r="F301" s="2960">
        <v>1</v>
      </c>
      <c r="G301" s="2959">
        <v>901</v>
      </c>
      <c r="H301" s="2959" t="s">
        <v>3055</v>
      </c>
      <c r="I301" s="2960">
        <v>155.88999999999999</v>
      </c>
      <c r="J301" s="2960">
        <v>155.88999999999999</v>
      </c>
      <c r="K301" s="2960">
        <v>0</v>
      </c>
      <c r="L301" s="2960">
        <v>0</v>
      </c>
      <c r="M301" s="2966"/>
      <c r="N301" s="2966"/>
    </row>
    <row r="302" spans="2:14" ht="14.25">
      <c r="B302" s="2958">
        <v>338</v>
      </c>
      <c r="C302" s="2958" t="s">
        <v>3057</v>
      </c>
      <c r="D302" s="2958" t="s">
        <v>3058</v>
      </c>
      <c r="E302" s="2959">
        <v>9</v>
      </c>
      <c r="F302" s="2960">
        <v>1</v>
      </c>
      <c r="G302" s="2959">
        <v>902</v>
      </c>
      <c r="H302" s="2959" t="s">
        <v>3055</v>
      </c>
      <c r="I302" s="2960">
        <v>155.88999999999999</v>
      </c>
      <c r="J302" s="2960">
        <v>155.88999999999999</v>
      </c>
      <c r="K302" s="2960">
        <v>0</v>
      </c>
      <c r="L302" s="2960">
        <v>0</v>
      </c>
      <c r="M302" s="2966"/>
      <c r="N302" s="2966"/>
    </row>
    <row r="303" spans="2:14" ht="14.25">
      <c r="B303" s="2958">
        <v>339</v>
      </c>
      <c r="C303" s="2958" t="s">
        <v>3057</v>
      </c>
      <c r="D303" s="2958" t="s">
        <v>3058</v>
      </c>
      <c r="E303" s="2959">
        <v>9</v>
      </c>
      <c r="F303" s="2960">
        <v>1</v>
      </c>
      <c r="G303" s="2959">
        <v>1001</v>
      </c>
      <c r="H303" s="2959" t="s">
        <v>3055</v>
      </c>
      <c r="I303" s="2960">
        <v>155.88999999999999</v>
      </c>
      <c r="J303" s="2960">
        <v>155.88999999999999</v>
      </c>
      <c r="K303" s="2960">
        <v>0</v>
      </c>
      <c r="L303" s="2960">
        <v>0</v>
      </c>
      <c r="M303" s="2966"/>
      <c r="N303" s="2966"/>
    </row>
    <row r="304" spans="2:14" ht="14.25">
      <c r="B304" s="2958">
        <v>340</v>
      </c>
      <c r="C304" s="2958" t="s">
        <v>3057</v>
      </c>
      <c r="D304" s="2958" t="s">
        <v>3058</v>
      </c>
      <c r="E304" s="2959">
        <v>9</v>
      </c>
      <c r="F304" s="2960">
        <v>1</v>
      </c>
      <c r="G304" s="2959">
        <v>1002</v>
      </c>
      <c r="H304" s="2959" t="s">
        <v>3055</v>
      </c>
      <c r="I304" s="2960">
        <v>155.88999999999999</v>
      </c>
      <c r="J304" s="2960">
        <v>155.88999999999999</v>
      </c>
      <c r="K304" s="2960">
        <v>0</v>
      </c>
      <c r="L304" s="2960">
        <v>0</v>
      </c>
      <c r="M304" s="2966"/>
      <c r="N304" s="2966"/>
    </row>
    <row r="305" spans="2:14" ht="14.25">
      <c r="B305" s="2958">
        <v>341</v>
      </c>
      <c r="C305" s="2958" t="s">
        <v>3057</v>
      </c>
      <c r="D305" s="2958" t="s">
        <v>3058</v>
      </c>
      <c r="E305" s="2959">
        <v>9</v>
      </c>
      <c r="F305" s="2960">
        <v>1</v>
      </c>
      <c r="G305" s="2959">
        <v>1101</v>
      </c>
      <c r="H305" s="2959" t="s">
        <v>3055</v>
      </c>
      <c r="I305" s="2960">
        <v>214.18</v>
      </c>
      <c r="J305" s="2960">
        <v>155.88999999999999</v>
      </c>
      <c r="K305" s="2960">
        <v>58.29</v>
      </c>
      <c r="L305" s="2960">
        <v>0</v>
      </c>
      <c r="M305" s="2966"/>
      <c r="N305" s="2966"/>
    </row>
    <row r="306" spans="2:14" ht="14.25">
      <c r="B306" s="2958">
        <v>342</v>
      </c>
      <c r="C306" s="2958" t="s">
        <v>3057</v>
      </c>
      <c r="D306" s="2958" t="s">
        <v>3058</v>
      </c>
      <c r="E306" s="2959">
        <v>9</v>
      </c>
      <c r="F306" s="2960">
        <v>1</v>
      </c>
      <c r="G306" s="2959">
        <v>1102</v>
      </c>
      <c r="H306" s="2959" t="s">
        <v>3055</v>
      </c>
      <c r="I306" s="2960">
        <v>214.18</v>
      </c>
      <c r="J306" s="2960">
        <v>155.88999999999999</v>
      </c>
      <c r="K306" s="2960">
        <v>58.29</v>
      </c>
      <c r="L306" s="2960">
        <v>0</v>
      </c>
      <c r="M306" s="2966"/>
      <c r="N306" s="2966"/>
    </row>
    <row r="307" spans="2:14" ht="14.25">
      <c r="B307" s="2958">
        <v>343</v>
      </c>
      <c r="C307" s="2958" t="s">
        <v>3057</v>
      </c>
      <c r="D307" s="2958" t="s">
        <v>3058</v>
      </c>
      <c r="E307" s="2959">
        <v>10</v>
      </c>
      <c r="F307" s="2960">
        <v>1</v>
      </c>
      <c r="G307" s="2959">
        <v>101</v>
      </c>
      <c r="H307" s="2959" t="s">
        <v>3055</v>
      </c>
      <c r="I307" s="2960">
        <v>404.45</v>
      </c>
      <c r="J307" s="2960">
        <v>143.18</v>
      </c>
      <c r="K307" s="2960">
        <v>0</v>
      </c>
      <c r="L307" s="2960">
        <f>158.32+102.95</f>
        <v>261.27</v>
      </c>
      <c r="M307" s="2966">
        <f>12.85+54.46+12.91+54.73</f>
        <v>134.94999999999999</v>
      </c>
      <c r="N307" s="2966">
        <v>0</v>
      </c>
    </row>
    <row r="308" spans="2:14" ht="14.25">
      <c r="B308" s="2958">
        <v>344</v>
      </c>
      <c r="C308" s="2958" t="s">
        <v>3057</v>
      </c>
      <c r="D308" s="2958" t="s">
        <v>3058</v>
      </c>
      <c r="E308" s="2959">
        <v>10</v>
      </c>
      <c r="F308" s="2960">
        <v>1</v>
      </c>
      <c r="G308" s="2959">
        <v>102</v>
      </c>
      <c r="H308" s="2959" t="s">
        <v>3055</v>
      </c>
      <c r="I308" s="2960">
        <v>404.45</v>
      </c>
      <c r="J308" s="2960">
        <v>143.18</v>
      </c>
      <c r="K308" s="2960">
        <v>0</v>
      </c>
      <c r="L308" s="2960">
        <f>158.32+102.95</f>
        <v>261.27</v>
      </c>
      <c r="M308" s="2966"/>
      <c r="N308" s="2966"/>
    </row>
    <row r="309" spans="2:14" ht="14.25">
      <c r="B309" s="2958">
        <v>345</v>
      </c>
      <c r="C309" s="2958" t="s">
        <v>3057</v>
      </c>
      <c r="D309" s="2958" t="s">
        <v>3058</v>
      </c>
      <c r="E309" s="2959">
        <v>10</v>
      </c>
      <c r="F309" s="2960">
        <v>1</v>
      </c>
      <c r="G309" s="2959">
        <v>201</v>
      </c>
      <c r="H309" s="2959" t="s">
        <v>3055</v>
      </c>
      <c r="I309" s="2960">
        <v>318.38</v>
      </c>
      <c r="J309" s="2960">
        <v>162.38999999999999</v>
      </c>
      <c r="K309" s="2960">
        <v>0</v>
      </c>
      <c r="L309" s="2960">
        <f>89.78+66.21</f>
        <v>155.99</v>
      </c>
      <c r="M309" s="2966"/>
      <c r="N309" s="2966"/>
    </row>
    <row r="310" spans="2:14" ht="14.25">
      <c r="B310" s="2958">
        <v>346</v>
      </c>
      <c r="C310" s="2958" t="s">
        <v>3057</v>
      </c>
      <c r="D310" s="2958" t="s">
        <v>3058</v>
      </c>
      <c r="E310" s="2959">
        <v>10</v>
      </c>
      <c r="F310" s="2960">
        <v>1</v>
      </c>
      <c r="G310" s="2959">
        <v>202</v>
      </c>
      <c r="H310" s="2959" t="s">
        <v>3055</v>
      </c>
      <c r="I310" s="2960">
        <v>337.23</v>
      </c>
      <c r="J310" s="2960">
        <v>162.38999999999999</v>
      </c>
      <c r="K310" s="2960">
        <v>0</v>
      </c>
      <c r="L310" s="2960">
        <f>89.78+85.06</f>
        <v>174.84</v>
      </c>
      <c r="M310" s="2966"/>
      <c r="N310" s="2966"/>
    </row>
    <row r="311" spans="2:14" ht="14.25">
      <c r="B311" s="2958">
        <v>347</v>
      </c>
      <c r="C311" s="2958" t="s">
        <v>3057</v>
      </c>
      <c r="D311" s="2958" t="s">
        <v>3058</v>
      </c>
      <c r="E311" s="2959">
        <v>10</v>
      </c>
      <c r="F311" s="2960">
        <v>1</v>
      </c>
      <c r="G311" s="2959">
        <v>301</v>
      </c>
      <c r="H311" s="2959" t="s">
        <v>3055</v>
      </c>
      <c r="I311" s="2960">
        <v>155.85</v>
      </c>
      <c r="J311" s="2960">
        <v>155.85</v>
      </c>
      <c r="K311" s="2960">
        <v>0</v>
      </c>
      <c r="L311" s="2960">
        <v>0</v>
      </c>
      <c r="M311" s="2966"/>
      <c r="N311" s="2966"/>
    </row>
    <row r="312" spans="2:14" ht="14.25">
      <c r="B312" s="2958">
        <v>348</v>
      </c>
      <c r="C312" s="2958" t="s">
        <v>3057</v>
      </c>
      <c r="D312" s="2958" t="s">
        <v>3058</v>
      </c>
      <c r="E312" s="2959">
        <v>10</v>
      </c>
      <c r="F312" s="2960">
        <v>1</v>
      </c>
      <c r="G312" s="2959">
        <v>302</v>
      </c>
      <c r="H312" s="2959" t="s">
        <v>3055</v>
      </c>
      <c r="I312" s="2960">
        <v>155.85</v>
      </c>
      <c r="J312" s="2960">
        <v>155.85</v>
      </c>
      <c r="K312" s="2960">
        <v>0</v>
      </c>
      <c r="L312" s="2960">
        <v>0</v>
      </c>
      <c r="M312" s="2966"/>
      <c r="N312" s="2966"/>
    </row>
    <row r="313" spans="2:14" ht="14.25">
      <c r="B313" s="2958">
        <v>349</v>
      </c>
      <c r="C313" s="2958" t="s">
        <v>3057</v>
      </c>
      <c r="D313" s="2958" t="s">
        <v>3058</v>
      </c>
      <c r="E313" s="2959">
        <v>10</v>
      </c>
      <c r="F313" s="2960">
        <v>1</v>
      </c>
      <c r="G313" s="2959">
        <v>401</v>
      </c>
      <c r="H313" s="2959" t="s">
        <v>3055</v>
      </c>
      <c r="I313" s="2960">
        <v>155.85</v>
      </c>
      <c r="J313" s="2960">
        <v>155.85</v>
      </c>
      <c r="K313" s="2960">
        <v>0</v>
      </c>
      <c r="L313" s="2960">
        <v>0</v>
      </c>
      <c r="M313" s="2966"/>
      <c r="N313" s="2966"/>
    </row>
    <row r="314" spans="2:14" ht="14.25">
      <c r="B314" s="2958">
        <v>350</v>
      </c>
      <c r="C314" s="2958" t="s">
        <v>3057</v>
      </c>
      <c r="D314" s="2958" t="s">
        <v>3058</v>
      </c>
      <c r="E314" s="2959">
        <v>10</v>
      </c>
      <c r="F314" s="2960">
        <v>1</v>
      </c>
      <c r="G314" s="2959">
        <v>402</v>
      </c>
      <c r="H314" s="2959" t="s">
        <v>3055</v>
      </c>
      <c r="I314" s="2960">
        <v>155.85</v>
      </c>
      <c r="J314" s="2960">
        <v>155.85</v>
      </c>
      <c r="K314" s="2960">
        <v>0</v>
      </c>
      <c r="L314" s="2960">
        <v>0</v>
      </c>
      <c r="M314" s="2966"/>
      <c r="N314" s="2966"/>
    </row>
    <row r="315" spans="2:14" ht="14.25">
      <c r="B315" s="2958">
        <v>351</v>
      </c>
      <c r="C315" s="2958" t="s">
        <v>3057</v>
      </c>
      <c r="D315" s="2958" t="s">
        <v>3058</v>
      </c>
      <c r="E315" s="2959">
        <v>10</v>
      </c>
      <c r="F315" s="2960">
        <v>1</v>
      </c>
      <c r="G315" s="2959">
        <v>501</v>
      </c>
      <c r="H315" s="2959" t="s">
        <v>3055</v>
      </c>
      <c r="I315" s="2960">
        <v>155.85</v>
      </c>
      <c r="J315" s="2960">
        <v>155.85</v>
      </c>
      <c r="K315" s="2960">
        <v>0</v>
      </c>
      <c r="L315" s="2960">
        <v>0</v>
      </c>
      <c r="M315" s="2966"/>
      <c r="N315" s="2966"/>
    </row>
    <row r="316" spans="2:14" ht="14.25">
      <c r="B316" s="2958">
        <v>352</v>
      </c>
      <c r="C316" s="2958" t="s">
        <v>3057</v>
      </c>
      <c r="D316" s="2958" t="s">
        <v>3058</v>
      </c>
      <c r="E316" s="2959">
        <v>10</v>
      </c>
      <c r="F316" s="2960">
        <v>1</v>
      </c>
      <c r="G316" s="2959">
        <v>502</v>
      </c>
      <c r="H316" s="2959" t="s">
        <v>3055</v>
      </c>
      <c r="I316" s="2960">
        <v>155.85</v>
      </c>
      <c r="J316" s="2960">
        <v>155.85</v>
      </c>
      <c r="K316" s="2960">
        <v>0</v>
      </c>
      <c r="L316" s="2960">
        <v>0</v>
      </c>
      <c r="M316" s="2966"/>
      <c r="N316" s="2966"/>
    </row>
    <row r="317" spans="2:14" ht="14.25">
      <c r="B317" s="2958">
        <v>353</v>
      </c>
      <c r="C317" s="2958" t="s">
        <v>3057</v>
      </c>
      <c r="D317" s="2958" t="s">
        <v>3058</v>
      </c>
      <c r="E317" s="2959">
        <v>10</v>
      </c>
      <c r="F317" s="2960">
        <v>1</v>
      </c>
      <c r="G317" s="2959">
        <v>601</v>
      </c>
      <c r="H317" s="2959" t="s">
        <v>3055</v>
      </c>
      <c r="I317" s="2960">
        <v>155.85</v>
      </c>
      <c r="J317" s="2960">
        <v>155.85</v>
      </c>
      <c r="K317" s="2960">
        <v>0</v>
      </c>
      <c r="L317" s="2960">
        <v>0</v>
      </c>
      <c r="M317" s="2966"/>
      <c r="N317" s="2966"/>
    </row>
    <row r="318" spans="2:14" ht="14.25">
      <c r="B318" s="2958">
        <v>354</v>
      </c>
      <c r="C318" s="2958" t="s">
        <v>3057</v>
      </c>
      <c r="D318" s="2958" t="s">
        <v>3058</v>
      </c>
      <c r="E318" s="2959">
        <v>10</v>
      </c>
      <c r="F318" s="2960">
        <v>1</v>
      </c>
      <c r="G318" s="2959">
        <v>602</v>
      </c>
      <c r="H318" s="2959" t="s">
        <v>3055</v>
      </c>
      <c r="I318" s="2960">
        <v>155.85</v>
      </c>
      <c r="J318" s="2960">
        <v>155.85</v>
      </c>
      <c r="K318" s="2960">
        <v>0</v>
      </c>
      <c r="L318" s="2960">
        <v>0</v>
      </c>
      <c r="M318" s="2966"/>
      <c r="N318" s="2966"/>
    </row>
    <row r="319" spans="2:14" ht="14.25">
      <c r="B319" s="2958">
        <v>355</v>
      </c>
      <c r="C319" s="2958" t="s">
        <v>3057</v>
      </c>
      <c r="D319" s="2958" t="s">
        <v>3058</v>
      </c>
      <c r="E319" s="2959">
        <v>10</v>
      </c>
      <c r="F319" s="2960">
        <v>1</v>
      </c>
      <c r="G319" s="2959">
        <v>701</v>
      </c>
      <c r="H319" s="2959" t="s">
        <v>3055</v>
      </c>
      <c r="I319" s="2960">
        <v>155.85</v>
      </c>
      <c r="J319" s="2960">
        <v>155.85</v>
      </c>
      <c r="K319" s="2960">
        <v>0</v>
      </c>
      <c r="L319" s="2960">
        <v>0</v>
      </c>
      <c r="M319" s="2966"/>
      <c r="N319" s="2966"/>
    </row>
    <row r="320" spans="2:14" ht="14.25">
      <c r="B320" s="2958">
        <v>356</v>
      </c>
      <c r="C320" s="2958" t="s">
        <v>3057</v>
      </c>
      <c r="D320" s="2958" t="s">
        <v>3058</v>
      </c>
      <c r="E320" s="2959">
        <v>10</v>
      </c>
      <c r="F320" s="2960">
        <v>1</v>
      </c>
      <c r="G320" s="2959">
        <v>702</v>
      </c>
      <c r="H320" s="2959" t="s">
        <v>3055</v>
      </c>
      <c r="I320" s="2960">
        <v>155.85</v>
      </c>
      <c r="J320" s="2960">
        <v>155.85</v>
      </c>
      <c r="K320" s="2960">
        <v>0</v>
      </c>
      <c r="L320" s="2960">
        <v>0</v>
      </c>
      <c r="M320" s="2966"/>
      <c r="N320" s="2966"/>
    </row>
    <row r="321" spans="2:14" ht="14.25">
      <c r="B321" s="2958">
        <v>357</v>
      </c>
      <c r="C321" s="2958" t="s">
        <v>3057</v>
      </c>
      <c r="D321" s="2958" t="s">
        <v>3058</v>
      </c>
      <c r="E321" s="2959">
        <v>10</v>
      </c>
      <c r="F321" s="2960">
        <v>1</v>
      </c>
      <c r="G321" s="2959">
        <v>801</v>
      </c>
      <c r="H321" s="2959" t="s">
        <v>3055</v>
      </c>
      <c r="I321" s="2960">
        <v>155.85</v>
      </c>
      <c r="J321" s="2960">
        <v>155.85</v>
      </c>
      <c r="K321" s="2960">
        <v>0</v>
      </c>
      <c r="L321" s="2960">
        <v>0</v>
      </c>
      <c r="M321" s="2966"/>
      <c r="N321" s="2966"/>
    </row>
    <row r="322" spans="2:14" ht="14.25">
      <c r="B322" s="2958">
        <v>358</v>
      </c>
      <c r="C322" s="2958" t="s">
        <v>3057</v>
      </c>
      <c r="D322" s="2958" t="s">
        <v>3058</v>
      </c>
      <c r="E322" s="2959">
        <v>10</v>
      </c>
      <c r="F322" s="2960">
        <v>1</v>
      </c>
      <c r="G322" s="2959">
        <v>802</v>
      </c>
      <c r="H322" s="2959" t="s">
        <v>3055</v>
      </c>
      <c r="I322" s="2960">
        <v>155.85</v>
      </c>
      <c r="J322" s="2960">
        <v>155.85</v>
      </c>
      <c r="K322" s="2960">
        <v>0</v>
      </c>
      <c r="L322" s="2960">
        <v>0</v>
      </c>
      <c r="M322" s="2966"/>
      <c r="N322" s="2966"/>
    </row>
    <row r="323" spans="2:14" ht="14.25">
      <c r="B323" s="2958">
        <v>359</v>
      </c>
      <c r="C323" s="2958" t="s">
        <v>3057</v>
      </c>
      <c r="D323" s="2958" t="s">
        <v>3058</v>
      </c>
      <c r="E323" s="2959">
        <v>10</v>
      </c>
      <c r="F323" s="2960">
        <v>1</v>
      </c>
      <c r="G323" s="2959">
        <v>901</v>
      </c>
      <c r="H323" s="2959" t="s">
        <v>3055</v>
      </c>
      <c r="I323" s="2960">
        <v>155.85</v>
      </c>
      <c r="J323" s="2960">
        <v>155.85</v>
      </c>
      <c r="K323" s="2960">
        <v>0</v>
      </c>
      <c r="L323" s="2960">
        <v>0</v>
      </c>
      <c r="M323" s="2966"/>
      <c r="N323" s="2966"/>
    </row>
    <row r="324" spans="2:14" ht="14.25">
      <c r="B324" s="2958">
        <v>360</v>
      </c>
      <c r="C324" s="2958" t="s">
        <v>3057</v>
      </c>
      <c r="D324" s="2958" t="s">
        <v>3058</v>
      </c>
      <c r="E324" s="2959">
        <v>10</v>
      </c>
      <c r="F324" s="2960">
        <v>1</v>
      </c>
      <c r="G324" s="2959">
        <v>902</v>
      </c>
      <c r="H324" s="2959" t="s">
        <v>3055</v>
      </c>
      <c r="I324" s="2960">
        <v>155.85</v>
      </c>
      <c r="J324" s="2960">
        <v>155.85</v>
      </c>
      <c r="K324" s="2960">
        <v>0</v>
      </c>
      <c r="L324" s="2960">
        <v>0</v>
      </c>
      <c r="M324" s="2966"/>
      <c r="N324" s="2966"/>
    </row>
    <row r="325" spans="2:14" ht="14.25">
      <c r="B325" s="2958">
        <v>361</v>
      </c>
      <c r="C325" s="2958" t="s">
        <v>3057</v>
      </c>
      <c r="D325" s="2958" t="s">
        <v>3058</v>
      </c>
      <c r="E325" s="2959">
        <v>10</v>
      </c>
      <c r="F325" s="2960">
        <v>1</v>
      </c>
      <c r="G325" s="2959">
        <v>1001</v>
      </c>
      <c r="H325" s="2959" t="s">
        <v>3055</v>
      </c>
      <c r="I325" s="2960">
        <v>155.85</v>
      </c>
      <c r="J325" s="2960">
        <v>155.85</v>
      </c>
      <c r="K325" s="2960">
        <v>0</v>
      </c>
      <c r="L325" s="2960">
        <v>0</v>
      </c>
      <c r="M325" s="2966"/>
      <c r="N325" s="2966"/>
    </row>
    <row r="326" spans="2:14" ht="14.25">
      <c r="B326" s="2958">
        <v>362</v>
      </c>
      <c r="C326" s="2958" t="s">
        <v>3057</v>
      </c>
      <c r="D326" s="2958" t="s">
        <v>3058</v>
      </c>
      <c r="E326" s="2959">
        <v>10</v>
      </c>
      <c r="F326" s="2960">
        <v>1</v>
      </c>
      <c r="G326" s="2959">
        <v>1002</v>
      </c>
      <c r="H326" s="2959" t="s">
        <v>3055</v>
      </c>
      <c r="I326" s="2960">
        <v>155.85</v>
      </c>
      <c r="J326" s="2960">
        <v>155.85</v>
      </c>
      <c r="K326" s="2960">
        <v>0</v>
      </c>
      <c r="L326" s="2960">
        <v>0</v>
      </c>
      <c r="M326" s="2966"/>
      <c r="N326" s="2966"/>
    </row>
    <row r="327" spans="2:14" ht="14.25">
      <c r="B327" s="2958">
        <v>363</v>
      </c>
      <c r="C327" s="2958" t="s">
        <v>3057</v>
      </c>
      <c r="D327" s="2958" t="s">
        <v>3058</v>
      </c>
      <c r="E327" s="2959">
        <v>10</v>
      </c>
      <c r="F327" s="2960">
        <v>1</v>
      </c>
      <c r="G327" s="2959">
        <v>1101</v>
      </c>
      <c r="H327" s="2959" t="s">
        <v>3055</v>
      </c>
      <c r="I327" s="2960">
        <v>214.12</v>
      </c>
      <c r="J327" s="2960">
        <v>155.85</v>
      </c>
      <c r="K327" s="2960">
        <v>58.27</v>
      </c>
      <c r="L327" s="2960">
        <v>0</v>
      </c>
      <c r="M327" s="2966"/>
      <c r="N327" s="2966"/>
    </row>
    <row r="328" spans="2:14" ht="14.25">
      <c r="B328" s="2958">
        <v>364</v>
      </c>
      <c r="C328" s="2958" t="s">
        <v>3057</v>
      </c>
      <c r="D328" s="2958" t="s">
        <v>3058</v>
      </c>
      <c r="E328" s="2959">
        <v>10</v>
      </c>
      <c r="F328" s="2960">
        <v>1</v>
      </c>
      <c r="G328" s="2959">
        <v>1102</v>
      </c>
      <c r="H328" s="2959" t="s">
        <v>3055</v>
      </c>
      <c r="I328" s="2960">
        <v>214.12</v>
      </c>
      <c r="J328" s="2960">
        <v>155.85</v>
      </c>
      <c r="K328" s="2960">
        <v>58.27</v>
      </c>
      <c r="L328" s="2960">
        <v>0</v>
      </c>
      <c r="M328" s="2966"/>
      <c r="N328" s="2966"/>
    </row>
    <row r="329" spans="2:14" ht="14.25">
      <c r="B329" s="2958">
        <v>365</v>
      </c>
      <c r="C329" s="2958" t="s">
        <v>3057</v>
      </c>
      <c r="D329" s="2958" t="s">
        <v>3058</v>
      </c>
      <c r="E329" s="2959">
        <v>10</v>
      </c>
      <c r="F329" s="2960">
        <v>2</v>
      </c>
      <c r="G329" s="2959">
        <v>103</v>
      </c>
      <c r="H329" s="2959" t="s">
        <v>3055</v>
      </c>
      <c r="I329" s="2960">
        <v>406.07</v>
      </c>
      <c r="J329" s="2960">
        <v>143.19</v>
      </c>
      <c r="K329" s="2960">
        <v>0</v>
      </c>
      <c r="L329" s="2960">
        <f>159.3+103.58</f>
        <v>262.88</v>
      </c>
      <c r="M329" s="2966"/>
      <c r="N329" s="2966"/>
    </row>
    <row r="330" spans="2:14" ht="14.25">
      <c r="B330" s="2958">
        <v>366</v>
      </c>
      <c r="C330" s="2958" t="s">
        <v>3057</v>
      </c>
      <c r="D330" s="2958" t="s">
        <v>3058</v>
      </c>
      <c r="E330" s="2959">
        <v>10</v>
      </c>
      <c r="F330" s="2960">
        <v>2</v>
      </c>
      <c r="G330" s="2959">
        <v>104</v>
      </c>
      <c r="H330" s="2959" t="s">
        <v>3055</v>
      </c>
      <c r="I330" s="2960">
        <v>406.07</v>
      </c>
      <c r="J330" s="2960">
        <v>143.19</v>
      </c>
      <c r="K330" s="2960">
        <v>0</v>
      </c>
      <c r="L330" s="2960">
        <f>159.3+103.58</f>
        <v>262.88</v>
      </c>
      <c r="M330" s="2966"/>
      <c r="N330" s="2966"/>
    </row>
    <row r="331" spans="2:14" ht="14.25">
      <c r="B331" s="2958">
        <v>367</v>
      </c>
      <c r="C331" s="2958" t="s">
        <v>3057</v>
      </c>
      <c r="D331" s="2958" t="s">
        <v>3058</v>
      </c>
      <c r="E331" s="2959">
        <v>10</v>
      </c>
      <c r="F331" s="2960">
        <v>2</v>
      </c>
      <c r="G331" s="2959">
        <v>203</v>
      </c>
      <c r="H331" s="2959" t="s">
        <v>3055</v>
      </c>
      <c r="I331" s="2960">
        <v>338.32</v>
      </c>
      <c r="J331" s="2960">
        <v>162.4</v>
      </c>
      <c r="K331" s="2960">
        <v>0</v>
      </c>
      <c r="L331" s="2960">
        <f>90.33+85.59</f>
        <v>175.92000000000002</v>
      </c>
      <c r="M331" s="2966"/>
      <c r="N331" s="2966"/>
    </row>
    <row r="332" spans="2:14" ht="14.25">
      <c r="B332" s="2958">
        <v>368</v>
      </c>
      <c r="C332" s="2958" t="s">
        <v>3057</v>
      </c>
      <c r="D332" s="2958" t="s">
        <v>3058</v>
      </c>
      <c r="E332" s="2959">
        <v>10</v>
      </c>
      <c r="F332" s="2960">
        <v>2</v>
      </c>
      <c r="G332" s="2959">
        <v>204</v>
      </c>
      <c r="H332" s="2959" t="s">
        <v>3055</v>
      </c>
      <c r="I332" s="2960">
        <v>319.02999999999997</v>
      </c>
      <c r="J332" s="2960">
        <v>162.4</v>
      </c>
      <c r="K332" s="2960">
        <v>0</v>
      </c>
      <c r="L332" s="2960">
        <f>90.33+66.3</f>
        <v>156.63</v>
      </c>
      <c r="M332" s="2966"/>
      <c r="N332" s="2966"/>
    </row>
    <row r="333" spans="2:14" ht="14.25">
      <c r="B333" s="2958">
        <v>369</v>
      </c>
      <c r="C333" s="2958" t="s">
        <v>3057</v>
      </c>
      <c r="D333" s="2958" t="s">
        <v>3058</v>
      </c>
      <c r="E333" s="2959">
        <v>10</v>
      </c>
      <c r="F333" s="2960">
        <v>2</v>
      </c>
      <c r="G333" s="2959">
        <v>303</v>
      </c>
      <c r="H333" s="2959" t="s">
        <v>3055</v>
      </c>
      <c r="I333" s="2960">
        <v>155.86000000000001</v>
      </c>
      <c r="J333" s="2960">
        <v>155.86000000000001</v>
      </c>
      <c r="K333" s="2960">
        <v>0</v>
      </c>
      <c r="L333" s="2960">
        <v>0</v>
      </c>
      <c r="M333" s="2966"/>
      <c r="N333" s="2966"/>
    </row>
    <row r="334" spans="2:14" ht="14.25">
      <c r="B334" s="2958">
        <v>370</v>
      </c>
      <c r="C334" s="2958" t="s">
        <v>3057</v>
      </c>
      <c r="D334" s="2958" t="s">
        <v>3058</v>
      </c>
      <c r="E334" s="2959">
        <v>10</v>
      </c>
      <c r="F334" s="2960">
        <v>2</v>
      </c>
      <c r="G334" s="2959">
        <v>304</v>
      </c>
      <c r="H334" s="2959" t="s">
        <v>3055</v>
      </c>
      <c r="I334" s="2960">
        <v>155.86000000000001</v>
      </c>
      <c r="J334" s="2960">
        <v>155.86000000000001</v>
      </c>
      <c r="K334" s="2960">
        <v>0</v>
      </c>
      <c r="L334" s="2960">
        <v>0</v>
      </c>
      <c r="M334" s="2966"/>
      <c r="N334" s="2966"/>
    </row>
    <row r="335" spans="2:14" ht="14.25">
      <c r="B335" s="2958">
        <v>371</v>
      </c>
      <c r="C335" s="2958" t="s">
        <v>3057</v>
      </c>
      <c r="D335" s="2958" t="s">
        <v>3058</v>
      </c>
      <c r="E335" s="2959">
        <v>10</v>
      </c>
      <c r="F335" s="2960">
        <v>2</v>
      </c>
      <c r="G335" s="2959">
        <v>403</v>
      </c>
      <c r="H335" s="2959" t="s">
        <v>3055</v>
      </c>
      <c r="I335" s="2960">
        <v>155.86000000000001</v>
      </c>
      <c r="J335" s="2960">
        <v>155.86000000000001</v>
      </c>
      <c r="K335" s="2960">
        <v>0</v>
      </c>
      <c r="L335" s="2960">
        <v>0</v>
      </c>
      <c r="M335" s="2966"/>
      <c r="N335" s="2966"/>
    </row>
    <row r="336" spans="2:14" ht="14.25">
      <c r="B336" s="2958">
        <v>372</v>
      </c>
      <c r="C336" s="2958" t="s">
        <v>3057</v>
      </c>
      <c r="D336" s="2958" t="s">
        <v>3058</v>
      </c>
      <c r="E336" s="2959">
        <v>10</v>
      </c>
      <c r="F336" s="2960">
        <v>2</v>
      </c>
      <c r="G336" s="2959">
        <v>404</v>
      </c>
      <c r="H336" s="2959" t="s">
        <v>3055</v>
      </c>
      <c r="I336" s="2960">
        <v>155.86000000000001</v>
      </c>
      <c r="J336" s="2960">
        <v>155.86000000000001</v>
      </c>
      <c r="K336" s="2960">
        <v>0</v>
      </c>
      <c r="L336" s="2960">
        <v>0</v>
      </c>
      <c r="M336" s="2966"/>
      <c r="N336" s="2966"/>
    </row>
    <row r="337" spans="2:14" ht="14.25">
      <c r="B337" s="2958">
        <v>373</v>
      </c>
      <c r="C337" s="2958" t="s">
        <v>3057</v>
      </c>
      <c r="D337" s="2958" t="s">
        <v>3058</v>
      </c>
      <c r="E337" s="2959">
        <v>10</v>
      </c>
      <c r="F337" s="2960">
        <v>2</v>
      </c>
      <c r="G337" s="2959">
        <v>503</v>
      </c>
      <c r="H337" s="2959" t="s">
        <v>3055</v>
      </c>
      <c r="I337" s="2960">
        <v>155.86000000000001</v>
      </c>
      <c r="J337" s="2960">
        <v>155.86000000000001</v>
      </c>
      <c r="K337" s="2960">
        <v>0</v>
      </c>
      <c r="L337" s="2960">
        <v>0</v>
      </c>
      <c r="M337" s="2966"/>
      <c r="N337" s="2966"/>
    </row>
    <row r="338" spans="2:14" ht="14.25">
      <c r="B338" s="2958">
        <v>374</v>
      </c>
      <c r="C338" s="2958" t="s">
        <v>3057</v>
      </c>
      <c r="D338" s="2958" t="s">
        <v>3058</v>
      </c>
      <c r="E338" s="2959">
        <v>10</v>
      </c>
      <c r="F338" s="2960">
        <v>2</v>
      </c>
      <c r="G338" s="2959">
        <v>504</v>
      </c>
      <c r="H338" s="2959" t="s">
        <v>3055</v>
      </c>
      <c r="I338" s="2960">
        <v>155.86000000000001</v>
      </c>
      <c r="J338" s="2960">
        <v>155.86000000000001</v>
      </c>
      <c r="K338" s="2960">
        <v>0</v>
      </c>
      <c r="L338" s="2960">
        <v>0</v>
      </c>
      <c r="M338" s="2966"/>
      <c r="N338" s="2966"/>
    </row>
    <row r="339" spans="2:14" ht="14.25">
      <c r="B339" s="2958">
        <v>375</v>
      </c>
      <c r="C339" s="2958" t="s">
        <v>3057</v>
      </c>
      <c r="D339" s="2958" t="s">
        <v>3058</v>
      </c>
      <c r="E339" s="2959">
        <v>10</v>
      </c>
      <c r="F339" s="2960">
        <v>2</v>
      </c>
      <c r="G339" s="2959">
        <v>603</v>
      </c>
      <c r="H339" s="2959" t="s">
        <v>3055</v>
      </c>
      <c r="I339" s="2960">
        <v>155.86000000000001</v>
      </c>
      <c r="J339" s="2960">
        <v>155.86000000000001</v>
      </c>
      <c r="K339" s="2960">
        <v>0</v>
      </c>
      <c r="L339" s="2960">
        <v>0</v>
      </c>
      <c r="M339" s="2966"/>
      <c r="N339" s="2966"/>
    </row>
    <row r="340" spans="2:14" ht="14.25">
      <c r="B340" s="2958">
        <v>376</v>
      </c>
      <c r="C340" s="2958" t="s">
        <v>3057</v>
      </c>
      <c r="D340" s="2958" t="s">
        <v>3058</v>
      </c>
      <c r="E340" s="2959">
        <v>10</v>
      </c>
      <c r="F340" s="2960">
        <v>2</v>
      </c>
      <c r="G340" s="2959">
        <v>604</v>
      </c>
      <c r="H340" s="2959" t="s">
        <v>3055</v>
      </c>
      <c r="I340" s="2960">
        <v>155.86000000000001</v>
      </c>
      <c r="J340" s="2960">
        <v>155.86000000000001</v>
      </c>
      <c r="K340" s="2960">
        <v>0</v>
      </c>
      <c r="L340" s="2960">
        <v>0</v>
      </c>
      <c r="M340" s="2966"/>
      <c r="N340" s="2966"/>
    </row>
    <row r="341" spans="2:14" ht="14.25">
      <c r="B341" s="2958">
        <v>377</v>
      </c>
      <c r="C341" s="2958" t="s">
        <v>3057</v>
      </c>
      <c r="D341" s="2958" t="s">
        <v>3058</v>
      </c>
      <c r="E341" s="2959">
        <v>10</v>
      </c>
      <c r="F341" s="2960">
        <v>2</v>
      </c>
      <c r="G341" s="2959">
        <v>703</v>
      </c>
      <c r="H341" s="2959" t="s">
        <v>3055</v>
      </c>
      <c r="I341" s="2960">
        <v>214.21</v>
      </c>
      <c r="J341" s="2960">
        <v>155.86000000000001</v>
      </c>
      <c r="K341" s="2960">
        <v>58.35</v>
      </c>
      <c r="L341" s="2960">
        <v>0</v>
      </c>
      <c r="M341" s="2966"/>
      <c r="N341" s="2966"/>
    </row>
    <row r="342" spans="2:14" ht="14.25">
      <c r="B342" s="2958">
        <v>378</v>
      </c>
      <c r="C342" s="2958" t="s">
        <v>3057</v>
      </c>
      <c r="D342" s="2958" t="s">
        <v>3058</v>
      </c>
      <c r="E342" s="2959">
        <v>10</v>
      </c>
      <c r="F342" s="2960">
        <v>2</v>
      </c>
      <c r="G342" s="2959">
        <v>704</v>
      </c>
      <c r="H342" s="2959" t="s">
        <v>3055</v>
      </c>
      <c r="I342" s="2960">
        <v>214.21</v>
      </c>
      <c r="J342" s="2960">
        <v>155.86000000000001</v>
      </c>
      <c r="K342" s="2960">
        <v>58.35</v>
      </c>
      <c r="L342" s="2960">
        <v>0</v>
      </c>
      <c r="M342" s="2966"/>
      <c r="N342" s="2966"/>
    </row>
    <row r="343" spans="2:14" ht="14.25">
      <c r="B343" s="2958">
        <v>379</v>
      </c>
      <c r="C343" s="2958" t="s">
        <v>3057</v>
      </c>
      <c r="D343" s="2958" t="s">
        <v>3058</v>
      </c>
      <c r="E343" s="2959">
        <v>11</v>
      </c>
      <c r="F343" s="2960">
        <v>1</v>
      </c>
      <c r="G343" s="2959">
        <v>101</v>
      </c>
      <c r="H343" s="2959" t="s">
        <v>3055</v>
      </c>
      <c r="I343" s="2960">
        <v>409.72</v>
      </c>
      <c r="J343" s="2960">
        <v>143</v>
      </c>
      <c r="K343" s="2960">
        <v>0</v>
      </c>
      <c r="L343" s="2960">
        <f>158.14+108.58</f>
        <v>266.71999999999997</v>
      </c>
      <c r="M343" s="2966">
        <f>54.4+54.39</f>
        <v>108.78999999999999</v>
      </c>
      <c r="N343" s="2966">
        <v>0</v>
      </c>
    </row>
    <row r="344" spans="2:14" ht="14.25">
      <c r="B344" s="2958">
        <v>380</v>
      </c>
      <c r="C344" s="2958" t="s">
        <v>3057</v>
      </c>
      <c r="D344" s="2958" t="s">
        <v>3058</v>
      </c>
      <c r="E344" s="2959">
        <v>11</v>
      </c>
      <c r="F344" s="2960">
        <v>1</v>
      </c>
      <c r="G344" s="2959">
        <v>102</v>
      </c>
      <c r="H344" s="2959" t="s">
        <v>3055</v>
      </c>
      <c r="I344" s="2960">
        <v>409.72</v>
      </c>
      <c r="J344" s="2960">
        <v>143</v>
      </c>
      <c r="K344" s="2960">
        <v>0</v>
      </c>
      <c r="L344" s="2960">
        <f>158.14+108.58</f>
        <v>266.71999999999997</v>
      </c>
      <c r="M344" s="2966"/>
      <c r="N344" s="2966"/>
    </row>
    <row r="345" spans="2:14" ht="14.25">
      <c r="B345" s="2958">
        <v>381</v>
      </c>
      <c r="C345" s="2958" t="s">
        <v>3057</v>
      </c>
      <c r="D345" s="2958" t="s">
        <v>3058</v>
      </c>
      <c r="E345" s="2959">
        <v>11</v>
      </c>
      <c r="F345" s="2960">
        <v>1</v>
      </c>
      <c r="G345" s="2959">
        <v>201</v>
      </c>
      <c r="H345" s="2959" t="s">
        <v>3055</v>
      </c>
      <c r="I345" s="2960">
        <v>317.98</v>
      </c>
      <c r="J345" s="2960">
        <v>162.19</v>
      </c>
      <c r="K345" s="2960">
        <v>0</v>
      </c>
      <c r="L345" s="2960">
        <f>89.68+66.11</f>
        <v>155.79000000000002</v>
      </c>
      <c r="M345" s="2966"/>
      <c r="N345" s="2966"/>
    </row>
    <row r="346" spans="2:14" ht="14.25">
      <c r="B346" s="2958">
        <v>382</v>
      </c>
      <c r="C346" s="2958" t="s">
        <v>3057</v>
      </c>
      <c r="D346" s="2958" t="s">
        <v>3058</v>
      </c>
      <c r="E346" s="2959">
        <v>11</v>
      </c>
      <c r="F346" s="2960">
        <v>1</v>
      </c>
      <c r="G346" s="2959">
        <v>202</v>
      </c>
      <c r="H346" s="2959" t="s">
        <v>3055</v>
      </c>
      <c r="I346" s="2960">
        <v>336.82</v>
      </c>
      <c r="J346" s="2960">
        <v>162.19</v>
      </c>
      <c r="K346" s="2960">
        <v>0</v>
      </c>
      <c r="L346" s="2960">
        <f>89.68+84.95</f>
        <v>174.63</v>
      </c>
      <c r="M346" s="2966"/>
      <c r="N346" s="2966"/>
    </row>
    <row r="347" spans="2:14" ht="14.25">
      <c r="B347" s="2958">
        <v>383</v>
      </c>
      <c r="C347" s="2958" t="s">
        <v>3057</v>
      </c>
      <c r="D347" s="2958" t="s">
        <v>3058</v>
      </c>
      <c r="E347" s="2959">
        <v>11</v>
      </c>
      <c r="F347" s="2960">
        <v>1</v>
      </c>
      <c r="G347" s="2959">
        <v>301</v>
      </c>
      <c r="H347" s="2959" t="s">
        <v>3055</v>
      </c>
      <c r="I347" s="2960">
        <v>155.66</v>
      </c>
      <c r="J347" s="2960">
        <v>155.66</v>
      </c>
      <c r="K347" s="2960">
        <v>0</v>
      </c>
      <c r="L347" s="2960">
        <v>0</v>
      </c>
      <c r="M347" s="2966"/>
      <c r="N347" s="2966"/>
    </row>
    <row r="348" spans="2:14" ht="14.25">
      <c r="B348" s="2958">
        <v>384</v>
      </c>
      <c r="C348" s="2958" t="s">
        <v>3057</v>
      </c>
      <c r="D348" s="2958" t="s">
        <v>3058</v>
      </c>
      <c r="E348" s="2959">
        <v>11</v>
      </c>
      <c r="F348" s="2960">
        <v>1</v>
      </c>
      <c r="G348" s="2959">
        <v>302</v>
      </c>
      <c r="H348" s="2959" t="s">
        <v>3055</v>
      </c>
      <c r="I348" s="2960">
        <v>155.66</v>
      </c>
      <c r="J348" s="2960">
        <v>155.66</v>
      </c>
      <c r="K348" s="2960">
        <v>0</v>
      </c>
      <c r="L348" s="2960">
        <v>0</v>
      </c>
      <c r="M348" s="2966"/>
      <c r="N348" s="2966"/>
    </row>
    <row r="349" spans="2:14" ht="14.25">
      <c r="B349" s="2958">
        <v>385</v>
      </c>
      <c r="C349" s="2958" t="s">
        <v>3057</v>
      </c>
      <c r="D349" s="2958" t="s">
        <v>3058</v>
      </c>
      <c r="E349" s="2959">
        <v>11</v>
      </c>
      <c r="F349" s="2960">
        <v>1</v>
      </c>
      <c r="G349" s="2959">
        <v>401</v>
      </c>
      <c r="H349" s="2959" t="s">
        <v>3055</v>
      </c>
      <c r="I349" s="2960">
        <v>155.66</v>
      </c>
      <c r="J349" s="2960">
        <v>155.66</v>
      </c>
      <c r="K349" s="2960">
        <v>0</v>
      </c>
      <c r="L349" s="2960">
        <v>0</v>
      </c>
      <c r="M349" s="2966"/>
      <c r="N349" s="2966"/>
    </row>
    <row r="350" spans="2:14" ht="14.25">
      <c r="B350" s="2958">
        <v>386</v>
      </c>
      <c r="C350" s="2958" t="s">
        <v>3057</v>
      </c>
      <c r="D350" s="2958" t="s">
        <v>3058</v>
      </c>
      <c r="E350" s="2959">
        <v>11</v>
      </c>
      <c r="F350" s="2960">
        <v>1</v>
      </c>
      <c r="G350" s="2959">
        <v>402</v>
      </c>
      <c r="H350" s="2959" t="s">
        <v>3055</v>
      </c>
      <c r="I350" s="2960">
        <v>155.66</v>
      </c>
      <c r="J350" s="2960">
        <v>155.66</v>
      </c>
      <c r="K350" s="2960">
        <v>0</v>
      </c>
      <c r="L350" s="2960">
        <v>0</v>
      </c>
      <c r="M350" s="2966"/>
      <c r="N350" s="2966"/>
    </row>
    <row r="351" spans="2:14" ht="14.25">
      <c r="B351" s="2958">
        <v>387</v>
      </c>
      <c r="C351" s="2958" t="s">
        <v>3057</v>
      </c>
      <c r="D351" s="2958" t="s">
        <v>3058</v>
      </c>
      <c r="E351" s="2959">
        <v>11</v>
      </c>
      <c r="F351" s="2960">
        <v>1</v>
      </c>
      <c r="G351" s="2959">
        <v>501</v>
      </c>
      <c r="H351" s="2959" t="s">
        <v>3055</v>
      </c>
      <c r="I351" s="2960">
        <v>155.66</v>
      </c>
      <c r="J351" s="2960">
        <v>155.66</v>
      </c>
      <c r="K351" s="2960">
        <v>0</v>
      </c>
      <c r="L351" s="2960">
        <v>0</v>
      </c>
      <c r="M351" s="2966"/>
      <c r="N351" s="2966"/>
    </row>
    <row r="352" spans="2:14" ht="14.25">
      <c r="B352" s="2958">
        <v>388</v>
      </c>
      <c r="C352" s="2958" t="s">
        <v>3057</v>
      </c>
      <c r="D352" s="2958" t="s">
        <v>3058</v>
      </c>
      <c r="E352" s="2959">
        <v>11</v>
      </c>
      <c r="F352" s="2960">
        <v>1</v>
      </c>
      <c r="G352" s="2959">
        <v>502</v>
      </c>
      <c r="H352" s="2959" t="s">
        <v>3055</v>
      </c>
      <c r="I352" s="2960">
        <v>155.66</v>
      </c>
      <c r="J352" s="2960">
        <v>155.66</v>
      </c>
      <c r="K352" s="2960">
        <v>0</v>
      </c>
      <c r="L352" s="2960">
        <v>0</v>
      </c>
      <c r="M352" s="2966"/>
      <c r="N352" s="2966"/>
    </row>
    <row r="353" spans="2:14" ht="14.25">
      <c r="B353" s="2958">
        <v>389</v>
      </c>
      <c r="C353" s="2958" t="s">
        <v>3057</v>
      </c>
      <c r="D353" s="2958" t="s">
        <v>3058</v>
      </c>
      <c r="E353" s="2959">
        <v>11</v>
      </c>
      <c r="F353" s="2960">
        <v>1</v>
      </c>
      <c r="G353" s="2959">
        <v>601</v>
      </c>
      <c r="H353" s="2959" t="s">
        <v>3055</v>
      </c>
      <c r="I353" s="2960">
        <v>155.66</v>
      </c>
      <c r="J353" s="2960">
        <v>155.66</v>
      </c>
      <c r="K353" s="2960">
        <v>0</v>
      </c>
      <c r="L353" s="2960">
        <v>0</v>
      </c>
      <c r="M353" s="2966"/>
      <c r="N353" s="2966"/>
    </row>
    <row r="354" spans="2:14" ht="14.25">
      <c r="B354" s="2958">
        <v>390</v>
      </c>
      <c r="C354" s="2958" t="s">
        <v>3057</v>
      </c>
      <c r="D354" s="2958" t="s">
        <v>3058</v>
      </c>
      <c r="E354" s="2959">
        <v>11</v>
      </c>
      <c r="F354" s="2960">
        <v>1</v>
      </c>
      <c r="G354" s="2959">
        <v>602</v>
      </c>
      <c r="H354" s="2959" t="s">
        <v>3055</v>
      </c>
      <c r="I354" s="2960">
        <v>155.66</v>
      </c>
      <c r="J354" s="2960">
        <v>155.66</v>
      </c>
      <c r="K354" s="2960">
        <v>0</v>
      </c>
      <c r="L354" s="2960">
        <v>0</v>
      </c>
      <c r="M354" s="2966"/>
      <c r="N354" s="2966"/>
    </row>
    <row r="355" spans="2:14" ht="14.25">
      <c r="B355" s="2958">
        <v>391</v>
      </c>
      <c r="C355" s="2958" t="s">
        <v>3057</v>
      </c>
      <c r="D355" s="2958" t="s">
        <v>3058</v>
      </c>
      <c r="E355" s="2959">
        <v>11</v>
      </c>
      <c r="F355" s="2960">
        <v>1</v>
      </c>
      <c r="G355" s="2959">
        <v>701</v>
      </c>
      <c r="H355" s="2959" t="s">
        <v>3055</v>
      </c>
      <c r="I355" s="2960">
        <v>155.66</v>
      </c>
      <c r="J355" s="2960">
        <v>155.66</v>
      </c>
      <c r="K355" s="2960">
        <v>0</v>
      </c>
      <c r="L355" s="2960">
        <v>0</v>
      </c>
      <c r="M355" s="2966"/>
      <c r="N355" s="2966"/>
    </row>
    <row r="356" spans="2:14" ht="14.25">
      <c r="B356" s="2958">
        <v>392</v>
      </c>
      <c r="C356" s="2958" t="s">
        <v>3057</v>
      </c>
      <c r="D356" s="2958" t="s">
        <v>3058</v>
      </c>
      <c r="E356" s="2959">
        <v>11</v>
      </c>
      <c r="F356" s="2960">
        <v>1</v>
      </c>
      <c r="G356" s="2959">
        <v>702</v>
      </c>
      <c r="H356" s="2959" t="s">
        <v>3055</v>
      </c>
      <c r="I356" s="2960">
        <v>155.66</v>
      </c>
      <c r="J356" s="2960">
        <v>155.66</v>
      </c>
      <c r="K356" s="2960">
        <v>0</v>
      </c>
      <c r="L356" s="2960">
        <v>0</v>
      </c>
      <c r="M356" s="2966"/>
      <c r="N356" s="2966"/>
    </row>
    <row r="357" spans="2:14" ht="14.25">
      <c r="B357" s="2958">
        <v>393</v>
      </c>
      <c r="C357" s="2958" t="s">
        <v>3057</v>
      </c>
      <c r="D357" s="2958" t="s">
        <v>3058</v>
      </c>
      <c r="E357" s="2959">
        <v>11</v>
      </c>
      <c r="F357" s="2960">
        <v>1</v>
      </c>
      <c r="G357" s="2959">
        <v>801</v>
      </c>
      <c r="H357" s="2959" t="s">
        <v>3055</v>
      </c>
      <c r="I357" s="2960">
        <v>155.66</v>
      </c>
      <c r="J357" s="2960">
        <v>155.66</v>
      </c>
      <c r="K357" s="2960">
        <v>0</v>
      </c>
      <c r="L357" s="2960">
        <v>0</v>
      </c>
      <c r="M357" s="2966"/>
      <c r="N357" s="2966"/>
    </row>
    <row r="358" spans="2:14" ht="14.25">
      <c r="B358" s="2958">
        <v>394</v>
      </c>
      <c r="C358" s="2958" t="s">
        <v>3057</v>
      </c>
      <c r="D358" s="2958" t="s">
        <v>3058</v>
      </c>
      <c r="E358" s="2959">
        <v>11</v>
      </c>
      <c r="F358" s="2960">
        <v>1</v>
      </c>
      <c r="G358" s="2959">
        <v>802</v>
      </c>
      <c r="H358" s="2959" t="s">
        <v>3055</v>
      </c>
      <c r="I358" s="2960">
        <v>155.66</v>
      </c>
      <c r="J358" s="2960">
        <v>155.66</v>
      </c>
      <c r="K358" s="2960">
        <v>0</v>
      </c>
      <c r="L358" s="2960">
        <v>0</v>
      </c>
      <c r="M358" s="2966"/>
      <c r="N358" s="2966"/>
    </row>
    <row r="359" spans="2:14" ht="14.25">
      <c r="B359" s="2958">
        <v>395</v>
      </c>
      <c r="C359" s="2958" t="s">
        <v>3057</v>
      </c>
      <c r="D359" s="2958" t="s">
        <v>3058</v>
      </c>
      <c r="E359" s="2959">
        <v>11</v>
      </c>
      <c r="F359" s="2960">
        <v>1</v>
      </c>
      <c r="G359" s="2959">
        <v>901</v>
      </c>
      <c r="H359" s="2959" t="s">
        <v>3055</v>
      </c>
      <c r="I359" s="2960">
        <v>155.66</v>
      </c>
      <c r="J359" s="2960">
        <v>155.66</v>
      </c>
      <c r="K359" s="2960">
        <v>0</v>
      </c>
      <c r="L359" s="2960">
        <v>0</v>
      </c>
      <c r="M359" s="2966"/>
      <c r="N359" s="2966"/>
    </row>
    <row r="360" spans="2:14" ht="14.25">
      <c r="B360" s="2958">
        <v>396</v>
      </c>
      <c r="C360" s="2958" t="s">
        <v>3057</v>
      </c>
      <c r="D360" s="2958" t="s">
        <v>3058</v>
      </c>
      <c r="E360" s="2959">
        <v>11</v>
      </c>
      <c r="F360" s="2960">
        <v>1</v>
      </c>
      <c r="G360" s="2959">
        <v>902</v>
      </c>
      <c r="H360" s="2959" t="s">
        <v>3055</v>
      </c>
      <c r="I360" s="2960">
        <v>155.66</v>
      </c>
      <c r="J360" s="2960">
        <v>155.66</v>
      </c>
      <c r="K360" s="2960">
        <v>0</v>
      </c>
      <c r="L360" s="2960">
        <v>0</v>
      </c>
      <c r="M360" s="2966"/>
      <c r="N360" s="2966"/>
    </row>
    <row r="361" spans="2:14" ht="14.25">
      <c r="B361" s="2958">
        <v>397</v>
      </c>
      <c r="C361" s="2958" t="s">
        <v>3057</v>
      </c>
      <c r="D361" s="2958" t="s">
        <v>3058</v>
      </c>
      <c r="E361" s="2959">
        <v>11</v>
      </c>
      <c r="F361" s="2960">
        <v>1</v>
      </c>
      <c r="G361" s="2959">
        <v>1001</v>
      </c>
      <c r="H361" s="2959" t="s">
        <v>3055</v>
      </c>
      <c r="I361" s="2960">
        <v>155.66</v>
      </c>
      <c r="J361" s="2960">
        <v>155.66</v>
      </c>
      <c r="K361" s="2960">
        <v>0</v>
      </c>
      <c r="L361" s="2960">
        <v>0</v>
      </c>
      <c r="M361" s="2966"/>
      <c r="N361" s="2966"/>
    </row>
    <row r="362" spans="2:14" ht="14.25">
      <c r="B362" s="2958">
        <v>398</v>
      </c>
      <c r="C362" s="2958" t="s">
        <v>3057</v>
      </c>
      <c r="D362" s="2958" t="s">
        <v>3058</v>
      </c>
      <c r="E362" s="2959">
        <v>11</v>
      </c>
      <c r="F362" s="2960">
        <v>1</v>
      </c>
      <c r="G362" s="2959">
        <v>1002</v>
      </c>
      <c r="H362" s="2959" t="s">
        <v>3055</v>
      </c>
      <c r="I362" s="2960">
        <v>155.66</v>
      </c>
      <c r="J362" s="2960">
        <v>155.66</v>
      </c>
      <c r="K362" s="2960">
        <v>0</v>
      </c>
      <c r="L362" s="2960">
        <v>0</v>
      </c>
      <c r="M362" s="2966"/>
      <c r="N362" s="2966"/>
    </row>
    <row r="363" spans="2:14" ht="14.25">
      <c r="B363" s="2958">
        <v>399</v>
      </c>
      <c r="C363" s="2958" t="s">
        <v>3057</v>
      </c>
      <c r="D363" s="2958" t="s">
        <v>3058</v>
      </c>
      <c r="E363" s="2959">
        <v>11</v>
      </c>
      <c r="F363" s="2960">
        <v>1</v>
      </c>
      <c r="G363" s="2959">
        <v>1101</v>
      </c>
      <c r="H363" s="2959" t="s">
        <v>3055</v>
      </c>
      <c r="I363" s="2960">
        <v>213.86</v>
      </c>
      <c r="J363" s="2960">
        <v>155.66</v>
      </c>
      <c r="K363" s="2960">
        <v>58.2</v>
      </c>
      <c r="L363" s="2960">
        <v>0</v>
      </c>
      <c r="M363" s="2966"/>
      <c r="N363" s="2966"/>
    </row>
    <row r="364" spans="2:14" ht="14.25">
      <c r="B364" s="2958">
        <v>400</v>
      </c>
      <c r="C364" s="2958" t="s">
        <v>3057</v>
      </c>
      <c r="D364" s="2958" t="s">
        <v>3058</v>
      </c>
      <c r="E364" s="2959">
        <v>11</v>
      </c>
      <c r="F364" s="2960">
        <v>1</v>
      </c>
      <c r="G364" s="2959">
        <v>1102</v>
      </c>
      <c r="H364" s="2959" t="s">
        <v>3055</v>
      </c>
      <c r="I364" s="2960">
        <v>230.01</v>
      </c>
      <c r="J364" s="2960">
        <v>155.66</v>
      </c>
      <c r="K364" s="2960">
        <v>74.349999999999994</v>
      </c>
      <c r="L364" s="2960">
        <v>0</v>
      </c>
      <c r="M364" s="2966"/>
      <c r="N364" s="2966"/>
    </row>
    <row r="365" spans="2:14" ht="14.25">
      <c r="B365" s="2958">
        <v>401</v>
      </c>
      <c r="C365" s="2958" t="s">
        <v>3057</v>
      </c>
      <c r="D365" s="2958" t="s">
        <v>3058</v>
      </c>
      <c r="E365" s="2959">
        <v>11</v>
      </c>
      <c r="F365" s="2960">
        <v>2</v>
      </c>
      <c r="G365" s="2959">
        <v>103</v>
      </c>
      <c r="H365" s="2959" t="s">
        <v>3055</v>
      </c>
      <c r="I365" s="2960">
        <v>409.69</v>
      </c>
      <c r="J365" s="2960">
        <v>143</v>
      </c>
      <c r="K365" s="2960">
        <v>0</v>
      </c>
      <c r="L365" s="2960">
        <f>158.12+108.57</f>
        <v>266.69</v>
      </c>
      <c r="M365" s="2966"/>
      <c r="N365" s="2966"/>
    </row>
    <row r="366" spans="2:14" ht="14.25">
      <c r="B366" s="2958">
        <v>402</v>
      </c>
      <c r="C366" s="2958" t="s">
        <v>3057</v>
      </c>
      <c r="D366" s="2958" t="s">
        <v>3058</v>
      </c>
      <c r="E366" s="2959">
        <v>11</v>
      </c>
      <c r="F366" s="2960">
        <v>2</v>
      </c>
      <c r="G366" s="2959">
        <v>104</v>
      </c>
      <c r="H366" s="2959" t="s">
        <v>3055</v>
      </c>
      <c r="I366" s="2960">
        <v>410.69</v>
      </c>
      <c r="J366" s="2960">
        <v>143</v>
      </c>
      <c r="K366" s="2960">
        <v>0</v>
      </c>
      <c r="L366" s="2960">
        <f>158.67+109.02</f>
        <v>267.69</v>
      </c>
      <c r="M366" s="2966"/>
      <c r="N366" s="2966"/>
    </row>
    <row r="367" spans="2:14" ht="14.25">
      <c r="B367" s="2958">
        <v>403</v>
      </c>
      <c r="C367" s="2958" t="s">
        <v>3057</v>
      </c>
      <c r="D367" s="2958" t="s">
        <v>3058</v>
      </c>
      <c r="E367" s="2959">
        <v>11</v>
      </c>
      <c r="F367" s="2960">
        <v>2</v>
      </c>
      <c r="G367" s="2959">
        <v>203</v>
      </c>
      <c r="H367" s="2959" t="s">
        <v>3055</v>
      </c>
      <c r="I367" s="2960">
        <v>336.79</v>
      </c>
      <c r="J367" s="2960">
        <v>162.19</v>
      </c>
      <c r="K367" s="2960">
        <v>0</v>
      </c>
      <c r="L367" s="2960">
        <f>89.66+84.94</f>
        <v>174.6</v>
      </c>
      <c r="M367" s="2966"/>
      <c r="N367" s="2966"/>
    </row>
    <row r="368" spans="2:14" ht="14.25">
      <c r="B368" s="2958">
        <v>404</v>
      </c>
      <c r="C368" s="2958" t="s">
        <v>3057</v>
      </c>
      <c r="D368" s="2958" t="s">
        <v>3058</v>
      </c>
      <c r="E368" s="2959">
        <v>11</v>
      </c>
      <c r="F368" s="2960">
        <v>2</v>
      </c>
      <c r="G368" s="2959">
        <v>204</v>
      </c>
      <c r="H368" s="2959" t="s">
        <v>3055</v>
      </c>
      <c r="I368" s="2960">
        <v>318.52</v>
      </c>
      <c r="J368" s="2960">
        <v>162.19</v>
      </c>
      <c r="K368" s="2960">
        <v>0</v>
      </c>
      <c r="L368" s="2960">
        <f>89.95+66.38</f>
        <v>156.32999999999998</v>
      </c>
      <c r="M368" s="2966"/>
      <c r="N368" s="2966"/>
    </row>
    <row r="369" spans="2:14" ht="14.25">
      <c r="B369" s="2958">
        <v>405</v>
      </c>
      <c r="C369" s="2958" t="s">
        <v>3057</v>
      </c>
      <c r="D369" s="2958" t="s">
        <v>3058</v>
      </c>
      <c r="E369" s="2959">
        <v>11</v>
      </c>
      <c r="F369" s="2960">
        <v>2</v>
      </c>
      <c r="G369" s="2959">
        <v>303</v>
      </c>
      <c r="H369" s="2959" t="s">
        <v>3055</v>
      </c>
      <c r="I369" s="2960">
        <v>155.66</v>
      </c>
      <c r="J369" s="2960">
        <v>155.66</v>
      </c>
      <c r="K369" s="2960">
        <v>0</v>
      </c>
      <c r="L369" s="2960">
        <v>0</v>
      </c>
      <c r="M369" s="2966"/>
      <c r="N369" s="2966"/>
    </row>
    <row r="370" spans="2:14" ht="14.25">
      <c r="B370" s="2958">
        <v>406</v>
      </c>
      <c r="C370" s="2958" t="s">
        <v>3057</v>
      </c>
      <c r="D370" s="2958" t="s">
        <v>3058</v>
      </c>
      <c r="E370" s="2959">
        <v>11</v>
      </c>
      <c r="F370" s="2960">
        <v>2</v>
      </c>
      <c r="G370" s="2959">
        <v>304</v>
      </c>
      <c r="H370" s="2959" t="s">
        <v>3055</v>
      </c>
      <c r="I370" s="2960">
        <v>155.66</v>
      </c>
      <c r="J370" s="2960">
        <v>155.66</v>
      </c>
      <c r="K370" s="2960">
        <v>0</v>
      </c>
      <c r="L370" s="2960">
        <v>0</v>
      </c>
      <c r="M370" s="2966"/>
      <c r="N370" s="2966"/>
    </row>
    <row r="371" spans="2:14" ht="14.25">
      <c r="B371" s="2958">
        <v>407</v>
      </c>
      <c r="C371" s="2958" t="s">
        <v>3057</v>
      </c>
      <c r="D371" s="2958" t="s">
        <v>3058</v>
      </c>
      <c r="E371" s="2959">
        <v>11</v>
      </c>
      <c r="F371" s="2960">
        <v>2</v>
      </c>
      <c r="G371" s="2959">
        <v>403</v>
      </c>
      <c r="H371" s="2959" t="s">
        <v>3055</v>
      </c>
      <c r="I371" s="2960">
        <v>155.66</v>
      </c>
      <c r="J371" s="2960">
        <v>155.66</v>
      </c>
      <c r="K371" s="2960">
        <v>0</v>
      </c>
      <c r="L371" s="2960">
        <v>0</v>
      </c>
      <c r="M371" s="2966"/>
      <c r="N371" s="2966"/>
    </row>
    <row r="372" spans="2:14" ht="14.25">
      <c r="B372" s="2958">
        <v>408</v>
      </c>
      <c r="C372" s="2958" t="s">
        <v>3057</v>
      </c>
      <c r="D372" s="2958" t="s">
        <v>3058</v>
      </c>
      <c r="E372" s="2959">
        <v>11</v>
      </c>
      <c r="F372" s="2960">
        <v>2</v>
      </c>
      <c r="G372" s="2959">
        <v>404</v>
      </c>
      <c r="H372" s="2959" t="s">
        <v>3055</v>
      </c>
      <c r="I372" s="2960">
        <v>155.66</v>
      </c>
      <c r="J372" s="2960">
        <v>155.66</v>
      </c>
      <c r="K372" s="2960">
        <v>0</v>
      </c>
      <c r="L372" s="2960">
        <v>0</v>
      </c>
      <c r="M372" s="2966"/>
      <c r="N372" s="2966"/>
    </row>
    <row r="373" spans="2:14" ht="14.25">
      <c r="B373" s="2958">
        <v>409</v>
      </c>
      <c r="C373" s="2958" t="s">
        <v>3057</v>
      </c>
      <c r="D373" s="2958" t="s">
        <v>3058</v>
      </c>
      <c r="E373" s="2959">
        <v>11</v>
      </c>
      <c r="F373" s="2960">
        <v>2</v>
      </c>
      <c r="G373" s="2959">
        <v>503</v>
      </c>
      <c r="H373" s="2959" t="s">
        <v>3055</v>
      </c>
      <c r="I373" s="2960">
        <v>155.66</v>
      </c>
      <c r="J373" s="2960">
        <v>155.66</v>
      </c>
      <c r="K373" s="2960">
        <v>0</v>
      </c>
      <c r="L373" s="2960">
        <v>0</v>
      </c>
      <c r="M373" s="2966"/>
      <c r="N373" s="2966"/>
    </row>
    <row r="374" spans="2:14" ht="14.25">
      <c r="B374" s="2958">
        <v>410</v>
      </c>
      <c r="C374" s="2958" t="s">
        <v>3057</v>
      </c>
      <c r="D374" s="2958" t="s">
        <v>3058</v>
      </c>
      <c r="E374" s="2959">
        <v>11</v>
      </c>
      <c r="F374" s="2960">
        <v>2</v>
      </c>
      <c r="G374" s="2959">
        <v>504</v>
      </c>
      <c r="H374" s="2959" t="s">
        <v>3055</v>
      </c>
      <c r="I374" s="2960">
        <v>155.66</v>
      </c>
      <c r="J374" s="2960">
        <v>155.66</v>
      </c>
      <c r="K374" s="2960">
        <v>0</v>
      </c>
      <c r="L374" s="2960">
        <v>0</v>
      </c>
      <c r="M374" s="2966"/>
      <c r="N374" s="2966"/>
    </row>
    <row r="375" spans="2:14" ht="14.25">
      <c r="B375" s="2958">
        <v>411</v>
      </c>
      <c r="C375" s="2958" t="s">
        <v>3057</v>
      </c>
      <c r="D375" s="2958" t="s">
        <v>3058</v>
      </c>
      <c r="E375" s="2959">
        <v>11</v>
      </c>
      <c r="F375" s="2960">
        <v>2</v>
      </c>
      <c r="G375" s="2959">
        <v>603</v>
      </c>
      <c r="H375" s="2959" t="s">
        <v>3055</v>
      </c>
      <c r="I375" s="2960">
        <v>155.66</v>
      </c>
      <c r="J375" s="2960">
        <v>155.66</v>
      </c>
      <c r="K375" s="2960">
        <v>0</v>
      </c>
      <c r="L375" s="2960">
        <v>0</v>
      </c>
      <c r="M375" s="2966"/>
      <c r="N375" s="2966"/>
    </row>
    <row r="376" spans="2:14" ht="14.25">
      <c r="B376" s="2958">
        <v>412</v>
      </c>
      <c r="C376" s="2958" t="s">
        <v>3057</v>
      </c>
      <c r="D376" s="2958" t="s">
        <v>3058</v>
      </c>
      <c r="E376" s="2959">
        <v>11</v>
      </c>
      <c r="F376" s="2960">
        <v>2</v>
      </c>
      <c r="G376" s="2959">
        <v>604</v>
      </c>
      <c r="H376" s="2959" t="s">
        <v>3055</v>
      </c>
      <c r="I376" s="2960">
        <v>155.66</v>
      </c>
      <c r="J376" s="2960">
        <v>155.66</v>
      </c>
      <c r="K376" s="2960">
        <v>0</v>
      </c>
      <c r="L376" s="2960">
        <v>0</v>
      </c>
      <c r="M376" s="2966"/>
      <c r="N376" s="2966"/>
    </row>
    <row r="377" spans="2:14" ht="14.25">
      <c r="B377" s="2958">
        <v>413</v>
      </c>
      <c r="C377" s="2958" t="s">
        <v>3057</v>
      </c>
      <c r="D377" s="2958" t="s">
        <v>3058</v>
      </c>
      <c r="E377" s="2959">
        <v>11</v>
      </c>
      <c r="F377" s="2960">
        <v>2</v>
      </c>
      <c r="G377" s="2959">
        <v>703</v>
      </c>
      <c r="H377" s="2959" t="s">
        <v>3055</v>
      </c>
      <c r="I377" s="2960">
        <v>155.66</v>
      </c>
      <c r="J377" s="2960">
        <v>155.66</v>
      </c>
      <c r="K377" s="2960">
        <v>0</v>
      </c>
      <c r="L377" s="2960">
        <v>0</v>
      </c>
      <c r="M377" s="2966"/>
      <c r="N377" s="2966"/>
    </row>
    <row r="378" spans="2:14" ht="14.25">
      <c r="B378" s="2958">
        <v>414</v>
      </c>
      <c r="C378" s="2958" t="s">
        <v>3057</v>
      </c>
      <c r="D378" s="2958" t="s">
        <v>3058</v>
      </c>
      <c r="E378" s="2959">
        <v>11</v>
      </c>
      <c r="F378" s="2960">
        <v>2</v>
      </c>
      <c r="G378" s="2959">
        <v>704</v>
      </c>
      <c r="H378" s="2959" t="s">
        <v>3055</v>
      </c>
      <c r="I378" s="2960">
        <v>155.66</v>
      </c>
      <c r="J378" s="2960">
        <v>155.66</v>
      </c>
      <c r="K378" s="2960">
        <v>0</v>
      </c>
      <c r="L378" s="2960">
        <v>0</v>
      </c>
      <c r="M378" s="2966"/>
      <c r="N378" s="2966"/>
    </row>
    <row r="379" spans="2:14" ht="14.25">
      <c r="B379" s="2958">
        <v>415</v>
      </c>
      <c r="C379" s="2958" t="s">
        <v>3057</v>
      </c>
      <c r="D379" s="2958" t="s">
        <v>3058</v>
      </c>
      <c r="E379" s="2959">
        <v>11</v>
      </c>
      <c r="F379" s="2960">
        <v>2</v>
      </c>
      <c r="G379" s="2959">
        <v>803</v>
      </c>
      <c r="H379" s="2959" t="s">
        <v>3055</v>
      </c>
      <c r="I379" s="2960">
        <v>155.66</v>
      </c>
      <c r="J379" s="2960">
        <v>155.66</v>
      </c>
      <c r="K379" s="2960">
        <v>0</v>
      </c>
      <c r="L379" s="2960">
        <v>0</v>
      </c>
      <c r="M379" s="2966"/>
      <c r="N379" s="2966"/>
    </row>
    <row r="380" spans="2:14" ht="14.25">
      <c r="B380" s="2958">
        <v>416</v>
      </c>
      <c r="C380" s="2958" t="s">
        <v>3057</v>
      </c>
      <c r="D380" s="2958" t="s">
        <v>3058</v>
      </c>
      <c r="E380" s="2959">
        <v>11</v>
      </c>
      <c r="F380" s="2960">
        <v>2</v>
      </c>
      <c r="G380" s="2959">
        <v>804</v>
      </c>
      <c r="H380" s="2959" t="s">
        <v>3055</v>
      </c>
      <c r="I380" s="2960">
        <v>155.66</v>
      </c>
      <c r="J380" s="2960">
        <v>155.66</v>
      </c>
      <c r="K380" s="2960">
        <v>0</v>
      </c>
      <c r="L380" s="2960">
        <v>0</v>
      </c>
      <c r="M380" s="2966"/>
      <c r="N380" s="2966"/>
    </row>
    <row r="381" spans="2:14" ht="14.25">
      <c r="B381" s="2958">
        <v>417</v>
      </c>
      <c r="C381" s="2958" t="s">
        <v>3057</v>
      </c>
      <c r="D381" s="2958" t="s">
        <v>3058</v>
      </c>
      <c r="E381" s="2959">
        <v>11</v>
      </c>
      <c r="F381" s="2960">
        <v>2</v>
      </c>
      <c r="G381" s="2959">
        <v>903</v>
      </c>
      <c r="H381" s="2959" t="s">
        <v>3055</v>
      </c>
      <c r="I381" s="2960">
        <v>155.66</v>
      </c>
      <c r="J381" s="2960">
        <v>155.66</v>
      </c>
      <c r="K381" s="2960">
        <v>0</v>
      </c>
      <c r="L381" s="2960">
        <v>0</v>
      </c>
      <c r="M381" s="2966"/>
      <c r="N381" s="2966"/>
    </row>
    <row r="382" spans="2:14" ht="14.25">
      <c r="B382" s="2958">
        <v>418</v>
      </c>
      <c r="C382" s="2958" t="s">
        <v>3057</v>
      </c>
      <c r="D382" s="2958" t="s">
        <v>3058</v>
      </c>
      <c r="E382" s="2959">
        <v>11</v>
      </c>
      <c r="F382" s="2960">
        <v>2</v>
      </c>
      <c r="G382" s="2959">
        <v>904</v>
      </c>
      <c r="H382" s="2959" t="s">
        <v>3055</v>
      </c>
      <c r="I382" s="2960">
        <v>155.66</v>
      </c>
      <c r="J382" s="2960">
        <v>155.66</v>
      </c>
      <c r="K382" s="2960">
        <v>0</v>
      </c>
      <c r="L382" s="2960">
        <v>0</v>
      </c>
      <c r="M382" s="2966"/>
      <c r="N382" s="2966"/>
    </row>
    <row r="383" spans="2:14" ht="14.25">
      <c r="B383" s="2958">
        <v>419</v>
      </c>
      <c r="C383" s="2958" t="s">
        <v>3057</v>
      </c>
      <c r="D383" s="2958" t="s">
        <v>3058</v>
      </c>
      <c r="E383" s="2959">
        <v>11</v>
      </c>
      <c r="F383" s="2960">
        <v>2</v>
      </c>
      <c r="G383" s="2959">
        <v>1003</v>
      </c>
      <c r="H383" s="2959" t="s">
        <v>3055</v>
      </c>
      <c r="I383" s="2960">
        <v>155.66</v>
      </c>
      <c r="J383" s="2960">
        <v>155.66</v>
      </c>
      <c r="K383" s="2960">
        <v>0</v>
      </c>
      <c r="L383" s="2960">
        <v>0</v>
      </c>
      <c r="M383" s="2966"/>
      <c r="N383" s="2966"/>
    </row>
    <row r="384" spans="2:14" ht="14.25">
      <c r="B384" s="2958">
        <v>420</v>
      </c>
      <c r="C384" s="2958" t="s">
        <v>3057</v>
      </c>
      <c r="D384" s="2958" t="s">
        <v>3058</v>
      </c>
      <c r="E384" s="2959">
        <v>11</v>
      </c>
      <c r="F384" s="2960">
        <v>2</v>
      </c>
      <c r="G384" s="2959">
        <v>1004</v>
      </c>
      <c r="H384" s="2959" t="s">
        <v>3055</v>
      </c>
      <c r="I384" s="2960">
        <v>155.66</v>
      </c>
      <c r="J384" s="2960">
        <v>155.66</v>
      </c>
      <c r="K384" s="2960">
        <v>0</v>
      </c>
      <c r="L384" s="2960">
        <v>0</v>
      </c>
      <c r="M384" s="2966"/>
      <c r="N384" s="2966"/>
    </row>
    <row r="385" spans="2:14" ht="14.25">
      <c r="B385" s="2958">
        <v>421</v>
      </c>
      <c r="C385" s="2958" t="s">
        <v>3057</v>
      </c>
      <c r="D385" s="2958" t="s">
        <v>3058</v>
      </c>
      <c r="E385" s="2959">
        <v>11</v>
      </c>
      <c r="F385" s="2960">
        <v>2</v>
      </c>
      <c r="G385" s="2959">
        <v>1103</v>
      </c>
      <c r="H385" s="2959" t="s">
        <v>3055</v>
      </c>
      <c r="I385" s="2960">
        <v>230.01</v>
      </c>
      <c r="J385" s="2960">
        <v>155.66</v>
      </c>
      <c r="K385" s="2960">
        <v>74.349999999999994</v>
      </c>
      <c r="L385" s="2960">
        <v>0</v>
      </c>
      <c r="M385" s="2966"/>
      <c r="N385" s="2966"/>
    </row>
    <row r="386" spans="2:14" ht="14.25">
      <c r="B386" s="2958">
        <v>422</v>
      </c>
      <c r="C386" s="2958" t="s">
        <v>3057</v>
      </c>
      <c r="D386" s="2958" t="s">
        <v>3058</v>
      </c>
      <c r="E386" s="2959">
        <v>11</v>
      </c>
      <c r="F386" s="2960">
        <v>2</v>
      </c>
      <c r="G386" s="2959">
        <v>1104</v>
      </c>
      <c r="H386" s="2959" t="s">
        <v>3055</v>
      </c>
      <c r="I386" s="2960">
        <v>213.86</v>
      </c>
      <c r="J386" s="2960">
        <v>155.66</v>
      </c>
      <c r="K386" s="2960">
        <v>58.2</v>
      </c>
      <c r="L386" s="2960">
        <v>0</v>
      </c>
      <c r="M386" s="2966"/>
      <c r="N386" s="2966"/>
    </row>
    <row r="387" spans="2:14" ht="14.25">
      <c r="B387" s="2958">
        <v>423</v>
      </c>
      <c r="C387" s="2958" t="s">
        <v>3057</v>
      </c>
      <c r="D387" s="2958" t="s">
        <v>3058</v>
      </c>
      <c r="E387" s="2959">
        <v>12</v>
      </c>
      <c r="F387" s="2960">
        <v>1</v>
      </c>
      <c r="G387" s="2959">
        <v>101</v>
      </c>
      <c r="H387" s="2959" t="s">
        <v>3055</v>
      </c>
      <c r="I387" s="2960">
        <v>409.72</v>
      </c>
      <c r="J387" s="2960">
        <v>143</v>
      </c>
      <c r="K387" s="2960">
        <v>0</v>
      </c>
      <c r="L387" s="2960">
        <f>158.14+108.58</f>
        <v>266.71999999999997</v>
      </c>
      <c r="M387" s="2966">
        <f>54.4+54.39</f>
        <v>108.78999999999999</v>
      </c>
      <c r="N387" s="2966"/>
    </row>
    <row r="388" spans="2:14" ht="14.25">
      <c r="B388" s="2958">
        <v>424</v>
      </c>
      <c r="C388" s="2958" t="s">
        <v>3057</v>
      </c>
      <c r="D388" s="2958" t="s">
        <v>3058</v>
      </c>
      <c r="E388" s="2959">
        <v>12</v>
      </c>
      <c r="F388" s="2960">
        <v>1</v>
      </c>
      <c r="G388" s="2959">
        <v>102</v>
      </c>
      <c r="H388" s="2959" t="s">
        <v>3055</v>
      </c>
      <c r="I388" s="2960">
        <v>409.72</v>
      </c>
      <c r="J388" s="2960">
        <v>143</v>
      </c>
      <c r="K388" s="2960">
        <v>0</v>
      </c>
      <c r="L388" s="2960">
        <f>158.14+108.58</f>
        <v>266.71999999999997</v>
      </c>
      <c r="M388" s="2966"/>
      <c r="N388" s="2966"/>
    </row>
    <row r="389" spans="2:14" ht="14.25">
      <c r="B389" s="2958">
        <v>425</v>
      </c>
      <c r="C389" s="2958" t="s">
        <v>3057</v>
      </c>
      <c r="D389" s="2958" t="s">
        <v>3058</v>
      </c>
      <c r="E389" s="2959">
        <v>12</v>
      </c>
      <c r="F389" s="2960">
        <v>1</v>
      </c>
      <c r="G389" s="2959">
        <v>201</v>
      </c>
      <c r="H389" s="2959" t="s">
        <v>3055</v>
      </c>
      <c r="I389" s="2960">
        <v>317.98</v>
      </c>
      <c r="J389" s="2960">
        <v>162.19</v>
      </c>
      <c r="K389" s="2960">
        <v>0</v>
      </c>
      <c r="L389" s="2960">
        <f>89.68+66.11</f>
        <v>155.79000000000002</v>
      </c>
      <c r="M389" s="2966"/>
      <c r="N389" s="2966"/>
    </row>
    <row r="390" spans="2:14" ht="14.25">
      <c r="B390" s="2958">
        <v>426</v>
      </c>
      <c r="C390" s="2958" t="s">
        <v>3057</v>
      </c>
      <c r="D390" s="2958" t="s">
        <v>3058</v>
      </c>
      <c r="E390" s="2959">
        <v>12</v>
      </c>
      <c r="F390" s="2960">
        <v>1</v>
      </c>
      <c r="G390" s="2959">
        <v>202</v>
      </c>
      <c r="H390" s="2959" t="s">
        <v>3055</v>
      </c>
      <c r="I390" s="2960">
        <v>336.82</v>
      </c>
      <c r="J390" s="2960">
        <v>162.19</v>
      </c>
      <c r="K390" s="2960">
        <v>0</v>
      </c>
      <c r="L390" s="2960">
        <f>89.68+84.95</f>
        <v>174.63</v>
      </c>
      <c r="M390" s="2966"/>
      <c r="N390" s="2966"/>
    </row>
    <row r="391" spans="2:14" ht="14.25">
      <c r="B391" s="2958">
        <v>427</v>
      </c>
      <c r="C391" s="2958" t="s">
        <v>3057</v>
      </c>
      <c r="D391" s="2958" t="s">
        <v>3058</v>
      </c>
      <c r="E391" s="2959">
        <v>12</v>
      </c>
      <c r="F391" s="2960">
        <v>1</v>
      </c>
      <c r="G391" s="2959">
        <v>301</v>
      </c>
      <c r="H391" s="2959" t="s">
        <v>3055</v>
      </c>
      <c r="I391" s="2960">
        <v>155.66</v>
      </c>
      <c r="J391" s="2960">
        <v>155.66</v>
      </c>
      <c r="K391" s="2960">
        <v>0</v>
      </c>
      <c r="L391" s="2960">
        <v>0</v>
      </c>
      <c r="M391" s="2966"/>
      <c r="N391" s="2966"/>
    </row>
    <row r="392" spans="2:14" ht="14.25">
      <c r="B392" s="2958">
        <v>428</v>
      </c>
      <c r="C392" s="2958" t="s">
        <v>3057</v>
      </c>
      <c r="D392" s="2958" t="s">
        <v>3058</v>
      </c>
      <c r="E392" s="2959">
        <v>12</v>
      </c>
      <c r="F392" s="2960">
        <v>1</v>
      </c>
      <c r="G392" s="2959">
        <v>302</v>
      </c>
      <c r="H392" s="2959" t="s">
        <v>3055</v>
      </c>
      <c r="I392" s="2960">
        <v>155.66</v>
      </c>
      <c r="J392" s="2960">
        <v>155.66</v>
      </c>
      <c r="K392" s="2960">
        <v>0</v>
      </c>
      <c r="L392" s="2960">
        <v>0</v>
      </c>
      <c r="M392" s="2966"/>
      <c r="N392" s="2966"/>
    </row>
    <row r="393" spans="2:14" ht="14.25">
      <c r="B393" s="2958">
        <v>429</v>
      </c>
      <c r="C393" s="2958" t="s">
        <v>3057</v>
      </c>
      <c r="D393" s="2958" t="s">
        <v>3058</v>
      </c>
      <c r="E393" s="2959">
        <v>12</v>
      </c>
      <c r="F393" s="2960">
        <v>1</v>
      </c>
      <c r="G393" s="2959">
        <v>401</v>
      </c>
      <c r="H393" s="2959" t="s">
        <v>3055</v>
      </c>
      <c r="I393" s="2960">
        <v>155.66</v>
      </c>
      <c r="J393" s="2960">
        <v>155.66</v>
      </c>
      <c r="K393" s="2960">
        <v>0</v>
      </c>
      <c r="L393" s="2960">
        <v>0</v>
      </c>
      <c r="M393" s="2966"/>
      <c r="N393" s="2966"/>
    </row>
    <row r="394" spans="2:14" ht="14.25">
      <c r="B394" s="2958">
        <v>430</v>
      </c>
      <c r="C394" s="2958" t="s">
        <v>3057</v>
      </c>
      <c r="D394" s="2958" t="s">
        <v>3058</v>
      </c>
      <c r="E394" s="2959">
        <v>12</v>
      </c>
      <c r="F394" s="2960">
        <v>1</v>
      </c>
      <c r="G394" s="2959">
        <v>402</v>
      </c>
      <c r="H394" s="2959" t="s">
        <v>3055</v>
      </c>
      <c r="I394" s="2960">
        <v>155.66</v>
      </c>
      <c r="J394" s="2960">
        <v>155.66</v>
      </c>
      <c r="K394" s="2960">
        <v>0</v>
      </c>
      <c r="L394" s="2960">
        <v>0</v>
      </c>
      <c r="M394" s="2966"/>
      <c r="N394" s="2966"/>
    </row>
    <row r="395" spans="2:14" ht="14.25">
      <c r="B395" s="2958">
        <v>431</v>
      </c>
      <c r="C395" s="2958" t="s">
        <v>3057</v>
      </c>
      <c r="D395" s="2958" t="s">
        <v>3058</v>
      </c>
      <c r="E395" s="2959">
        <v>12</v>
      </c>
      <c r="F395" s="2960">
        <v>1</v>
      </c>
      <c r="G395" s="2959">
        <v>501</v>
      </c>
      <c r="H395" s="2959" t="s">
        <v>3055</v>
      </c>
      <c r="I395" s="2960">
        <v>155.66</v>
      </c>
      <c r="J395" s="2960">
        <v>155.66</v>
      </c>
      <c r="K395" s="2960">
        <v>0</v>
      </c>
      <c r="L395" s="2960">
        <v>0</v>
      </c>
      <c r="M395" s="2966"/>
      <c r="N395" s="2966"/>
    </row>
    <row r="396" spans="2:14" ht="14.25">
      <c r="B396" s="2958">
        <v>432</v>
      </c>
      <c r="C396" s="2958" t="s">
        <v>3057</v>
      </c>
      <c r="D396" s="2958" t="s">
        <v>3058</v>
      </c>
      <c r="E396" s="2959">
        <v>12</v>
      </c>
      <c r="F396" s="2960">
        <v>1</v>
      </c>
      <c r="G396" s="2959">
        <v>502</v>
      </c>
      <c r="H396" s="2959" t="s">
        <v>3055</v>
      </c>
      <c r="I396" s="2960">
        <v>155.66</v>
      </c>
      <c r="J396" s="2960">
        <v>155.66</v>
      </c>
      <c r="K396" s="2960">
        <v>0</v>
      </c>
      <c r="L396" s="2960">
        <v>0</v>
      </c>
      <c r="M396" s="2966"/>
      <c r="N396" s="2966"/>
    </row>
    <row r="397" spans="2:14" ht="14.25">
      <c r="B397" s="2958">
        <v>433</v>
      </c>
      <c r="C397" s="2958" t="s">
        <v>3057</v>
      </c>
      <c r="D397" s="2958" t="s">
        <v>3058</v>
      </c>
      <c r="E397" s="2959">
        <v>12</v>
      </c>
      <c r="F397" s="2960">
        <v>1</v>
      </c>
      <c r="G397" s="2959">
        <v>601</v>
      </c>
      <c r="H397" s="2959" t="s">
        <v>3055</v>
      </c>
      <c r="I397" s="2960">
        <v>155.66</v>
      </c>
      <c r="J397" s="2960">
        <v>155.66</v>
      </c>
      <c r="K397" s="2960">
        <v>0</v>
      </c>
      <c r="L397" s="2960">
        <v>0</v>
      </c>
      <c r="M397" s="2966"/>
      <c r="N397" s="2966"/>
    </row>
    <row r="398" spans="2:14" ht="14.25">
      <c r="B398" s="2958">
        <v>434</v>
      </c>
      <c r="C398" s="2958" t="s">
        <v>3057</v>
      </c>
      <c r="D398" s="2958" t="s">
        <v>3058</v>
      </c>
      <c r="E398" s="2959">
        <v>12</v>
      </c>
      <c r="F398" s="2960">
        <v>1</v>
      </c>
      <c r="G398" s="2959">
        <v>602</v>
      </c>
      <c r="H398" s="2959" t="s">
        <v>3055</v>
      </c>
      <c r="I398" s="2960">
        <v>155.66</v>
      </c>
      <c r="J398" s="2960">
        <v>155.66</v>
      </c>
      <c r="K398" s="2960">
        <v>0</v>
      </c>
      <c r="L398" s="2960">
        <v>0</v>
      </c>
      <c r="M398" s="2966"/>
      <c r="N398" s="2966"/>
    </row>
    <row r="399" spans="2:14" ht="14.25">
      <c r="B399" s="2958">
        <v>435</v>
      </c>
      <c r="C399" s="2958" t="s">
        <v>3057</v>
      </c>
      <c r="D399" s="2958" t="s">
        <v>3058</v>
      </c>
      <c r="E399" s="2959">
        <v>12</v>
      </c>
      <c r="F399" s="2960">
        <v>1</v>
      </c>
      <c r="G399" s="2959">
        <v>701</v>
      </c>
      <c r="H399" s="2959" t="s">
        <v>3055</v>
      </c>
      <c r="I399" s="2960">
        <v>155.66</v>
      </c>
      <c r="J399" s="2960">
        <v>155.66</v>
      </c>
      <c r="K399" s="2960">
        <v>0</v>
      </c>
      <c r="L399" s="2960">
        <v>0</v>
      </c>
      <c r="M399" s="2966"/>
      <c r="N399" s="2966"/>
    </row>
    <row r="400" spans="2:14" ht="14.25">
      <c r="B400" s="2958">
        <v>436</v>
      </c>
      <c r="C400" s="2958" t="s">
        <v>3057</v>
      </c>
      <c r="D400" s="2958" t="s">
        <v>3058</v>
      </c>
      <c r="E400" s="2959">
        <v>12</v>
      </c>
      <c r="F400" s="2960">
        <v>1</v>
      </c>
      <c r="G400" s="2959">
        <v>702</v>
      </c>
      <c r="H400" s="2959" t="s">
        <v>3055</v>
      </c>
      <c r="I400" s="2960">
        <v>155.66</v>
      </c>
      <c r="J400" s="2960">
        <v>155.66</v>
      </c>
      <c r="K400" s="2960">
        <v>0</v>
      </c>
      <c r="L400" s="2960">
        <v>0</v>
      </c>
      <c r="M400" s="2966"/>
      <c r="N400" s="2966"/>
    </row>
    <row r="401" spans="2:14" ht="14.25">
      <c r="B401" s="2958">
        <v>437</v>
      </c>
      <c r="C401" s="2958" t="s">
        <v>3057</v>
      </c>
      <c r="D401" s="2958" t="s">
        <v>3058</v>
      </c>
      <c r="E401" s="2959">
        <v>12</v>
      </c>
      <c r="F401" s="2960">
        <v>1</v>
      </c>
      <c r="G401" s="2959">
        <v>801</v>
      </c>
      <c r="H401" s="2959" t="s">
        <v>3055</v>
      </c>
      <c r="I401" s="2960">
        <v>155.66</v>
      </c>
      <c r="J401" s="2960">
        <v>155.66</v>
      </c>
      <c r="K401" s="2960">
        <v>0</v>
      </c>
      <c r="L401" s="2960">
        <v>0</v>
      </c>
      <c r="M401" s="2966"/>
      <c r="N401" s="2966"/>
    </row>
    <row r="402" spans="2:14" ht="14.25">
      <c r="B402" s="2958">
        <v>438</v>
      </c>
      <c r="C402" s="2958" t="s">
        <v>3057</v>
      </c>
      <c r="D402" s="2958" t="s">
        <v>3058</v>
      </c>
      <c r="E402" s="2959">
        <v>12</v>
      </c>
      <c r="F402" s="2960">
        <v>1</v>
      </c>
      <c r="G402" s="2959">
        <v>802</v>
      </c>
      <c r="H402" s="2959" t="s">
        <v>3055</v>
      </c>
      <c r="I402" s="2960">
        <v>155.66</v>
      </c>
      <c r="J402" s="2960">
        <v>155.66</v>
      </c>
      <c r="K402" s="2960">
        <v>0</v>
      </c>
      <c r="L402" s="2960">
        <v>0</v>
      </c>
      <c r="M402" s="2966"/>
      <c r="N402" s="2966"/>
    </row>
    <row r="403" spans="2:14" ht="14.25">
      <c r="B403" s="2958">
        <v>439</v>
      </c>
      <c r="C403" s="2958" t="s">
        <v>3057</v>
      </c>
      <c r="D403" s="2958" t="s">
        <v>3058</v>
      </c>
      <c r="E403" s="2959">
        <v>12</v>
      </c>
      <c r="F403" s="2960">
        <v>1</v>
      </c>
      <c r="G403" s="2959">
        <v>901</v>
      </c>
      <c r="H403" s="2959" t="s">
        <v>3055</v>
      </c>
      <c r="I403" s="2960">
        <v>155.66</v>
      </c>
      <c r="J403" s="2960">
        <v>155.66</v>
      </c>
      <c r="K403" s="2960">
        <v>0</v>
      </c>
      <c r="L403" s="2960">
        <v>0</v>
      </c>
      <c r="M403" s="2966"/>
      <c r="N403" s="2966"/>
    </row>
    <row r="404" spans="2:14" ht="14.25">
      <c r="B404" s="2958">
        <v>440</v>
      </c>
      <c r="C404" s="2958" t="s">
        <v>3057</v>
      </c>
      <c r="D404" s="2958" t="s">
        <v>3058</v>
      </c>
      <c r="E404" s="2959">
        <v>12</v>
      </c>
      <c r="F404" s="2960">
        <v>1</v>
      </c>
      <c r="G404" s="2959">
        <v>902</v>
      </c>
      <c r="H404" s="2959" t="s">
        <v>3055</v>
      </c>
      <c r="I404" s="2960">
        <v>155.66</v>
      </c>
      <c r="J404" s="2960">
        <v>155.66</v>
      </c>
      <c r="K404" s="2960">
        <v>0</v>
      </c>
      <c r="L404" s="2960">
        <v>0</v>
      </c>
      <c r="M404" s="2966"/>
      <c r="N404" s="2966"/>
    </row>
    <row r="405" spans="2:14" ht="14.25">
      <c r="B405" s="2958">
        <v>441</v>
      </c>
      <c r="C405" s="2958" t="s">
        <v>3057</v>
      </c>
      <c r="D405" s="2958" t="s">
        <v>3058</v>
      </c>
      <c r="E405" s="2959">
        <v>12</v>
      </c>
      <c r="F405" s="2960">
        <v>1</v>
      </c>
      <c r="G405" s="2959">
        <v>1001</v>
      </c>
      <c r="H405" s="2959" t="s">
        <v>3055</v>
      </c>
      <c r="I405" s="2960">
        <v>155.66</v>
      </c>
      <c r="J405" s="2960">
        <v>155.66</v>
      </c>
      <c r="K405" s="2960">
        <v>0</v>
      </c>
      <c r="L405" s="2960">
        <v>0</v>
      </c>
      <c r="M405" s="2966"/>
      <c r="N405" s="2966"/>
    </row>
    <row r="406" spans="2:14" ht="14.25">
      <c r="B406" s="2958">
        <v>442</v>
      </c>
      <c r="C406" s="2958" t="s">
        <v>3057</v>
      </c>
      <c r="D406" s="2958" t="s">
        <v>3058</v>
      </c>
      <c r="E406" s="2959">
        <v>12</v>
      </c>
      <c r="F406" s="2960">
        <v>1</v>
      </c>
      <c r="G406" s="2959">
        <v>1002</v>
      </c>
      <c r="H406" s="2959" t="s">
        <v>3055</v>
      </c>
      <c r="I406" s="2960">
        <v>155.66</v>
      </c>
      <c r="J406" s="2960">
        <v>155.66</v>
      </c>
      <c r="K406" s="2960">
        <v>0</v>
      </c>
      <c r="L406" s="2960">
        <v>0</v>
      </c>
      <c r="M406" s="2966"/>
      <c r="N406" s="2966"/>
    </row>
    <row r="407" spans="2:14" ht="14.25">
      <c r="B407" s="2958">
        <v>443</v>
      </c>
      <c r="C407" s="2958" t="s">
        <v>3057</v>
      </c>
      <c r="D407" s="2958" t="s">
        <v>3058</v>
      </c>
      <c r="E407" s="2959">
        <v>12</v>
      </c>
      <c r="F407" s="2960">
        <v>1</v>
      </c>
      <c r="G407" s="2959">
        <v>1101</v>
      </c>
      <c r="H407" s="2959" t="s">
        <v>3055</v>
      </c>
      <c r="I407" s="2960">
        <v>213.86</v>
      </c>
      <c r="J407" s="2960">
        <v>155.66</v>
      </c>
      <c r="K407" s="2960">
        <v>58.2</v>
      </c>
      <c r="L407" s="2960">
        <v>0</v>
      </c>
      <c r="M407" s="2966"/>
      <c r="N407" s="2966"/>
    </row>
    <row r="408" spans="2:14" ht="14.25">
      <c r="B408" s="2958">
        <v>444</v>
      </c>
      <c r="C408" s="2958" t="s">
        <v>3057</v>
      </c>
      <c r="D408" s="2958" t="s">
        <v>3058</v>
      </c>
      <c r="E408" s="2959">
        <v>12</v>
      </c>
      <c r="F408" s="2960">
        <v>1</v>
      </c>
      <c r="G408" s="2959">
        <v>1102</v>
      </c>
      <c r="H408" s="2959" t="s">
        <v>3055</v>
      </c>
      <c r="I408" s="2960">
        <v>230.01</v>
      </c>
      <c r="J408" s="2960">
        <v>155.66</v>
      </c>
      <c r="K408" s="2960">
        <v>74.349999999999994</v>
      </c>
      <c r="L408" s="2960">
        <v>0</v>
      </c>
      <c r="M408" s="2966"/>
      <c r="N408" s="2966"/>
    </row>
    <row r="409" spans="2:14" ht="14.25">
      <c r="B409" s="2958">
        <v>445</v>
      </c>
      <c r="C409" s="2958" t="s">
        <v>3057</v>
      </c>
      <c r="D409" s="2958" t="s">
        <v>3058</v>
      </c>
      <c r="E409" s="2959">
        <v>12</v>
      </c>
      <c r="F409" s="2960">
        <v>2</v>
      </c>
      <c r="G409" s="2959">
        <v>103</v>
      </c>
      <c r="H409" s="2959" t="s">
        <v>3055</v>
      </c>
      <c r="I409" s="2960">
        <v>409.69</v>
      </c>
      <c r="J409" s="2960">
        <v>143</v>
      </c>
      <c r="K409" s="2960">
        <v>0</v>
      </c>
      <c r="L409" s="2960">
        <f>158.12+108.57</f>
        <v>266.69</v>
      </c>
      <c r="M409" s="2966"/>
      <c r="N409" s="2966"/>
    </row>
    <row r="410" spans="2:14" ht="14.25">
      <c r="B410" s="2958">
        <v>446</v>
      </c>
      <c r="C410" s="2958" t="s">
        <v>3057</v>
      </c>
      <c r="D410" s="2958" t="s">
        <v>3058</v>
      </c>
      <c r="E410" s="2959">
        <v>12</v>
      </c>
      <c r="F410" s="2960">
        <v>2</v>
      </c>
      <c r="G410" s="2959">
        <v>104</v>
      </c>
      <c r="H410" s="2959" t="s">
        <v>3055</v>
      </c>
      <c r="I410" s="2960">
        <v>410.69</v>
      </c>
      <c r="J410" s="2960">
        <v>143</v>
      </c>
      <c r="K410" s="2960">
        <v>0</v>
      </c>
      <c r="L410" s="2960">
        <f>158.67+109.02</f>
        <v>267.69</v>
      </c>
      <c r="M410" s="2966"/>
      <c r="N410" s="2966"/>
    </row>
    <row r="411" spans="2:14" ht="14.25">
      <c r="B411" s="2958">
        <v>447</v>
      </c>
      <c r="C411" s="2958" t="s">
        <v>3057</v>
      </c>
      <c r="D411" s="2958" t="s">
        <v>3058</v>
      </c>
      <c r="E411" s="2959">
        <v>12</v>
      </c>
      <c r="F411" s="2960">
        <v>2</v>
      </c>
      <c r="G411" s="2959">
        <v>203</v>
      </c>
      <c r="H411" s="2959" t="s">
        <v>3055</v>
      </c>
      <c r="I411" s="2960">
        <v>336.79</v>
      </c>
      <c r="J411" s="2960">
        <v>162.19</v>
      </c>
      <c r="K411" s="2960">
        <v>0</v>
      </c>
      <c r="L411" s="2960">
        <f>89.66+84.94</f>
        <v>174.6</v>
      </c>
      <c r="M411" s="2966"/>
      <c r="N411" s="2966"/>
    </row>
    <row r="412" spans="2:14" ht="14.25">
      <c r="B412" s="2958">
        <v>448</v>
      </c>
      <c r="C412" s="2958" t="s">
        <v>3057</v>
      </c>
      <c r="D412" s="2958" t="s">
        <v>3058</v>
      </c>
      <c r="E412" s="2959">
        <v>12</v>
      </c>
      <c r="F412" s="2960">
        <v>2</v>
      </c>
      <c r="G412" s="2959">
        <v>204</v>
      </c>
      <c r="H412" s="2959" t="s">
        <v>3055</v>
      </c>
      <c r="I412" s="2960">
        <v>318.52</v>
      </c>
      <c r="J412" s="2960">
        <v>162.19</v>
      </c>
      <c r="K412" s="2960">
        <v>0</v>
      </c>
      <c r="L412" s="2960">
        <f>89.95+66.38</f>
        <v>156.32999999999998</v>
      </c>
      <c r="M412" s="2966"/>
      <c r="N412" s="2966"/>
    </row>
    <row r="413" spans="2:14" ht="14.25">
      <c r="B413" s="2958">
        <v>449</v>
      </c>
      <c r="C413" s="2958" t="s">
        <v>3057</v>
      </c>
      <c r="D413" s="2958" t="s">
        <v>3058</v>
      </c>
      <c r="E413" s="2959">
        <v>12</v>
      </c>
      <c r="F413" s="2960">
        <v>2</v>
      </c>
      <c r="G413" s="2959">
        <v>303</v>
      </c>
      <c r="H413" s="2959" t="s">
        <v>3055</v>
      </c>
      <c r="I413" s="2960">
        <v>155.66</v>
      </c>
      <c r="J413" s="2960">
        <v>155.66</v>
      </c>
      <c r="K413" s="2960">
        <v>0</v>
      </c>
      <c r="L413" s="2960">
        <v>0</v>
      </c>
      <c r="M413" s="2966"/>
      <c r="N413" s="2966"/>
    </row>
    <row r="414" spans="2:14" ht="14.25">
      <c r="B414" s="2958">
        <v>450</v>
      </c>
      <c r="C414" s="2958" t="s">
        <v>3057</v>
      </c>
      <c r="D414" s="2958" t="s">
        <v>3058</v>
      </c>
      <c r="E414" s="2959">
        <v>12</v>
      </c>
      <c r="F414" s="2960">
        <v>2</v>
      </c>
      <c r="G414" s="2959">
        <v>304</v>
      </c>
      <c r="H414" s="2959" t="s">
        <v>3055</v>
      </c>
      <c r="I414" s="2960">
        <v>155.66</v>
      </c>
      <c r="J414" s="2960">
        <v>155.66</v>
      </c>
      <c r="K414" s="2960">
        <v>0</v>
      </c>
      <c r="L414" s="2960">
        <v>0</v>
      </c>
      <c r="M414" s="2966"/>
      <c r="N414" s="2966"/>
    </row>
    <row r="415" spans="2:14" ht="14.25">
      <c r="B415" s="2958">
        <v>451</v>
      </c>
      <c r="C415" s="2958" t="s">
        <v>3057</v>
      </c>
      <c r="D415" s="2958" t="s">
        <v>3058</v>
      </c>
      <c r="E415" s="2959">
        <v>12</v>
      </c>
      <c r="F415" s="2960">
        <v>2</v>
      </c>
      <c r="G415" s="2959">
        <v>403</v>
      </c>
      <c r="H415" s="2959" t="s">
        <v>3055</v>
      </c>
      <c r="I415" s="2960">
        <v>155.66</v>
      </c>
      <c r="J415" s="2960">
        <v>155.66</v>
      </c>
      <c r="K415" s="2960">
        <v>0</v>
      </c>
      <c r="L415" s="2960">
        <v>0</v>
      </c>
      <c r="M415" s="2966"/>
      <c r="N415" s="2966"/>
    </row>
    <row r="416" spans="2:14" ht="14.25">
      <c r="B416" s="2958">
        <v>452</v>
      </c>
      <c r="C416" s="2958" t="s">
        <v>3057</v>
      </c>
      <c r="D416" s="2958" t="s">
        <v>3058</v>
      </c>
      <c r="E416" s="2959">
        <v>12</v>
      </c>
      <c r="F416" s="2960">
        <v>2</v>
      </c>
      <c r="G416" s="2959">
        <v>404</v>
      </c>
      <c r="H416" s="2959" t="s">
        <v>3055</v>
      </c>
      <c r="I416" s="2960">
        <v>155.66</v>
      </c>
      <c r="J416" s="2960">
        <v>155.66</v>
      </c>
      <c r="K416" s="2960">
        <v>0</v>
      </c>
      <c r="L416" s="2960">
        <v>0</v>
      </c>
      <c r="M416" s="2966"/>
      <c r="N416" s="2966"/>
    </row>
    <row r="417" spans="2:14" ht="14.25">
      <c r="B417" s="2958">
        <v>453</v>
      </c>
      <c r="C417" s="2958" t="s">
        <v>3057</v>
      </c>
      <c r="D417" s="2958" t="s">
        <v>3058</v>
      </c>
      <c r="E417" s="2959">
        <v>12</v>
      </c>
      <c r="F417" s="2960">
        <v>2</v>
      </c>
      <c r="G417" s="2959">
        <v>503</v>
      </c>
      <c r="H417" s="2959" t="s">
        <v>3055</v>
      </c>
      <c r="I417" s="2960">
        <v>155.66</v>
      </c>
      <c r="J417" s="2960">
        <v>155.66</v>
      </c>
      <c r="K417" s="2960">
        <v>0</v>
      </c>
      <c r="L417" s="2960">
        <v>0</v>
      </c>
      <c r="M417" s="2966"/>
      <c r="N417" s="2966"/>
    </row>
    <row r="418" spans="2:14" ht="14.25">
      <c r="B418" s="2958">
        <v>454</v>
      </c>
      <c r="C418" s="2958" t="s">
        <v>3057</v>
      </c>
      <c r="D418" s="2958" t="s">
        <v>3058</v>
      </c>
      <c r="E418" s="2959">
        <v>12</v>
      </c>
      <c r="F418" s="2960">
        <v>2</v>
      </c>
      <c r="G418" s="2959">
        <v>504</v>
      </c>
      <c r="H418" s="2959" t="s">
        <v>3055</v>
      </c>
      <c r="I418" s="2960">
        <v>155.66</v>
      </c>
      <c r="J418" s="2960">
        <v>155.66</v>
      </c>
      <c r="K418" s="2960">
        <v>0</v>
      </c>
      <c r="L418" s="2960">
        <v>0</v>
      </c>
      <c r="M418" s="2966"/>
      <c r="N418" s="2966"/>
    </row>
    <row r="419" spans="2:14" ht="14.25">
      <c r="B419" s="2958">
        <v>455</v>
      </c>
      <c r="C419" s="2958" t="s">
        <v>3057</v>
      </c>
      <c r="D419" s="2958" t="s">
        <v>3058</v>
      </c>
      <c r="E419" s="2959">
        <v>12</v>
      </c>
      <c r="F419" s="2960">
        <v>2</v>
      </c>
      <c r="G419" s="2959">
        <v>603</v>
      </c>
      <c r="H419" s="2959" t="s">
        <v>3055</v>
      </c>
      <c r="I419" s="2960">
        <v>155.66</v>
      </c>
      <c r="J419" s="2960">
        <v>155.66</v>
      </c>
      <c r="K419" s="2960">
        <v>0</v>
      </c>
      <c r="L419" s="2960">
        <v>0</v>
      </c>
      <c r="M419" s="2966"/>
      <c r="N419" s="2966"/>
    </row>
    <row r="420" spans="2:14" ht="14.25">
      <c r="B420" s="2958">
        <v>456</v>
      </c>
      <c r="C420" s="2958" t="s">
        <v>3057</v>
      </c>
      <c r="D420" s="2958" t="s">
        <v>3058</v>
      </c>
      <c r="E420" s="2959">
        <v>12</v>
      </c>
      <c r="F420" s="2960">
        <v>2</v>
      </c>
      <c r="G420" s="2959">
        <v>604</v>
      </c>
      <c r="H420" s="2959" t="s">
        <v>3055</v>
      </c>
      <c r="I420" s="2960">
        <v>155.66</v>
      </c>
      <c r="J420" s="2960">
        <v>155.66</v>
      </c>
      <c r="K420" s="2960">
        <v>0</v>
      </c>
      <c r="L420" s="2960">
        <v>0</v>
      </c>
      <c r="M420" s="2966"/>
      <c r="N420" s="2966"/>
    </row>
    <row r="421" spans="2:14" ht="14.25">
      <c r="B421" s="2958">
        <v>457</v>
      </c>
      <c r="C421" s="2958" t="s">
        <v>3057</v>
      </c>
      <c r="D421" s="2958" t="s">
        <v>3058</v>
      </c>
      <c r="E421" s="2959">
        <v>12</v>
      </c>
      <c r="F421" s="2960">
        <v>2</v>
      </c>
      <c r="G421" s="2959">
        <v>703</v>
      </c>
      <c r="H421" s="2959" t="s">
        <v>3055</v>
      </c>
      <c r="I421" s="2960">
        <v>155.66</v>
      </c>
      <c r="J421" s="2960">
        <v>155.66</v>
      </c>
      <c r="K421" s="2960">
        <v>0</v>
      </c>
      <c r="L421" s="2960">
        <v>0</v>
      </c>
      <c r="M421" s="2966"/>
      <c r="N421" s="2966"/>
    </row>
    <row r="422" spans="2:14" ht="14.25">
      <c r="B422" s="2958">
        <v>458</v>
      </c>
      <c r="C422" s="2958" t="s">
        <v>3057</v>
      </c>
      <c r="D422" s="2958" t="s">
        <v>3058</v>
      </c>
      <c r="E422" s="2959">
        <v>12</v>
      </c>
      <c r="F422" s="2960">
        <v>2</v>
      </c>
      <c r="G422" s="2959">
        <v>704</v>
      </c>
      <c r="H422" s="2959" t="s">
        <v>3055</v>
      </c>
      <c r="I422" s="2960">
        <v>155.66</v>
      </c>
      <c r="J422" s="2960">
        <v>155.66</v>
      </c>
      <c r="K422" s="2960">
        <v>0</v>
      </c>
      <c r="L422" s="2960">
        <v>0</v>
      </c>
      <c r="M422" s="2966"/>
      <c r="N422" s="2966"/>
    </row>
    <row r="423" spans="2:14" ht="14.25">
      <c r="B423" s="2958">
        <v>459</v>
      </c>
      <c r="C423" s="2958" t="s">
        <v>3057</v>
      </c>
      <c r="D423" s="2958" t="s">
        <v>3058</v>
      </c>
      <c r="E423" s="2959">
        <v>12</v>
      </c>
      <c r="F423" s="2960">
        <v>2</v>
      </c>
      <c r="G423" s="2959">
        <v>803</v>
      </c>
      <c r="H423" s="2959" t="s">
        <v>3055</v>
      </c>
      <c r="I423" s="2960">
        <v>155.66</v>
      </c>
      <c r="J423" s="2960">
        <v>155.66</v>
      </c>
      <c r="K423" s="2960">
        <v>0</v>
      </c>
      <c r="L423" s="2960">
        <v>0</v>
      </c>
      <c r="M423" s="2966"/>
      <c r="N423" s="2966"/>
    </row>
    <row r="424" spans="2:14" ht="14.25">
      <c r="B424" s="2958">
        <v>460</v>
      </c>
      <c r="C424" s="2958" t="s">
        <v>3057</v>
      </c>
      <c r="D424" s="2958" t="s">
        <v>3058</v>
      </c>
      <c r="E424" s="2959">
        <v>12</v>
      </c>
      <c r="F424" s="2960">
        <v>2</v>
      </c>
      <c r="G424" s="2959">
        <v>804</v>
      </c>
      <c r="H424" s="2959" t="s">
        <v>3055</v>
      </c>
      <c r="I424" s="2960">
        <v>155.66</v>
      </c>
      <c r="J424" s="2960">
        <v>155.66</v>
      </c>
      <c r="K424" s="2960">
        <v>0</v>
      </c>
      <c r="L424" s="2960">
        <v>0</v>
      </c>
      <c r="M424" s="2966"/>
      <c r="N424" s="2966"/>
    </row>
    <row r="425" spans="2:14" ht="14.25">
      <c r="B425" s="2958">
        <v>461</v>
      </c>
      <c r="C425" s="2958" t="s">
        <v>3057</v>
      </c>
      <c r="D425" s="2958" t="s">
        <v>3058</v>
      </c>
      <c r="E425" s="2959">
        <v>12</v>
      </c>
      <c r="F425" s="2960">
        <v>2</v>
      </c>
      <c r="G425" s="2959">
        <v>903</v>
      </c>
      <c r="H425" s="2959" t="s">
        <v>3055</v>
      </c>
      <c r="I425" s="2960">
        <v>155.66</v>
      </c>
      <c r="J425" s="2960">
        <v>155.66</v>
      </c>
      <c r="K425" s="2960">
        <v>0</v>
      </c>
      <c r="L425" s="2960">
        <v>0</v>
      </c>
      <c r="M425" s="2966"/>
      <c r="N425" s="2966"/>
    </row>
    <row r="426" spans="2:14" ht="14.25">
      <c r="B426" s="2958">
        <v>462</v>
      </c>
      <c r="C426" s="2958" t="s">
        <v>3057</v>
      </c>
      <c r="D426" s="2958" t="s">
        <v>3058</v>
      </c>
      <c r="E426" s="2959">
        <v>12</v>
      </c>
      <c r="F426" s="2960">
        <v>2</v>
      </c>
      <c r="G426" s="2959">
        <v>904</v>
      </c>
      <c r="H426" s="2959" t="s">
        <v>3055</v>
      </c>
      <c r="I426" s="2960">
        <v>155.66</v>
      </c>
      <c r="J426" s="2960">
        <v>155.66</v>
      </c>
      <c r="K426" s="2960">
        <v>0</v>
      </c>
      <c r="L426" s="2960">
        <v>0</v>
      </c>
      <c r="M426" s="2966"/>
      <c r="N426" s="2966"/>
    </row>
    <row r="427" spans="2:14" ht="14.25">
      <c r="B427" s="2958">
        <v>463</v>
      </c>
      <c r="C427" s="2958" t="s">
        <v>3057</v>
      </c>
      <c r="D427" s="2958" t="s">
        <v>3058</v>
      </c>
      <c r="E427" s="2959">
        <v>12</v>
      </c>
      <c r="F427" s="2960">
        <v>2</v>
      </c>
      <c r="G427" s="2959">
        <v>1003</v>
      </c>
      <c r="H427" s="2959" t="s">
        <v>3055</v>
      </c>
      <c r="I427" s="2960">
        <v>155.66</v>
      </c>
      <c r="J427" s="2960">
        <v>155.66</v>
      </c>
      <c r="K427" s="2960">
        <v>0</v>
      </c>
      <c r="L427" s="2960">
        <v>0</v>
      </c>
      <c r="M427" s="2966"/>
      <c r="N427" s="2966"/>
    </row>
    <row r="428" spans="2:14" ht="14.25">
      <c r="B428" s="2958">
        <v>464</v>
      </c>
      <c r="C428" s="2958" t="s">
        <v>3057</v>
      </c>
      <c r="D428" s="2958" t="s">
        <v>3058</v>
      </c>
      <c r="E428" s="2959">
        <v>12</v>
      </c>
      <c r="F428" s="2960">
        <v>2</v>
      </c>
      <c r="G428" s="2959">
        <v>1004</v>
      </c>
      <c r="H428" s="2959" t="s">
        <v>3055</v>
      </c>
      <c r="I428" s="2960">
        <v>155.66</v>
      </c>
      <c r="J428" s="2960">
        <v>155.66</v>
      </c>
      <c r="K428" s="2960">
        <v>0</v>
      </c>
      <c r="L428" s="2960">
        <v>0</v>
      </c>
      <c r="M428" s="2966"/>
      <c r="N428" s="2966"/>
    </row>
    <row r="429" spans="2:14" ht="14.25">
      <c r="B429" s="2958">
        <v>465</v>
      </c>
      <c r="C429" s="2958" t="s">
        <v>3057</v>
      </c>
      <c r="D429" s="2958" t="s">
        <v>3058</v>
      </c>
      <c r="E429" s="2959">
        <v>12</v>
      </c>
      <c r="F429" s="2960">
        <v>2</v>
      </c>
      <c r="G429" s="2959">
        <v>1103</v>
      </c>
      <c r="H429" s="2959" t="s">
        <v>3055</v>
      </c>
      <c r="I429" s="2960">
        <v>230.01</v>
      </c>
      <c r="J429" s="2960">
        <v>155.66</v>
      </c>
      <c r="K429" s="2960">
        <v>74.349999999999994</v>
      </c>
      <c r="L429" s="2960">
        <v>0</v>
      </c>
      <c r="M429" s="2966"/>
      <c r="N429" s="2966"/>
    </row>
    <row r="430" spans="2:14" ht="14.25">
      <c r="B430" s="2958">
        <v>466</v>
      </c>
      <c r="C430" s="2958" t="s">
        <v>3057</v>
      </c>
      <c r="D430" s="2958" t="s">
        <v>3058</v>
      </c>
      <c r="E430" s="2959">
        <v>12</v>
      </c>
      <c r="F430" s="2960">
        <v>2</v>
      </c>
      <c r="G430" s="2959">
        <v>1104</v>
      </c>
      <c r="H430" s="2959" t="s">
        <v>3055</v>
      </c>
      <c r="I430" s="2960">
        <v>213.86</v>
      </c>
      <c r="J430" s="2960">
        <v>155.66</v>
      </c>
      <c r="K430" s="2960">
        <v>58.2</v>
      </c>
      <c r="L430" s="2960">
        <v>0</v>
      </c>
      <c r="M430" s="2966"/>
      <c r="N430" s="2966"/>
    </row>
    <row r="431" spans="2:14" ht="14.25">
      <c r="B431" s="2958">
        <v>543</v>
      </c>
      <c r="C431" s="2958" t="s">
        <v>3057</v>
      </c>
      <c r="D431" s="2958" t="s">
        <v>3059</v>
      </c>
      <c r="E431" s="2959">
        <v>13</v>
      </c>
      <c r="F431" s="2960">
        <v>1</v>
      </c>
      <c r="G431" s="2959">
        <v>101</v>
      </c>
      <c r="H431" s="2959" t="s">
        <v>3055</v>
      </c>
      <c r="I431" s="2960">
        <v>415.44</v>
      </c>
      <c r="J431" s="2960">
        <v>142.63999999999999</v>
      </c>
      <c r="K431" s="2960">
        <v>0</v>
      </c>
      <c r="L431" s="2960">
        <f>161.01+111.79</f>
        <v>272.8</v>
      </c>
      <c r="M431" s="2966">
        <f>(56.86+79.57)*2</f>
        <v>272.86</v>
      </c>
      <c r="N431" s="2966"/>
    </row>
    <row r="432" spans="2:14" ht="14.25">
      <c r="B432" s="2958">
        <v>544</v>
      </c>
      <c r="C432" s="2958" t="s">
        <v>3057</v>
      </c>
      <c r="D432" s="2958" t="s">
        <v>3059</v>
      </c>
      <c r="E432" s="2959">
        <v>13</v>
      </c>
      <c r="F432" s="2960">
        <v>1</v>
      </c>
      <c r="G432" s="2959">
        <v>102</v>
      </c>
      <c r="H432" s="2959" t="s">
        <v>3055</v>
      </c>
      <c r="I432" s="2960">
        <v>414.98</v>
      </c>
      <c r="J432" s="2960">
        <v>142.63999999999999</v>
      </c>
      <c r="K432" s="2960">
        <v>0</v>
      </c>
      <c r="L432" s="2960">
        <f>161.01+111.33</f>
        <v>272.33999999999997</v>
      </c>
      <c r="M432" s="2966"/>
      <c r="N432" s="2966"/>
    </row>
    <row r="433" spans="2:14" ht="14.25">
      <c r="B433" s="2958">
        <v>545</v>
      </c>
      <c r="C433" s="2958" t="s">
        <v>3057</v>
      </c>
      <c r="D433" s="2958" t="s">
        <v>3059</v>
      </c>
      <c r="E433" s="2959">
        <v>13</v>
      </c>
      <c r="F433" s="2960">
        <v>1</v>
      </c>
      <c r="G433" s="2959">
        <v>201</v>
      </c>
      <c r="H433" s="2959" t="s">
        <v>3055</v>
      </c>
      <c r="I433" s="2960">
        <v>320.33999999999997</v>
      </c>
      <c r="J433" s="2960">
        <v>161.77000000000001</v>
      </c>
      <c r="K433" s="2960">
        <v>0</v>
      </c>
      <c r="L433" s="2960">
        <f>91.3+67.27</f>
        <v>158.57</v>
      </c>
      <c r="M433" s="2966"/>
      <c r="N433" s="2966"/>
    </row>
    <row r="434" spans="2:14" ht="14.25">
      <c r="B434" s="2958">
        <v>546</v>
      </c>
      <c r="C434" s="2958" t="s">
        <v>3057</v>
      </c>
      <c r="D434" s="2958" t="s">
        <v>3059</v>
      </c>
      <c r="E434" s="2959">
        <v>13</v>
      </c>
      <c r="F434" s="2960">
        <v>1</v>
      </c>
      <c r="G434" s="2959">
        <v>202</v>
      </c>
      <c r="H434" s="2959" t="s">
        <v>3055</v>
      </c>
      <c r="I434" s="2960">
        <v>339.24</v>
      </c>
      <c r="J434" s="2960">
        <v>161.77000000000001</v>
      </c>
      <c r="K434" s="2960">
        <v>0</v>
      </c>
      <c r="L434" s="2960">
        <f>91.3+86.17</f>
        <v>177.47</v>
      </c>
      <c r="M434" s="2966"/>
      <c r="N434" s="2966"/>
    </row>
    <row r="435" spans="2:14" ht="14.25">
      <c r="B435" s="2958">
        <v>547</v>
      </c>
      <c r="C435" s="2958" t="s">
        <v>3057</v>
      </c>
      <c r="D435" s="2958" t="s">
        <v>3059</v>
      </c>
      <c r="E435" s="2959">
        <v>13</v>
      </c>
      <c r="F435" s="2960">
        <v>1</v>
      </c>
      <c r="G435" s="2959">
        <v>301</v>
      </c>
      <c r="H435" s="2959" t="s">
        <v>3055</v>
      </c>
      <c r="I435" s="2960">
        <v>155.26</v>
      </c>
      <c r="J435" s="2960">
        <v>155.26</v>
      </c>
      <c r="K435" s="2960">
        <v>0</v>
      </c>
      <c r="L435" s="2960">
        <v>0</v>
      </c>
      <c r="M435" s="2966"/>
      <c r="N435" s="2966"/>
    </row>
    <row r="436" spans="2:14" ht="14.25">
      <c r="B436" s="2958">
        <v>548</v>
      </c>
      <c r="C436" s="2958" t="s">
        <v>3057</v>
      </c>
      <c r="D436" s="2958" t="s">
        <v>3059</v>
      </c>
      <c r="E436" s="2959">
        <v>13</v>
      </c>
      <c r="F436" s="2960">
        <v>1</v>
      </c>
      <c r="G436" s="2959">
        <v>302</v>
      </c>
      <c r="H436" s="2959" t="s">
        <v>3055</v>
      </c>
      <c r="I436" s="2960">
        <v>155.26</v>
      </c>
      <c r="J436" s="2960">
        <v>155.26</v>
      </c>
      <c r="K436" s="2960">
        <v>0</v>
      </c>
      <c r="L436" s="2960">
        <v>0</v>
      </c>
      <c r="M436" s="2966"/>
      <c r="N436" s="2966"/>
    </row>
    <row r="437" spans="2:14" ht="14.25">
      <c r="B437" s="2958">
        <v>549</v>
      </c>
      <c r="C437" s="2958" t="s">
        <v>3057</v>
      </c>
      <c r="D437" s="2958" t="s">
        <v>3059</v>
      </c>
      <c r="E437" s="2959">
        <v>13</v>
      </c>
      <c r="F437" s="2960">
        <v>1</v>
      </c>
      <c r="G437" s="2959">
        <v>401</v>
      </c>
      <c r="H437" s="2959" t="s">
        <v>3055</v>
      </c>
      <c r="I437" s="2960">
        <v>155.26</v>
      </c>
      <c r="J437" s="2960">
        <v>155.26</v>
      </c>
      <c r="K437" s="2960">
        <v>0</v>
      </c>
      <c r="L437" s="2960">
        <v>0</v>
      </c>
      <c r="M437" s="2966"/>
      <c r="N437" s="2966"/>
    </row>
    <row r="438" spans="2:14" ht="14.25">
      <c r="B438" s="2958">
        <v>550</v>
      </c>
      <c r="C438" s="2958" t="s">
        <v>3057</v>
      </c>
      <c r="D438" s="2958" t="s">
        <v>3059</v>
      </c>
      <c r="E438" s="2959">
        <v>13</v>
      </c>
      <c r="F438" s="2960">
        <v>1</v>
      </c>
      <c r="G438" s="2959">
        <v>402</v>
      </c>
      <c r="H438" s="2959" t="s">
        <v>3055</v>
      </c>
      <c r="I438" s="2960">
        <v>155.26</v>
      </c>
      <c r="J438" s="2960">
        <v>155.26</v>
      </c>
      <c r="K438" s="2960">
        <v>0</v>
      </c>
      <c r="L438" s="2960">
        <v>0</v>
      </c>
      <c r="M438" s="2966"/>
      <c r="N438" s="2966"/>
    </row>
    <row r="439" spans="2:14" ht="14.25">
      <c r="B439" s="2958">
        <v>551</v>
      </c>
      <c r="C439" s="2958" t="s">
        <v>3057</v>
      </c>
      <c r="D439" s="2958" t="s">
        <v>3059</v>
      </c>
      <c r="E439" s="2959">
        <v>13</v>
      </c>
      <c r="F439" s="2960">
        <v>1</v>
      </c>
      <c r="G439" s="2959">
        <v>501</v>
      </c>
      <c r="H439" s="2959" t="s">
        <v>3055</v>
      </c>
      <c r="I439" s="2960">
        <v>155.26</v>
      </c>
      <c r="J439" s="2960">
        <v>155.26</v>
      </c>
      <c r="K439" s="2960">
        <v>0</v>
      </c>
      <c r="L439" s="2960">
        <v>0</v>
      </c>
      <c r="M439" s="2966"/>
      <c r="N439" s="2966"/>
    </row>
    <row r="440" spans="2:14" ht="14.25">
      <c r="B440" s="2958">
        <v>552</v>
      </c>
      <c r="C440" s="2958" t="s">
        <v>3057</v>
      </c>
      <c r="D440" s="2958" t="s">
        <v>3059</v>
      </c>
      <c r="E440" s="2959">
        <v>13</v>
      </c>
      <c r="F440" s="2960">
        <v>1</v>
      </c>
      <c r="G440" s="2959">
        <v>502</v>
      </c>
      <c r="H440" s="2959" t="s">
        <v>3055</v>
      </c>
      <c r="I440" s="2960">
        <v>155.26</v>
      </c>
      <c r="J440" s="2960">
        <v>155.26</v>
      </c>
      <c r="K440" s="2960">
        <v>0</v>
      </c>
      <c r="L440" s="2960">
        <v>0</v>
      </c>
      <c r="M440" s="2966"/>
      <c r="N440" s="2966"/>
    </row>
    <row r="441" spans="2:14" ht="14.25">
      <c r="B441" s="2958">
        <v>553</v>
      </c>
      <c r="C441" s="2958" t="s">
        <v>3057</v>
      </c>
      <c r="D441" s="2958" t="s">
        <v>3059</v>
      </c>
      <c r="E441" s="2959">
        <v>13</v>
      </c>
      <c r="F441" s="2960">
        <v>1</v>
      </c>
      <c r="G441" s="2959">
        <v>601</v>
      </c>
      <c r="H441" s="2959" t="s">
        <v>3055</v>
      </c>
      <c r="I441" s="2960">
        <v>155.26</v>
      </c>
      <c r="J441" s="2960">
        <v>155.26</v>
      </c>
      <c r="K441" s="2960">
        <v>0</v>
      </c>
      <c r="L441" s="2960">
        <v>0</v>
      </c>
      <c r="M441" s="2966"/>
      <c r="N441" s="2966"/>
    </row>
    <row r="442" spans="2:14" ht="14.25">
      <c r="B442" s="2958">
        <v>554</v>
      </c>
      <c r="C442" s="2958" t="s">
        <v>3057</v>
      </c>
      <c r="D442" s="2958" t="s">
        <v>3059</v>
      </c>
      <c r="E442" s="2959">
        <v>13</v>
      </c>
      <c r="F442" s="2960">
        <v>1</v>
      </c>
      <c r="G442" s="2959">
        <v>602</v>
      </c>
      <c r="H442" s="2959" t="s">
        <v>3055</v>
      </c>
      <c r="I442" s="2960">
        <v>155.26</v>
      </c>
      <c r="J442" s="2960">
        <v>155.26</v>
      </c>
      <c r="K442" s="2960">
        <v>0</v>
      </c>
      <c r="L442" s="2960">
        <v>0</v>
      </c>
      <c r="M442" s="2966"/>
      <c r="N442" s="2966"/>
    </row>
    <row r="443" spans="2:14" ht="14.25">
      <c r="B443" s="2958">
        <v>555</v>
      </c>
      <c r="C443" s="2958" t="s">
        <v>3057</v>
      </c>
      <c r="D443" s="2958" t="s">
        <v>3059</v>
      </c>
      <c r="E443" s="2959">
        <v>13</v>
      </c>
      <c r="F443" s="2960">
        <v>1</v>
      </c>
      <c r="G443" s="2959">
        <v>701</v>
      </c>
      <c r="H443" s="2959" t="s">
        <v>3055</v>
      </c>
      <c r="I443" s="2960">
        <v>213.41</v>
      </c>
      <c r="J443" s="2960">
        <v>155.26</v>
      </c>
      <c r="K443" s="2960">
        <v>58.15</v>
      </c>
      <c r="L443" s="2960">
        <v>0</v>
      </c>
      <c r="M443" s="2966"/>
      <c r="N443" s="2966"/>
    </row>
    <row r="444" spans="2:14" ht="14.25">
      <c r="B444" s="2958">
        <v>556</v>
      </c>
      <c r="C444" s="2958" t="s">
        <v>3057</v>
      </c>
      <c r="D444" s="2958" t="s">
        <v>3059</v>
      </c>
      <c r="E444" s="2959">
        <v>13</v>
      </c>
      <c r="F444" s="2960">
        <v>1</v>
      </c>
      <c r="G444" s="2959">
        <v>702</v>
      </c>
      <c r="H444" s="2959" t="s">
        <v>3055</v>
      </c>
      <c r="I444" s="2960">
        <v>229.55</v>
      </c>
      <c r="J444" s="2960">
        <v>155.26</v>
      </c>
      <c r="K444" s="2960">
        <v>74.290000000000006</v>
      </c>
      <c r="L444" s="2960">
        <v>0</v>
      </c>
      <c r="M444" s="2966"/>
      <c r="N444" s="2966"/>
    </row>
    <row r="445" spans="2:14" ht="14.25">
      <c r="B445" s="2958">
        <v>557</v>
      </c>
      <c r="C445" s="2958" t="s">
        <v>3057</v>
      </c>
      <c r="D445" s="2958" t="s">
        <v>3059</v>
      </c>
      <c r="E445" s="2959">
        <v>13</v>
      </c>
      <c r="F445" s="2960">
        <v>2</v>
      </c>
      <c r="G445" s="2959">
        <v>103</v>
      </c>
      <c r="H445" s="2959" t="s">
        <v>3055</v>
      </c>
      <c r="I445" s="2960">
        <v>415</v>
      </c>
      <c r="J445" s="2960">
        <v>142.63999999999999</v>
      </c>
      <c r="K445" s="2960">
        <v>0</v>
      </c>
      <c r="L445" s="2960">
        <f>161.02+111.34</f>
        <v>272.36</v>
      </c>
      <c r="M445" s="2966"/>
      <c r="N445" s="2966"/>
    </row>
    <row r="446" spans="2:14" ht="14.25">
      <c r="B446" s="2958">
        <v>558</v>
      </c>
      <c r="C446" s="2958" t="s">
        <v>3057</v>
      </c>
      <c r="D446" s="2958" t="s">
        <v>3059</v>
      </c>
      <c r="E446" s="2959">
        <v>13</v>
      </c>
      <c r="F446" s="2960">
        <v>2</v>
      </c>
      <c r="G446" s="2959">
        <v>104</v>
      </c>
      <c r="H446" s="2959" t="s">
        <v>3055</v>
      </c>
      <c r="I446" s="2960">
        <v>414.94</v>
      </c>
      <c r="J446" s="2960">
        <v>142.63999999999999</v>
      </c>
      <c r="K446" s="2960">
        <v>0</v>
      </c>
      <c r="L446" s="2960">
        <f>161.02+111.28</f>
        <v>272.3</v>
      </c>
      <c r="M446" s="2966"/>
      <c r="N446" s="2966"/>
    </row>
    <row r="447" spans="2:14" ht="14.25">
      <c r="B447" s="2958">
        <v>559</v>
      </c>
      <c r="C447" s="2958" t="s">
        <v>3057</v>
      </c>
      <c r="D447" s="2958" t="s">
        <v>3059</v>
      </c>
      <c r="E447" s="2959">
        <v>13</v>
      </c>
      <c r="F447" s="2960">
        <v>2</v>
      </c>
      <c r="G447" s="2959">
        <v>203</v>
      </c>
      <c r="H447" s="2959" t="s">
        <v>3055</v>
      </c>
      <c r="I447" s="2960">
        <v>339.25</v>
      </c>
      <c r="J447" s="2960">
        <v>161.77000000000001</v>
      </c>
      <c r="K447" s="2960">
        <v>0</v>
      </c>
      <c r="L447" s="2960">
        <f>91.31+86.17</f>
        <v>177.48000000000002</v>
      </c>
      <c r="M447" s="2966"/>
      <c r="N447" s="2966"/>
    </row>
    <row r="448" spans="2:14" ht="14.25">
      <c r="B448" s="2958">
        <v>560</v>
      </c>
      <c r="C448" s="2958" t="s">
        <v>3057</v>
      </c>
      <c r="D448" s="2958" t="s">
        <v>3059</v>
      </c>
      <c r="E448" s="2959">
        <v>13</v>
      </c>
      <c r="F448" s="2960">
        <v>2</v>
      </c>
      <c r="G448" s="2959">
        <v>204</v>
      </c>
      <c r="H448" s="2959" t="s">
        <v>3055</v>
      </c>
      <c r="I448" s="2960">
        <v>320.07</v>
      </c>
      <c r="J448" s="2960">
        <v>161.77000000000001</v>
      </c>
      <c r="K448" s="2960">
        <v>0</v>
      </c>
      <c r="L448" s="2960">
        <f>91.31+66.99</f>
        <v>158.30000000000001</v>
      </c>
      <c r="M448" s="2966"/>
      <c r="N448" s="2966"/>
    </row>
    <row r="449" spans="2:14" ht="14.25">
      <c r="B449" s="2958">
        <v>561</v>
      </c>
      <c r="C449" s="2958" t="s">
        <v>3057</v>
      </c>
      <c r="D449" s="2958" t="s">
        <v>3059</v>
      </c>
      <c r="E449" s="2959">
        <v>13</v>
      </c>
      <c r="F449" s="2960">
        <v>2</v>
      </c>
      <c r="G449" s="2959">
        <v>303</v>
      </c>
      <c r="H449" s="2959" t="s">
        <v>3055</v>
      </c>
      <c r="I449" s="2960">
        <v>155.26</v>
      </c>
      <c r="J449" s="2960">
        <v>155.26</v>
      </c>
      <c r="K449" s="2960">
        <v>0</v>
      </c>
      <c r="L449" s="2960">
        <v>0</v>
      </c>
      <c r="M449" s="2966"/>
      <c r="N449" s="2966"/>
    </row>
    <row r="450" spans="2:14" ht="14.25">
      <c r="B450" s="2958">
        <v>562</v>
      </c>
      <c r="C450" s="2958" t="s">
        <v>3057</v>
      </c>
      <c r="D450" s="2958" t="s">
        <v>3059</v>
      </c>
      <c r="E450" s="2959">
        <v>13</v>
      </c>
      <c r="F450" s="2960">
        <v>2</v>
      </c>
      <c r="G450" s="2959">
        <v>304</v>
      </c>
      <c r="H450" s="2959" t="s">
        <v>3055</v>
      </c>
      <c r="I450" s="2960">
        <v>155.26</v>
      </c>
      <c r="J450" s="2960">
        <v>155.26</v>
      </c>
      <c r="K450" s="2960">
        <v>0</v>
      </c>
      <c r="L450" s="2960">
        <v>0</v>
      </c>
      <c r="M450" s="2966"/>
      <c r="N450" s="2966"/>
    </row>
    <row r="451" spans="2:14" ht="14.25">
      <c r="B451" s="2958">
        <v>563</v>
      </c>
      <c r="C451" s="2958" t="s">
        <v>3057</v>
      </c>
      <c r="D451" s="2958" t="s">
        <v>3059</v>
      </c>
      <c r="E451" s="2959">
        <v>13</v>
      </c>
      <c r="F451" s="2960">
        <v>2</v>
      </c>
      <c r="G451" s="2959">
        <v>403</v>
      </c>
      <c r="H451" s="2959" t="s">
        <v>3055</v>
      </c>
      <c r="I451" s="2960">
        <v>155.26</v>
      </c>
      <c r="J451" s="2960">
        <v>155.26</v>
      </c>
      <c r="K451" s="2960">
        <v>0</v>
      </c>
      <c r="L451" s="2960">
        <v>0</v>
      </c>
      <c r="M451" s="2966"/>
      <c r="N451" s="2966"/>
    </row>
    <row r="452" spans="2:14" ht="14.25">
      <c r="B452" s="2958">
        <v>564</v>
      </c>
      <c r="C452" s="2958" t="s">
        <v>3057</v>
      </c>
      <c r="D452" s="2958" t="s">
        <v>3059</v>
      </c>
      <c r="E452" s="2959">
        <v>13</v>
      </c>
      <c r="F452" s="2960">
        <v>2</v>
      </c>
      <c r="G452" s="2959">
        <v>404</v>
      </c>
      <c r="H452" s="2959" t="s">
        <v>3055</v>
      </c>
      <c r="I452" s="2960">
        <v>155.26</v>
      </c>
      <c r="J452" s="2960">
        <v>155.26</v>
      </c>
      <c r="K452" s="2960">
        <v>0</v>
      </c>
      <c r="L452" s="2960">
        <v>0</v>
      </c>
      <c r="M452" s="2966"/>
      <c r="N452" s="2966"/>
    </row>
    <row r="453" spans="2:14" ht="14.25">
      <c r="B453" s="2958">
        <v>565</v>
      </c>
      <c r="C453" s="2958" t="s">
        <v>3057</v>
      </c>
      <c r="D453" s="2958" t="s">
        <v>3059</v>
      </c>
      <c r="E453" s="2959">
        <v>13</v>
      </c>
      <c r="F453" s="2960">
        <v>2</v>
      </c>
      <c r="G453" s="2959">
        <v>503</v>
      </c>
      <c r="H453" s="2959" t="s">
        <v>3055</v>
      </c>
      <c r="I453" s="2960">
        <v>155.26</v>
      </c>
      <c r="J453" s="2960">
        <v>155.26</v>
      </c>
      <c r="K453" s="2960">
        <v>0</v>
      </c>
      <c r="L453" s="2960">
        <v>0</v>
      </c>
      <c r="M453" s="2966"/>
      <c r="N453" s="2966"/>
    </row>
    <row r="454" spans="2:14" ht="14.25">
      <c r="B454" s="2958">
        <v>566</v>
      </c>
      <c r="C454" s="2958" t="s">
        <v>3057</v>
      </c>
      <c r="D454" s="2958" t="s">
        <v>3059</v>
      </c>
      <c r="E454" s="2959">
        <v>13</v>
      </c>
      <c r="F454" s="2960">
        <v>2</v>
      </c>
      <c r="G454" s="2959">
        <v>504</v>
      </c>
      <c r="H454" s="2959" t="s">
        <v>3055</v>
      </c>
      <c r="I454" s="2960">
        <v>155.26</v>
      </c>
      <c r="J454" s="2960">
        <v>155.26</v>
      </c>
      <c r="K454" s="2960">
        <v>0</v>
      </c>
      <c r="L454" s="2960">
        <v>0</v>
      </c>
      <c r="M454" s="2966"/>
      <c r="N454" s="2966"/>
    </row>
    <row r="455" spans="2:14" ht="14.25">
      <c r="B455" s="2958">
        <v>567</v>
      </c>
      <c r="C455" s="2958" t="s">
        <v>3057</v>
      </c>
      <c r="D455" s="2958" t="s">
        <v>3059</v>
      </c>
      <c r="E455" s="2959">
        <v>13</v>
      </c>
      <c r="F455" s="2960">
        <v>2</v>
      </c>
      <c r="G455" s="2959">
        <v>603</v>
      </c>
      <c r="H455" s="2959" t="s">
        <v>3055</v>
      </c>
      <c r="I455" s="2960">
        <v>155.26</v>
      </c>
      <c r="J455" s="2960">
        <v>155.26</v>
      </c>
      <c r="K455" s="2960">
        <v>0</v>
      </c>
      <c r="L455" s="2960">
        <v>0</v>
      </c>
      <c r="M455" s="2966"/>
      <c r="N455" s="2966"/>
    </row>
    <row r="456" spans="2:14" ht="14.25">
      <c r="B456" s="2958">
        <v>568</v>
      </c>
      <c r="C456" s="2958" t="s">
        <v>3057</v>
      </c>
      <c r="D456" s="2958" t="s">
        <v>3059</v>
      </c>
      <c r="E456" s="2959">
        <v>13</v>
      </c>
      <c r="F456" s="2960">
        <v>2</v>
      </c>
      <c r="G456" s="2959">
        <v>604</v>
      </c>
      <c r="H456" s="2959" t="s">
        <v>3055</v>
      </c>
      <c r="I456" s="2960">
        <v>155.26</v>
      </c>
      <c r="J456" s="2960">
        <v>155.26</v>
      </c>
      <c r="K456" s="2960">
        <v>0</v>
      </c>
      <c r="L456" s="2960">
        <v>0</v>
      </c>
      <c r="M456" s="2966"/>
      <c r="N456" s="2966"/>
    </row>
    <row r="457" spans="2:14" ht="14.25">
      <c r="B457" s="2958">
        <v>569</v>
      </c>
      <c r="C457" s="2958" t="s">
        <v>3057</v>
      </c>
      <c r="D457" s="2958" t="s">
        <v>3059</v>
      </c>
      <c r="E457" s="2959">
        <v>13</v>
      </c>
      <c r="F457" s="2960">
        <v>2</v>
      </c>
      <c r="G457" s="2959">
        <v>703</v>
      </c>
      <c r="H457" s="2959" t="s">
        <v>3055</v>
      </c>
      <c r="I457" s="2960">
        <v>229.55</v>
      </c>
      <c r="J457" s="2960">
        <v>155.26</v>
      </c>
      <c r="K457" s="2960">
        <v>74.290000000000006</v>
      </c>
      <c r="L457" s="2960">
        <v>0</v>
      </c>
      <c r="M457" s="2966"/>
      <c r="N457" s="2966"/>
    </row>
    <row r="458" spans="2:14" ht="14.25">
      <c r="B458" s="2958">
        <v>570</v>
      </c>
      <c r="C458" s="2958" t="s">
        <v>3057</v>
      </c>
      <c r="D458" s="2958" t="s">
        <v>3059</v>
      </c>
      <c r="E458" s="2959">
        <v>13</v>
      </c>
      <c r="F458" s="2960">
        <v>2</v>
      </c>
      <c r="G458" s="2959">
        <v>704</v>
      </c>
      <c r="H458" s="2959" t="s">
        <v>3055</v>
      </c>
      <c r="I458" s="2960">
        <v>213.41</v>
      </c>
      <c r="J458" s="2960">
        <v>155.26</v>
      </c>
      <c r="K458" s="2960">
        <v>58.15</v>
      </c>
      <c r="L458" s="2960">
        <v>0</v>
      </c>
      <c r="M458" s="2966"/>
      <c r="N458" s="2966"/>
    </row>
    <row r="459" spans="2:14" ht="14.25">
      <c r="B459" s="2958">
        <v>511</v>
      </c>
      <c r="C459" s="2958" t="s">
        <v>3057</v>
      </c>
      <c r="D459" s="2958" t="s">
        <v>3059</v>
      </c>
      <c r="E459" s="2959">
        <v>14</v>
      </c>
      <c r="F459" s="2960">
        <v>1</v>
      </c>
      <c r="G459" s="2959">
        <v>101</v>
      </c>
      <c r="H459" s="2959" t="s">
        <v>3055</v>
      </c>
      <c r="I459" s="2960">
        <v>404.62</v>
      </c>
      <c r="J459" s="2960">
        <v>142.86000000000001</v>
      </c>
      <c r="K459" s="2960">
        <v>0</v>
      </c>
      <c r="L459" s="2960">
        <f>158.59+103.17</f>
        <v>261.76</v>
      </c>
      <c r="M459" s="2966">
        <f>12.86+54.51+12.83+78.23</f>
        <v>158.43</v>
      </c>
      <c r="N459" s="2966"/>
    </row>
    <row r="460" spans="2:14" ht="14.25">
      <c r="B460" s="2958">
        <v>512</v>
      </c>
      <c r="C460" s="2958" t="s">
        <v>3057</v>
      </c>
      <c r="D460" s="2958" t="s">
        <v>3059</v>
      </c>
      <c r="E460" s="2959">
        <v>14</v>
      </c>
      <c r="F460" s="2960">
        <v>1</v>
      </c>
      <c r="G460" s="2959">
        <v>102</v>
      </c>
      <c r="H460" s="2959" t="s">
        <v>3055</v>
      </c>
      <c r="I460" s="2960">
        <v>404.62</v>
      </c>
      <c r="J460" s="2960">
        <v>142.86000000000001</v>
      </c>
      <c r="K460" s="2960">
        <v>0</v>
      </c>
      <c r="L460" s="2960">
        <f>158.59+103.17</f>
        <v>261.76</v>
      </c>
      <c r="M460" s="2966"/>
      <c r="N460" s="2966"/>
    </row>
    <row r="461" spans="2:14" ht="14.25">
      <c r="B461" s="2958">
        <v>513</v>
      </c>
      <c r="C461" s="2958" t="s">
        <v>3057</v>
      </c>
      <c r="D461" s="2958" t="s">
        <v>3059</v>
      </c>
      <c r="E461" s="2959">
        <v>14</v>
      </c>
      <c r="F461" s="2960">
        <v>1</v>
      </c>
      <c r="G461" s="2959">
        <v>201</v>
      </c>
      <c r="H461" s="2959" t="s">
        <v>3055</v>
      </c>
      <c r="I461" s="2960">
        <v>318.26</v>
      </c>
      <c r="J461" s="2960">
        <v>162.03</v>
      </c>
      <c r="K461" s="2960">
        <v>0</v>
      </c>
      <c r="L461" s="2960">
        <f>89.93+66.3</f>
        <v>156.23000000000002</v>
      </c>
      <c r="M461" s="2966"/>
      <c r="N461" s="2966"/>
    </row>
    <row r="462" spans="2:14" ht="14.25">
      <c r="B462" s="2958">
        <v>514</v>
      </c>
      <c r="C462" s="2958" t="s">
        <v>3057</v>
      </c>
      <c r="D462" s="2958" t="s">
        <v>3059</v>
      </c>
      <c r="E462" s="2959">
        <v>14</v>
      </c>
      <c r="F462" s="2960">
        <v>1</v>
      </c>
      <c r="G462" s="2959">
        <v>202</v>
      </c>
      <c r="H462" s="2959" t="s">
        <v>3055</v>
      </c>
      <c r="I462" s="2960">
        <v>337.18</v>
      </c>
      <c r="J462" s="2960">
        <v>162.03</v>
      </c>
      <c r="K462" s="2960">
        <v>0</v>
      </c>
      <c r="L462" s="2960">
        <f>89.93+85.22</f>
        <v>175.15</v>
      </c>
      <c r="M462" s="2966"/>
      <c r="N462" s="2966"/>
    </row>
    <row r="463" spans="2:14" ht="14.25">
      <c r="B463" s="2958">
        <v>515</v>
      </c>
      <c r="C463" s="2958" t="s">
        <v>3057</v>
      </c>
      <c r="D463" s="2958" t="s">
        <v>3059</v>
      </c>
      <c r="E463" s="2959">
        <v>14</v>
      </c>
      <c r="F463" s="2960">
        <v>1</v>
      </c>
      <c r="G463" s="2959">
        <v>301</v>
      </c>
      <c r="H463" s="2959" t="s">
        <v>3055</v>
      </c>
      <c r="I463" s="2960">
        <v>155.5</v>
      </c>
      <c r="J463" s="2960">
        <v>155.5</v>
      </c>
      <c r="K463" s="2960">
        <v>0</v>
      </c>
      <c r="L463" s="2960">
        <v>0</v>
      </c>
      <c r="M463" s="2966"/>
      <c r="N463" s="2966"/>
    </row>
    <row r="464" spans="2:14" ht="14.25">
      <c r="B464" s="2958">
        <v>516</v>
      </c>
      <c r="C464" s="2958" t="s">
        <v>3057</v>
      </c>
      <c r="D464" s="2958" t="s">
        <v>3059</v>
      </c>
      <c r="E464" s="2959">
        <v>14</v>
      </c>
      <c r="F464" s="2960">
        <v>1</v>
      </c>
      <c r="G464" s="2959">
        <v>302</v>
      </c>
      <c r="H464" s="2959" t="s">
        <v>3055</v>
      </c>
      <c r="I464" s="2960">
        <v>155.5</v>
      </c>
      <c r="J464" s="2960">
        <v>155.5</v>
      </c>
      <c r="K464" s="2960">
        <v>0</v>
      </c>
      <c r="L464" s="2960">
        <v>0</v>
      </c>
      <c r="M464" s="2966"/>
      <c r="N464" s="2966"/>
    </row>
    <row r="465" spans="2:14" ht="14.25">
      <c r="B465" s="2958">
        <v>517</v>
      </c>
      <c r="C465" s="2958" t="s">
        <v>3057</v>
      </c>
      <c r="D465" s="2958" t="s">
        <v>3059</v>
      </c>
      <c r="E465" s="2959">
        <v>14</v>
      </c>
      <c r="F465" s="2960">
        <v>1</v>
      </c>
      <c r="G465" s="2959">
        <v>401</v>
      </c>
      <c r="H465" s="2959" t="s">
        <v>3055</v>
      </c>
      <c r="I465" s="2960">
        <v>155.5</v>
      </c>
      <c r="J465" s="2960">
        <v>155.5</v>
      </c>
      <c r="K465" s="2960">
        <v>0</v>
      </c>
      <c r="L465" s="2960">
        <v>0</v>
      </c>
      <c r="M465" s="2966"/>
      <c r="N465" s="2966"/>
    </row>
    <row r="466" spans="2:14" ht="14.25">
      <c r="B466" s="2958">
        <v>518</v>
      </c>
      <c r="C466" s="2958" t="s">
        <v>3057</v>
      </c>
      <c r="D466" s="2958" t="s">
        <v>3059</v>
      </c>
      <c r="E466" s="2959">
        <v>14</v>
      </c>
      <c r="F466" s="2960">
        <v>1</v>
      </c>
      <c r="G466" s="2959">
        <v>402</v>
      </c>
      <c r="H466" s="2959" t="s">
        <v>3055</v>
      </c>
      <c r="I466" s="2960">
        <v>155.5</v>
      </c>
      <c r="J466" s="2960">
        <v>155.5</v>
      </c>
      <c r="K466" s="2960">
        <v>0</v>
      </c>
      <c r="L466" s="2960">
        <v>0</v>
      </c>
      <c r="M466" s="2966"/>
      <c r="N466" s="2966"/>
    </row>
    <row r="467" spans="2:14" ht="14.25">
      <c r="B467" s="2958">
        <v>519</v>
      </c>
      <c r="C467" s="2958" t="s">
        <v>3057</v>
      </c>
      <c r="D467" s="2958" t="s">
        <v>3059</v>
      </c>
      <c r="E467" s="2959">
        <v>14</v>
      </c>
      <c r="F467" s="2960">
        <v>1</v>
      </c>
      <c r="G467" s="2959">
        <v>501</v>
      </c>
      <c r="H467" s="2959" t="s">
        <v>3055</v>
      </c>
      <c r="I467" s="2960">
        <v>155.5</v>
      </c>
      <c r="J467" s="2960">
        <v>155.5</v>
      </c>
      <c r="K467" s="2960">
        <v>0</v>
      </c>
      <c r="L467" s="2960">
        <v>0</v>
      </c>
      <c r="M467" s="2966"/>
      <c r="N467" s="2966"/>
    </row>
    <row r="468" spans="2:14" ht="14.25">
      <c r="B468" s="2958">
        <v>520</v>
      </c>
      <c r="C468" s="2958" t="s">
        <v>3057</v>
      </c>
      <c r="D468" s="2958" t="s">
        <v>3059</v>
      </c>
      <c r="E468" s="2959">
        <v>14</v>
      </c>
      <c r="F468" s="2960">
        <v>1</v>
      </c>
      <c r="G468" s="2959">
        <v>502</v>
      </c>
      <c r="H468" s="2959" t="s">
        <v>3055</v>
      </c>
      <c r="I468" s="2960">
        <v>155.5</v>
      </c>
      <c r="J468" s="2960">
        <v>155.5</v>
      </c>
      <c r="K468" s="2960">
        <v>0</v>
      </c>
      <c r="L468" s="2960">
        <v>0</v>
      </c>
      <c r="M468" s="2966"/>
      <c r="N468" s="2966"/>
    </row>
    <row r="469" spans="2:14" ht="14.25">
      <c r="B469" s="2958">
        <v>521</v>
      </c>
      <c r="C469" s="2958" t="s">
        <v>3057</v>
      </c>
      <c r="D469" s="2958" t="s">
        <v>3059</v>
      </c>
      <c r="E469" s="2959">
        <v>14</v>
      </c>
      <c r="F469" s="2960">
        <v>1</v>
      </c>
      <c r="G469" s="2959">
        <v>601</v>
      </c>
      <c r="H469" s="2959" t="s">
        <v>3055</v>
      </c>
      <c r="I469" s="2960">
        <v>155.5</v>
      </c>
      <c r="J469" s="2960">
        <v>155.5</v>
      </c>
      <c r="K469" s="2960">
        <v>0</v>
      </c>
      <c r="L469" s="2960">
        <v>0</v>
      </c>
      <c r="M469" s="2966"/>
      <c r="N469" s="2966"/>
    </row>
    <row r="470" spans="2:14" ht="14.25">
      <c r="B470" s="2958">
        <v>522</v>
      </c>
      <c r="C470" s="2958" t="s">
        <v>3057</v>
      </c>
      <c r="D470" s="2958" t="s">
        <v>3059</v>
      </c>
      <c r="E470" s="2959">
        <v>14</v>
      </c>
      <c r="F470" s="2960">
        <v>1</v>
      </c>
      <c r="G470" s="2959">
        <v>602</v>
      </c>
      <c r="H470" s="2959" t="s">
        <v>3055</v>
      </c>
      <c r="I470" s="2960">
        <v>155.5</v>
      </c>
      <c r="J470" s="2960">
        <v>155.5</v>
      </c>
      <c r="K470" s="2960">
        <v>0</v>
      </c>
      <c r="L470" s="2960">
        <v>0</v>
      </c>
      <c r="M470" s="2966"/>
      <c r="N470" s="2966"/>
    </row>
    <row r="471" spans="2:14" ht="14.25">
      <c r="B471" s="2958">
        <v>523</v>
      </c>
      <c r="C471" s="2958" t="s">
        <v>3057</v>
      </c>
      <c r="D471" s="2958" t="s">
        <v>3059</v>
      </c>
      <c r="E471" s="2959">
        <v>14</v>
      </c>
      <c r="F471" s="2960">
        <v>1</v>
      </c>
      <c r="G471" s="2959">
        <v>701</v>
      </c>
      <c r="H471" s="2959" t="s">
        <v>3055</v>
      </c>
      <c r="I471" s="2960">
        <v>155.5</v>
      </c>
      <c r="J471" s="2960">
        <v>155.5</v>
      </c>
      <c r="K471" s="2960">
        <v>0</v>
      </c>
      <c r="L471" s="2960">
        <v>0</v>
      </c>
      <c r="M471" s="2966"/>
      <c r="N471" s="2966"/>
    </row>
    <row r="472" spans="2:14" ht="14.25">
      <c r="B472" s="2958">
        <v>524</v>
      </c>
      <c r="C472" s="2958" t="s">
        <v>3057</v>
      </c>
      <c r="D472" s="2958" t="s">
        <v>3059</v>
      </c>
      <c r="E472" s="2959">
        <v>14</v>
      </c>
      <c r="F472" s="2960">
        <v>1</v>
      </c>
      <c r="G472" s="2959">
        <v>702</v>
      </c>
      <c r="H472" s="2959" t="s">
        <v>3055</v>
      </c>
      <c r="I472" s="2960">
        <v>155.5</v>
      </c>
      <c r="J472" s="2960">
        <v>155.5</v>
      </c>
      <c r="K472" s="2960">
        <v>0</v>
      </c>
      <c r="L472" s="2960">
        <v>0</v>
      </c>
      <c r="M472" s="2966"/>
      <c r="N472" s="2966"/>
    </row>
    <row r="473" spans="2:14" ht="14.25">
      <c r="B473" s="2958">
        <v>525</v>
      </c>
      <c r="C473" s="2958" t="s">
        <v>3057</v>
      </c>
      <c r="D473" s="2958" t="s">
        <v>3059</v>
      </c>
      <c r="E473" s="2959">
        <v>14</v>
      </c>
      <c r="F473" s="2960">
        <v>1</v>
      </c>
      <c r="G473" s="2959">
        <v>801</v>
      </c>
      <c r="H473" s="2959" t="s">
        <v>3055</v>
      </c>
      <c r="I473" s="2960">
        <v>213.68</v>
      </c>
      <c r="J473" s="2960">
        <v>155.5</v>
      </c>
      <c r="K473" s="2960">
        <v>58.18</v>
      </c>
      <c r="L473" s="2960">
        <v>0</v>
      </c>
      <c r="M473" s="2966"/>
      <c r="N473" s="2966"/>
    </row>
    <row r="474" spans="2:14" ht="14.25">
      <c r="B474" s="2958">
        <v>526</v>
      </c>
      <c r="C474" s="2958" t="s">
        <v>3057</v>
      </c>
      <c r="D474" s="2958" t="s">
        <v>3059</v>
      </c>
      <c r="E474" s="2959">
        <v>14</v>
      </c>
      <c r="F474" s="2960">
        <v>1</v>
      </c>
      <c r="G474" s="2959">
        <v>802</v>
      </c>
      <c r="H474" s="2959" t="s">
        <v>3055</v>
      </c>
      <c r="I474" s="2960">
        <v>229.83</v>
      </c>
      <c r="J474" s="2960">
        <v>155.5</v>
      </c>
      <c r="K474" s="2960">
        <v>74.33</v>
      </c>
      <c r="L474" s="2960">
        <v>0</v>
      </c>
      <c r="M474" s="2966"/>
      <c r="N474" s="2966"/>
    </row>
    <row r="475" spans="2:14" ht="14.25">
      <c r="B475" s="2958">
        <v>527</v>
      </c>
      <c r="C475" s="2958" t="s">
        <v>3057</v>
      </c>
      <c r="D475" s="2958" t="s">
        <v>3059</v>
      </c>
      <c r="E475" s="2959">
        <v>14</v>
      </c>
      <c r="F475" s="2960">
        <v>2</v>
      </c>
      <c r="G475" s="2959">
        <v>103</v>
      </c>
      <c r="H475" s="2959" t="s">
        <v>3055</v>
      </c>
      <c r="I475" s="2960">
        <v>404.09</v>
      </c>
      <c r="J475" s="2960">
        <v>142.84</v>
      </c>
      <c r="K475" s="2960">
        <v>0</v>
      </c>
      <c r="L475" s="2960">
        <f>158.27+102.98</f>
        <v>261.25</v>
      </c>
      <c r="M475" s="2966"/>
      <c r="N475" s="2966"/>
    </row>
    <row r="476" spans="2:14" ht="14.25">
      <c r="B476" s="2958">
        <v>528</v>
      </c>
      <c r="C476" s="2958" t="s">
        <v>3057</v>
      </c>
      <c r="D476" s="2958" t="s">
        <v>3059</v>
      </c>
      <c r="E476" s="2959">
        <v>14</v>
      </c>
      <c r="F476" s="2960">
        <v>2</v>
      </c>
      <c r="G476" s="2959">
        <v>104</v>
      </c>
      <c r="H476" s="2959" t="s">
        <v>3055</v>
      </c>
      <c r="I476" s="2960">
        <v>404.55</v>
      </c>
      <c r="J476" s="2960">
        <v>142.84</v>
      </c>
      <c r="K476" s="2960">
        <v>0</v>
      </c>
      <c r="L476" s="2960">
        <f>158.27+103.44</f>
        <v>261.71000000000004</v>
      </c>
      <c r="M476" s="2966"/>
      <c r="N476" s="2966"/>
    </row>
    <row r="477" spans="2:14" ht="14.25">
      <c r="B477" s="2958">
        <v>529</v>
      </c>
      <c r="C477" s="2958" t="s">
        <v>3057</v>
      </c>
      <c r="D477" s="2958" t="s">
        <v>3059</v>
      </c>
      <c r="E477" s="2959">
        <v>14</v>
      </c>
      <c r="F477" s="2960">
        <v>2</v>
      </c>
      <c r="G477" s="2959">
        <v>203</v>
      </c>
      <c r="H477" s="2959" t="s">
        <v>3055</v>
      </c>
      <c r="I477" s="2960">
        <v>336.79</v>
      </c>
      <c r="J477" s="2960">
        <v>162.01</v>
      </c>
      <c r="K477" s="2960">
        <v>0</v>
      </c>
      <c r="L477" s="2960">
        <f>89.75+85.03</f>
        <v>174.78</v>
      </c>
      <c r="M477" s="2966"/>
      <c r="N477" s="2966"/>
    </row>
    <row r="478" spans="2:14" ht="14.25">
      <c r="B478" s="2958">
        <v>530</v>
      </c>
      <c r="C478" s="2958" t="s">
        <v>3057</v>
      </c>
      <c r="D478" s="2958" t="s">
        <v>3059</v>
      </c>
      <c r="E478" s="2959">
        <v>14</v>
      </c>
      <c r="F478" s="2960">
        <v>2</v>
      </c>
      <c r="G478" s="2959">
        <v>204</v>
      </c>
      <c r="H478" s="2959" t="s">
        <v>3055</v>
      </c>
      <c r="I478" s="2960">
        <v>317.89</v>
      </c>
      <c r="J478" s="2960">
        <v>162.01</v>
      </c>
      <c r="K478" s="2960">
        <v>0</v>
      </c>
      <c r="L478" s="2960">
        <f>89.75+66.13</f>
        <v>155.88</v>
      </c>
      <c r="M478" s="2966"/>
      <c r="N478" s="2966"/>
    </row>
    <row r="479" spans="2:14" ht="14.25">
      <c r="B479" s="2958">
        <v>531</v>
      </c>
      <c r="C479" s="2958" t="s">
        <v>3057</v>
      </c>
      <c r="D479" s="2958" t="s">
        <v>3059</v>
      </c>
      <c r="E479" s="2959">
        <v>14</v>
      </c>
      <c r="F479" s="2960">
        <v>2</v>
      </c>
      <c r="G479" s="2959">
        <v>303</v>
      </c>
      <c r="H479" s="2959" t="s">
        <v>3055</v>
      </c>
      <c r="I479" s="2960">
        <v>155.49</v>
      </c>
      <c r="J479" s="2960">
        <v>155.49</v>
      </c>
      <c r="K479" s="2960">
        <v>0</v>
      </c>
      <c r="L479" s="2960">
        <v>0</v>
      </c>
      <c r="M479" s="2966"/>
      <c r="N479" s="2966"/>
    </row>
    <row r="480" spans="2:14" ht="14.25">
      <c r="B480" s="2958">
        <v>532</v>
      </c>
      <c r="C480" s="2958" t="s">
        <v>3057</v>
      </c>
      <c r="D480" s="2958" t="s">
        <v>3059</v>
      </c>
      <c r="E480" s="2959">
        <v>14</v>
      </c>
      <c r="F480" s="2960">
        <v>2</v>
      </c>
      <c r="G480" s="2959">
        <v>304</v>
      </c>
      <c r="H480" s="2959" t="s">
        <v>3055</v>
      </c>
      <c r="I480" s="2960">
        <v>155.49</v>
      </c>
      <c r="J480" s="2960">
        <v>155.49</v>
      </c>
      <c r="K480" s="2960">
        <v>0</v>
      </c>
      <c r="L480" s="2960">
        <v>0</v>
      </c>
      <c r="M480" s="2966"/>
      <c r="N480" s="2966"/>
    </row>
    <row r="481" spans="2:14" ht="14.25">
      <c r="B481" s="2958">
        <v>533</v>
      </c>
      <c r="C481" s="2958" t="s">
        <v>3057</v>
      </c>
      <c r="D481" s="2958" t="s">
        <v>3059</v>
      </c>
      <c r="E481" s="2959">
        <v>14</v>
      </c>
      <c r="F481" s="2960">
        <v>2</v>
      </c>
      <c r="G481" s="2959">
        <v>403</v>
      </c>
      <c r="H481" s="2959" t="s">
        <v>3055</v>
      </c>
      <c r="I481" s="2960">
        <v>155.49</v>
      </c>
      <c r="J481" s="2960">
        <v>155.49</v>
      </c>
      <c r="K481" s="2960">
        <v>0</v>
      </c>
      <c r="L481" s="2960">
        <v>0</v>
      </c>
      <c r="M481" s="2966"/>
      <c r="N481" s="2966"/>
    </row>
    <row r="482" spans="2:14" ht="14.25">
      <c r="B482" s="2958">
        <v>534</v>
      </c>
      <c r="C482" s="2958" t="s">
        <v>3057</v>
      </c>
      <c r="D482" s="2958" t="s">
        <v>3059</v>
      </c>
      <c r="E482" s="2959">
        <v>14</v>
      </c>
      <c r="F482" s="2960">
        <v>2</v>
      </c>
      <c r="G482" s="2959">
        <v>404</v>
      </c>
      <c r="H482" s="2959" t="s">
        <v>3055</v>
      </c>
      <c r="I482" s="2960">
        <v>155.49</v>
      </c>
      <c r="J482" s="2960">
        <v>155.49</v>
      </c>
      <c r="K482" s="2960">
        <v>0</v>
      </c>
      <c r="L482" s="2960">
        <v>0</v>
      </c>
      <c r="M482" s="2966"/>
      <c r="N482" s="2966"/>
    </row>
    <row r="483" spans="2:14" ht="14.25">
      <c r="B483" s="2958">
        <v>535</v>
      </c>
      <c r="C483" s="2958" t="s">
        <v>3057</v>
      </c>
      <c r="D483" s="2958" t="s">
        <v>3059</v>
      </c>
      <c r="E483" s="2959">
        <v>14</v>
      </c>
      <c r="F483" s="2960">
        <v>2</v>
      </c>
      <c r="G483" s="2959">
        <v>503</v>
      </c>
      <c r="H483" s="2959" t="s">
        <v>3055</v>
      </c>
      <c r="I483" s="2960">
        <v>155.49</v>
      </c>
      <c r="J483" s="2960">
        <v>155.49</v>
      </c>
      <c r="K483" s="2960">
        <v>0</v>
      </c>
      <c r="L483" s="2960">
        <v>0</v>
      </c>
      <c r="M483" s="2966"/>
      <c r="N483" s="2966"/>
    </row>
    <row r="484" spans="2:14" ht="14.25">
      <c r="B484" s="2958">
        <v>536</v>
      </c>
      <c r="C484" s="2958" t="s">
        <v>3057</v>
      </c>
      <c r="D484" s="2958" t="s">
        <v>3059</v>
      </c>
      <c r="E484" s="2959">
        <v>14</v>
      </c>
      <c r="F484" s="2960">
        <v>2</v>
      </c>
      <c r="G484" s="2959">
        <v>504</v>
      </c>
      <c r="H484" s="2959" t="s">
        <v>3055</v>
      </c>
      <c r="I484" s="2960">
        <v>155.49</v>
      </c>
      <c r="J484" s="2960">
        <v>155.49</v>
      </c>
      <c r="K484" s="2960">
        <v>0</v>
      </c>
      <c r="L484" s="2960">
        <v>0</v>
      </c>
      <c r="M484" s="2966"/>
      <c r="N484" s="2966"/>
    </row>
    <row r="485" spans="2:14" ht="14.25">
      <c r="B485" s="2958">
        <v>537</v>
      </c>
      <c r="C485" s="2958" t="s">
        <v>3057</v>
      </c>
      <c r="D485" s="2958" t="s">
        <v>3059</v>
      </c>
      <c r="E485" s="2959">
        <v>14</v>
      </c>
      <c r="F485" s="2960">
        <v>2</v>
      </c>
      <c r="G485" s="2959">
        <v>603</v>
      </c>
      <c r="H485" s="2959" t="s">
        <v>3055</v>
      </c>
      <c r="I485" s="2960">
        <v>155.49</v>
      </c>
      <c r="J485" s="2960">
        <v>155.49</v>
      </c>
      <c r="K485" s="2960">
        <v>0</v>
      </c>
      <c r="L485" s="2960">
        <v>0</v>
      </c>
      <c r="M485" s="2966"/>
      <c r="N485" s="2966"/>
    </row>
    <row r="486" spans="2:14" ht="14.25">
      <c r="B486" s="2958">
        <v>538</v>
      </c>
      <c r="C486" s="2958" t="s">
        <v>3057</v>
      </c>
      <c r="D486" s="2958" t="s">
        <v>3059</v>
      </c>
      <c r="E486" s="2959">
        <v>14</v>
      </c>
      <c r="F486" s="2960">
        <v>2</v>
      </c>
      <c r="G486" s="2959">
        <v>604</v>
      </c>
      <c r="H486" s="2959" t="s">
        <v>3055</v>
      </c>
      <c r="I486" s="2960">
        <v>155.49</v>
      </c>
      <c r="J486" s="2960">
        <v>155.49</v>
      </c>
      <c r="K486" s="2960">
        <v>0</v>
      </c>
      <c r="L486" s="2960">
        <v>0</v>
      </c>
      <c r="M486" s="2966"/>
      <c r="N486" s="2966"/>
    </row>
    <row r="487" spans="2:14" ht="14.25">
      <c r="B487" s="2958">
        <v>539</v>
      </c>
      <c r="C487" s="2958" t="s">
        <v>3057</v>
      </c>
      <c r="D487" s="2958" t="s">
        <v>3059</v>
      </c>
      <c r="E487" s="2959">
        <v>14</v>
      </c>
      <c r="F487" s="2960">
        <v>2</v>
      </c>
      <c r="G487" s="2959">
        <v>703</v>
      </c>
      <c r="H487" s="2959" t="s">
        <v>3055</v>
      </c>
      <c r="I487" s="2960">
        <v>155.49</v>
      </c>
      <c r="J487" s="2960">
        <v>155.49</v>
      </c>
      <c r="K487" s="2960">
        <v>0</v>
      </c>
      <c r="L487" s="2960">
        <v>0</v>
      </c>
      <c r="M487" s="2966"/>
      <c r="N487" s="2966"/>
    </row>
    <row r="488" spans="2:14" ht="14.25">
      <c r="B488" s="2958">
        <v>540</v>
      </c>
      <c r="C488" s="2958" t="s">
        <v>3057</v>
      </c>
      <c r="D488" s="2958" t="s">
        <v>3059</v>
      </c>
      <c r="E488" s="2959">
        <v>14</v>
      </c>
      <c r="F488" s="2960">
        <v>2</v>
      </c>
      <c r="G488" s="2959">
        <v>704</v>
      </c>
      <c r="H488" s="2959" t="s">
        <v>3055</v>
      </c>
      <c r="I488" s="2960">
        <v>155.49</v>
      </c>
      <c r="J488" s="2960">
        <v>155.49</v>
      </c>
      <c r="K488" s="2960">
        <v>0</v>
      </c>
      <c r="L488" s="2960">
        <v>0</v>
      </c>
      <c r="M488" s="2966"/>
      <c r="N488" s="2966"/>
    </row>
    <row r="489" spans="2:14" ht="14.25">
      <c r="B489" s="2958">
        <v>541</v>
      </c>
      <c r="C489" s="2958" t="s">
        <v>3057</v>
      </c>
      <c r="D489" s="2958" t="s">
        <v>3059</v>
      </c>
      <c r="E489" s="2959">
        <v>14</v>
      </c>
      <c r="F489" s="2960">
        <v>2</v>
      </c>
      <c r="G489" s="2959">
        <v>803</v>
      </c>
      <c r="H489" s="2959" t="s">
        <v>3055</v>
      </c>
      <c r="I489" s="2960">
        <v>229.82</v>
      </c>
      <c r="J489" s="2960">
        <v>155.49</v>
      </c>
      <c r="K489" s="2960">
        <v>74.33</v>
      </c>
      <c r="L489" s="2960">
        <v>0</v>
      </c>
      <c r="M489" s="2966"/>
      <c r="N489" s="2966"/>
    </row>
    <row r="490" spans="2:14" ht="14.25">
      <c r="B490" s="2958">
        <v>542</v>
      </c>
      <c r="C490" s="2958" t="s">
        <v>3057</v>
      </c>
      <c r="D490" s="2958" t="s">
        <v>3059</v>
      </c>
      <c r="E490" s="2959">
        <v>14</v>
      </c>
      <c r="F490" s="2960">
        <v>2</v>
      </c>
      <c r="G490" s="2959">
        <v>804</v>
      </c>
      <c r="H490" s="2959" t="s">
        <v>3055</v>
      </c>
      <c r="I490" s="2960">
        <v>213.67</v>
      </c>
      <c r="J490" s="2960">
        <v>155.49</v>
      </c>
      <c r="K490" s="2960">
        <v>58.18</v>
      </c>
      <c r="L490" s="2960">
        <v>0</v>
      </c>
      <c r="M490" s="2966"/>
      <c r="N490" s="2966"/>
    </row>
    <row r="491" spans="2:14" ht="14.25" hidden="1">
      <c r="B491" s="2962"/>
      <c r="C491" s="2962" t="s">
        <v>3053</v>
      </c>
      <c r="D491" s="2962" t="s">
        <v>3054</v>
      </c>
      <c r="E491" s="2963">
        <v>15</v>
      </c>
      <c r="F491" s="2964">
        <v>1</v>
      </c>
      <c r="G491" s="2963">
        <v>101</v>
      </c>
      <c r="H491" s="2963" t="s">
        <v>3056</v>
      </c>
      <c r="I491" s="2964">
        <v>389.42</v>
      </c>
      <c r="J491" s="2964">
        <v>132.87</v>
      </c>
      <c r="K491" s="2964">
        <v>0</v>
      </c>
      <c r="L491" s="2964">
        <f>166.97+89.58</f>
        <v>256.55</v>
      </c>
      <c r="M491" s="2966">
        <f>60.39+60.25</f>
        <v>120.64</v>
      </c>
      <c r="N491" s="2966"/>
    </row>
    <row r="492" spans="2:14" ht="14.25">
      <c r="B492" s="2958">
        <v>63</v>
      </c>
      <c r="C492" s="2958" t="s">
        <v>3053</v>
      </c>
      <c r="D492" s="2958" t="s">
        <v>3054</v>
      </c>
      <c r="E492" s="2959">
        <v>15</v>
      </c>
      <c r="F492" s="2960">
        <v>1</v>
      </c>
      <c r="G492" s="2959">
        <v>102</v>
      </c>
      <c r="H492" s="2959" t="s">
        <v>3055</v>
      </c>
      <c r="I492" s="2960">
        <v>386.01</v>
      </c>
      <c r="J492" s="2960">
        <v>132.87</v>
      </c>
      <c r="K492" s="2960">
        <v>0</v>
      </c>
      <c r="L492" s="2960">
        <f>167.31+85.83</f>
        <v>253.14</v>
      </c>
      <c r="M492" s="2966"/>
      <c r="N492" s="2966"/>
    </row>
    <row r="493" spans="2:14" ht="14.25">
      <c r="B493" s="2958">
        <v>64</v>
      </c>
      <c r="C493" s="2958" t="s">
        <v>3053</v>
      </c>
      <c r="D493" s="2958" t="s">
        <v>3054</v>
      </c>
      <c r="E493" s="2959">
        <v>15</v>
      </c>
      <c r="F493" s="2960">
        <v>1</v>
      </c>
      <c r="G493" s="2959">
        <v>201</v>
      </c>
      <c r="H493" s="2959" t="s">
        <v>3055</v>
      </c>
      <c r="I493" s="2960">
        <v>280.07</v>
      </c>
      <c r="J493" s="2960">
        <v>150.21</v>
      </c>
      <c r="K493" s="2960">
        <v>0</v>
      </c>
      <c r="L493" s="2960">
        <f>66.66+63.2</f>
        <v>129.86000000000001</v>
      </c>
      <c r="M493" s="2966"/>
      <c r="N493" s="2966"/>
    </row>
    <row r="494" spans="2:14" ht="14.25" hidden="1">
      <c r="B494" s="2962"/>
      <c r="C494" s="2962" t="s">
        <v>3053</v>
      </c>
      <c r="D494" s="2962" t="s">
        <v>3054</v>
      </c>
      <c r="E494" s="2963">
        <v>15</v>
      </c>
      <c r="F494" s="2964">
        <v>1</v>
      </c>
      <c r="G494" s="2963">
        <v>202</v>
      </c>
      <c r="H494" s="2963" t="s">
        <v>3056</v>
      </c>
      <c r="I494" s="2964">
        <v>311.12</v>
      </c>
      <c r="J494" s="2964">
        <v>150.21</v>
      </c>
      <c r="K494" s="2964">
        <v>0</v>
      </c>
      <c r="L494" s="2964">
        <f>66.72+94.19</f>
        <v>160.91</v>
      </c>
      <c r="M494" s="2966"/>
      <c r="N494" s="2966"/>
    </row>
    <row r="495" spans="2:14" ht="14.25" hidden="1">
      <c r="B495" s="2962"/>
      <c r="C495" s="2962" t="s">
        <v>3053</v>
      </c>
      <c r="D495" s="2962" t="s">
        <v>3054</v>
      </c>
      <c r="E495" s="2963">
        <v>15</v>
      </c>
      <c r="F495" s="2964">
        <v>1</v>
      </c>
      <c r="G495" s="2963">
        <v>301</v>
      </c>
      <c r="H495" s="2963" t="s">
        <v>3056</v>
      </c>
      <c r="I495" s="2964">
        <v>143.55000000000001</v>
      </c>
      <c r="J495" s="2964">
        <v>143.55000000000001</v>
      </c>
      <c r="K495" s="2964">
        <v>0</v>
      </c>
      <c r="L495" s="2964">
        <v>0</v>
      </c>
      <c r="M495" s="2966"/>
      <c r="N495" s="2966"/>
    </row>
    <row r="496" spans="2:14" ht="14.25" hidden="1">
      <c r="B496" s="2962"/>
      <c r="C496" s="2962" t="s">
        <v>3053</v>
      </c>
      <c r="D496" s="2962" t="s">
        <v>3054</v>
      </c>
      <c r="E496" s="2963">
        <v>15</v>
      </c>
      <c r="F496" s="2964">
        <v>1</v>
      </c>
      <c r="G496" s="2963">
        <v>302</v>
      </c>
      <c r="H496" s="2963" t="s">
        <v>3056</v>
      </c>
      <c r="I496" s="2964">
        <v>143.55000000000001</v>
      </c>
      <c r="J496" s="2964">
        <v>143.55000000000001</v>
      </c>
      <c r="K496" s="2964">
        <v>0</v>
      </c>
      <c r="L496" s="2964">
        <v>0</v>
      </c>
      <c r="M496" s="2966"/>
      <c r="N496" s="2966"/>
    </row>
    <row r="497" spans="2:14" ht="14.25" hidden="1">
      <c r="B497" s="2962"/>
      <c r="C497" s="2962" t="s">
        <v>3053</v>
      </c>
      <c r="D497" s="2962" t="s">
        <v>3054</v>
      </c>
      <c r="E497" s="2963">
        <v>15</v>
      </c>
      <c r="F497" s="2964">
        <v>1</v>
      </c>
      <c r="G497" s="2963">
        <v>401</v>
      </c>
      <c r="H497" s="2963" t="s">
        <v>3056</v>
      </c>
      <c r="I497" s="2964">
        <v>143.55000000000001</v>
      </c>
      <c r="J497" s="2964">
        <v>143.55000000000001</v>
      </c>
      <c r="K497" s="2964">
        <v>0</v>
      </c>
      <c r="L497" s="2964">
        <v>0</v>
      </c>
      <c r="M497" s="2966"/>
      <c r="N497" s="2966"/>
    </row>
    <row r="498" spans="2:14" ht="14.25" hidden="1">
      <c r="B498" s="2962"/>
      <c r="C498" s="2962" t="s">
        <v>3053</v>
      </c>
      <c r="D498" s="2962" t="s">
        <v>3054</v>
      </c>
      <c r="E498" s="2963">
        <v>15</v>
      </c>
      <c r="F498" s="2964">
        <v>1</v>
      </c>
      <c r="G498" s="2963">
        <v>402</v>
      </c>
      <c r="H498" s="2963" t="s">
        <v>3056</v>
      </c>
      <c r="I498" s="2964">
        <v>143.55000000000001</v>
      </c>
      <c r="J498" s="2964">
        <v>143.55000000000001</v>
      </c>
      <c r="K498" s="2964">
        <v>0</v>
      </c>
      <c r="L498" s="2964">
        <v>0</v>
      </c>
      <c r="M498" s="2966"/>
      <c r="N498" s="2966"/>
    </row>
    <row r="499" spans="2:14" ht="14.25" hidden="1">
      <c r="B499" s="2962"/>
      <c r="C499" s="2962" t="s">
        <v>3053</v>
      </c>
      <c r="D499" s="2962" t="s">
        <v>3054</v>
      </c>
      <c r="E499" s="2963">
        <v>15</v>
      </c>
      <c r="F499" s="2964">
        <v>1</v>
      </c>
      <c r="G499" s="2963">
        <v>501</v>
      </c>
      <c r="H499" s="2963" t="s">
        <v>3056</v>
      </c>
      <c r="I499" s="2964">
        <v>143.55000000000001</v>
      </c>
      <c r="J499" s="2964">
        <v>143.55000000000001</v>
      </c>
      <c r="K499" s="2964">
        <v>0</v>
      </c>
      <c r="L499" s="2964">
        <v>0</v>
      </c>
      <c r="M499" s="2966"/>
      <c r="N499" s="2966"/>
    </row>
    <row r="500" spans="2:14" ht="14.25" hidden="1">
      <c r="B500" s="2962"/>
      <c r="C500" s="2962" t="s">
        <v>3053</v>
      </c>
      <c r="D500" s="2962" t="s">
        <v>3054</v>
      </c>
      <c r="E500" s="2963">
        <v>15</v>
      </c>
      <c r="F500" s="2964">
        <v>1</v>
      </c>
      <c r="G500" s="2963">
        <v>502</v>
      </c>
      <c r="H500" s="2963" t="s">
        <v>3056</v>
      </c>
      <c r="I500" s="2964">
        <v>143.55000000000001</v>
      </c>
      <c r="J500" s="2964">
        <v>143.55000000000001</v>
      </c>
      <c r="K500" s="2964">
        <v>0</v>
      </c>
      <c r="L500" s="2964">
        <v>0</v>
      </c>
      <c r="M500" s="2966"/>
      <c r="N500" s="2966"/>
    </row>
    <row r="501" spans="2:14" ht="14.25" hidden="1">
      <c r="B501" s="2962"/>
      <c r="C501" s="2962" t="s">
        <v>3053</v>
      </c>
      <c r="D501" s="2962" t="s">
        <v>3054</v>
      </c>
      <c r="E501" s="2963">
        <v>15</v>
      </c>
      <c r="F501" s="2964">
        <v>1</v>
      </c>
      <c r="G501" s="2963">
        <v>601</v>
      </c>
      <c r="H501" s="2963" t="s">
        <v>3056</v>
      </c>
      <c r="I501" s="2964">
        <v>143.55000000000001</v>
      </c>
      <c r="J501" s="2964">
        <v>143.55000000000001</v>
      </c>
      <c r="K501" s="2964">
        <v>0</v>
      </c>
      <c r="L501" s="2964">
        <v>0</v>
      </c>
      <c r="M501" s="2966"/>
      <c r="N501" s="2966"/>
    </row>
    <row r="502" spans="2:14" ht="14.25" hidden="1">
      <c r="B502" s="2962"/>
      <c r="C502" s="2962" t="s">
        <v>3053</v>
      </c>
      <c r="D502" s="2962" t="s">
        <v>3054</v>
      </c>
      <c r="E502" s="2963">
        <v>15</v>
      </c>
      <c r="F502" s="2964">
        <v>1</v>
      </c>
      <c r="G502" s="2963">
        <v>602</v>
      </c>
      <c r="H502" s="2963" t="s">
        <v>3056</v>
      </c>
      <c r="I502" s="2964">
        <v>143.55000000000001</v>
      </c>
      <c r="J502" s="2964">
        <v>143.55000000000001</v>
      </c>
      <c r="K502" s="2964">
        <v>0</v>
      </c>
      <c r="L502" s="2964">
        <v>0</v>
      </c>
      <c r="M502" s="2966"/>
      <c r="N502" s="2966"/>
    </row>
    <row r="503" spans="2:14" ht="14.25">
      <c r="B503" s="2958">
        <v>65</v>
      </c>
      <c r="C503" s="2958" t="s">
        <v>3053</v>
      </c>
      <c r="D503" s="2958" t="s">
        <v>3054</v>
      </c>
      <c r="E503" s="2959">
        <v>15</v>
      </c>
      <c r="F503" s="2960">
        <v>1</v>
      </c>
      <c r="G503" s="2959">
        <v>701</v>
      </c>
      <c r="H503" s="2959" t="s">
        <v>3055</v>
      </c>
      <c r="I503" s="2960">
        <v>143.55000000000001</v>
      </c>
      <c r="J503" s="2960">
        <v>143.55000000000001</v>
      </c>
      <c r="K503" s="2960">
        <v>0</v>
      </c>
      <c r="L503" s="2960">
        <v>0</v>
      </c>
      <c r="M503" s="2966"/>
      <c r="N503" s="2966"/>
    </row>
    <row r="504" spans="2:14" ht="14.25" hidden="1">
      <c r="B504" s="2962"/>
      <c r="C504" s="2962" t="s">
        <v>3053</v>
      </c>
      <c r="D504" s="2962" t="s">
        <v>3054</v>
      </c>
      <c r="E504" s="2963">
        <v>15</v>
      </c>
      <c r="F504" s="2964">
        <v>1</v>
      </c>
      <c r="G504" s="2963">
        <v>702</v>
      </c>
      <c r="H504" s="2963" t="s">
        <v>3056</v>
      </c>
      <c r="I504" s="2964">
        <v>143.55000000000001</v>
      </c>
      <c r="J504" s="2964">
        <v>143.55000000000001</v>
      </c>
      <c r="K504" s="2964">
        <v>0</v>
      </c>
      <c r="L504" s="2964">
        <v>0</v>
      </c>
      <c r="M504" s="2966"/>
      <c r="N504" s="2966"/>
    </row>
    <row r="505" spans="2:14" ht="14.25">
      <c r="B505" s="2958">
        <v>66</v>
      </c>
      <c r="C505" s="2958" t="s">
        <v>3053</v>
      </c>
      <c r="D505" s="2958" t="s">
        <v>3054</v>
      </c>
      <c r="E505" s="2959">
        <v>15</v>
      </c>
      <c r="F505" s="2960">
        <v>1</v>
      </c>
      <c r="G505" s="2959">
        <v>801</v>
      </c>
      <c r="H505" s="2959" t="s">
        <v>3055</v>
      </c>
      <c r="I505" s="2960">
        <v>143.55000000000001</v>
      </c>
      <c r="J505" s="2960">
        <v>143.55000000000001</v>
      </c>
      <c r="K505" s="2960">
        <v>0</v>
      </c>
      <c r="L505" s="2960">
        <v>0</v>
      </c>
      <c r="M505" s="2966"/>
      <c r="N505" s="2966"/>
    </row>
    <row r="506" spans="2:14" ht="14.25" hidden="1">
      <c r="B506" s="2962"/>
      <c r="C506" s="2962" t="s">
        <v>3053</v>
      </c>
      <c r="D506" s="2962" t="s">
        <v>3054</v>
      </c>
      <c r="E506" s="2963">
        <v>15</v>
      </c>
      <c r="F506" s="2964">
        <v>1</v>
      </c>
      <c r="G506" s="2963">
        <v>802</v>
      </c>
      <c r="H506" s="2963" t="s">
        <v>3056</v>
      </c>
      <c r="I506" s="2964">
        <v>143.55000000000001</v>
      </c>
      <c r="J506" s="2964">
        <v>143.55000000000001</v>
      </c>
      <c r="K506" s="2964">
        <v>0</v>
      </c>
      <c r="L506" s="2964">
        <v>0</v>
      </c>
      <c r="M506" s="2966"/>
      <c r="N506" s="2966"/>
    </row>
    <row r="507" spans="2:14" ht="14.25">
      <c r="B507" s="2958">
        <v>67</v>
      </c>
      <c r="C507" s="2958" t="s">
        <v>3053</v>
      </c>
      <c r="D507" s="2958" t="s">
        <v>3054</v>
      </c>
      <c r="E507" s="2959">
        <v>15</v>
      </c>
      <c r="F507" s="2960">
        <v>1</v>
      </c>
      <c r="G507" s="2959">
        <v>901</v>
      </c>
      <c r="H507" s="2959" t="s">
        <v>3055</v>
      </c>
      <c r="I507" s="2960">
        <v>200.56</v>
      </c>
      <c r="J507" s="2960">
        <v>143.76</v>
      </c>
      <c r="K507" s="2960">
        <v>56.8</v>
      </c>
      <c r="L507" s="2960">
        <v>0</v>
      </c>
      <c r="M507" s="2966"/>
      <c r="N507" s="2966"/>
    </row>
    <row r="508" spans="2:14" ht="14.25">
      <c r="B508" s="2958">
        <v>68</v>
      </c>
      <c r="C508" s="2958" t="s">
        <v>3053</v>
      </c>
      <c r="D508" s="2958" t="s">
        <v>3054</v>
      </c>
      <c r="E508" s="2959">
        <v>15</v>
      </c>
      <c r="F508" s="2960">
        <v>1</v>
      </c>
      <c r="G508" s="2959">
        <v>902</v>
      </c>
      <c r="H508" s="2959" t="s">
        <v>3055</v>
      </c>
      <c r="I508" s="2960">
        <v>200.56</v>
      </c>
      <c r="J508" s="2960">
        <v>143.76</v>
      </c>
      <c r="K508" s="2960">
        <v>56.8</v>
      </c>
      <c r="L508" s="2960">
        <v>0</v>
      </c>
      <c r="M508" s="2966"/>
      <c r="N508" s="2966"/>
    </row>
    <row r="509" spans="2:14" ht="14.25" hidden="1">
      <c r="B509" s="2962"/>
      <c r="C509" s="2962" t="s">
        <v>3053</v>
      </c>
      <c r="D509" s="2962" t="s">
        <v>3054</v>
      </c>
      <c r="E509" s="2963">
        <v>15</v>
      </c>
      <c r="F509" s="2964">
        <v>2</v>
      </c>
      <c r="G509" s="2963">
        <v>103</v>
      </c>
      <c r="H509" s="2963" t="s">
        <v>3056</v>
      </c>
      <c r="I509" s="2964">
        <v>385.31</v>
      </c>
      <c r="J509" s="2964">
        <v>132.86000000000001</v>
      </c>
      <c r="K509" s="2964">
        <v>0</v>
      </c>
      <c r="L509" s="2964">
        <f>166.85+85.6</f>
        <v>252.45</v>
      </c>
      <c r="M509" s="2966"/>
      <c r="N509" s="2966"/>
    </row>
    <row r="510" spans="2:14" ht="14.25" hidden="1">
      <c r="B510" s="2962"/>
      <c r="C510" s="2962" t="s">
        <v>3053</v>
      </c>
      <c r="D510" s="2962" t="s">
        <v>3054</v>
      </c>
      <c r="E510" s="2963">
        <v>15</v>
      </c>
      <c r="F510" s="2964">
        <v>2</v>
      </c>
      <c r="G510" s="2963">
        <v>104</v>
      </c>
      <c r="H510" s="2963" t="s">
        <v>3056</v>
      </c>
      <c r="I510" s="2964">
        <v>389</v>
      </c>
      <c r="J510" s="2964">
        <v>132.86000000000001</v>
      </c>
      <c r="K510" s="2964">
        <v>0</v>
      </c>
      <c r="L510" s="2964">
        <f>166.51+89.63</f>
        <v>256.14</v>
      </c>
      <c r="M510" s="2966"/>
      <c r="N510" s="2966"/>
    </row>
    <row r="511" spans="2:14" ht="14.25" hidden="1">
      <c r="B511" s="2962"/>
      <c r="C511" s="2962" t="s">
        <v>3053</v>
      </c>
      <c r="D511" s="2962" t="s">
        <v>3054</v>
      </c>
      <c r="E511" s="2963">
        <v>15</v>
      </c>
      <c r="F511" s="2964">
        <v>2</v>
      </c>
      <c r="G511" s="2963">
        <v>203</v>
      </c>
      <c r="H511" s="2963" t="s">
        <v>3056</v>
      </c>
      <c r="I511" s="2964">
        <v>310.66000000000003</v>
      </c>
      <c r="J511" s="2964">
        <v>150.19</v>
      </c>
      <c r="K511" s="2964">
        <v>0</v>
      </c>
      <c r="L511" s="2964">
        <f>66.54+93.93</f>
        <v>160.47000000000003</v>
      </c>
      <c r="M511" s="2966"/>
      <c r="N511" s="2966"/>
    </row>
    <row r="512" spans="2:14" ht="14.25">
      <c r="B512" s="2958">
        <v>69</v>
      </c>
      <c r="C512" s="2958" t="s">
        <v>3053</v>
      </c>
      <c r="D512" s="2958" t="s">
        <v>3054</v>
      </c>
      <c r="E512" s="2959">
        <v>15</v>
      </c>
      <c r="F512" s="2960">
        <v>2</v>
      </c>
      <c r="G512" s="2959">
        <v>204</v>
      </c>
      <c r="H512" s="2959" t="s">
        <v>3055</v>
      </c>
      <c r="I512" s="2960">
        <v>280.02</v>
      </c>
      <c r="J512" s="2960">
        <v>150.19</v>
      </c>
      <c r="K512" s="2960">
        <v>0</v>
      </c>
      <c r="L512" s="2960">
        <f>66.47+63.36</f>
        <v>129.82999999999998</v>
      </c>
      <c r="M512" s="2966"/>
      <c r="N512" s="2966"/>
    </row>
    <row r="513" spans="2:14" ht="14.25" hidden="1">
      <c r="B513" s="2962"/>
      <c r="C513" s="2962" t="s">
        <v>3053</v>
      </c>
      <c r="D513" s="2962" t="s">
        <v>3054</v>
      </c>
      <c r="E513" s="2963">
        <v>15</v>
      </c>
      <c r="F513" s="2964">
        <v>2</v>
      </c>
      <c r="G513" s="2963">
        <v>303</v>
      </c>
      <c r="H513" s="2963" t="s">
        <v>3056</v>
      </c>
      <c r="I513" s="2964">
        <v>143.53</v>
      </c>
      <c r="J513" s="2964">
        <v>143.53</v>
      </c>
      <c r="K513" s="2964">
        <v>0</v>
      </c>
      <c r="L513" s="2964">
        <v>0</v>
      </c>
      <c r="M513" s="2966"/>
      <c r="N513" s="2966"/>
    </row>
    <row r="514" spans="2:14" ht="14.25" hidden="1">
      <c r="B514" s="2962"/>
      <c r="C514" s="2962" t="s">
        <v>3053</v>
      </c>
      <c r="D514" s="2962" t="s">
        <v>3054</v>
      </c>
      <c r="E514" s="2963">
        <v>15</v>
      </c>
      <c r="F514" s="2964">
        <v>2</v>
      </c>
      <c r="G514" s="2963">
        <v>304</v>
      </c>
      <c r="H514" s="2963" t="s">
        <v>3056</v>
      </c>
      <c r="I514" s="2964">
        <v>143.53</v>
      </c>
      <c r="J514" s="2964">
        <v>143.53</v>
      </c>
      <c r="K514" s="2964">
        <v>0</v>
      </c>
      <c r="L514" s="2964">
        <v>0</v>
      </c>
      <c r="M514" s="2966"/>
      <c r="N514" s="2966"/>
    </row>
    <row r="515" spans="2:14" ht="14.25" hidden="1">
      <c r="B515" s="2962"/>
      <c r="C515" s="2962" t="s">
        <v>3053</v>
      </c>
      <c r="D515" s="2962" t="s">
        <v>3054</v>
      </c>
      <c r="E515" s="2963">
        <v>15</v>
      </c>
      <c r="F515" s="2964">
        <v>2</v>
      </c>
      <c r="G515" s="2963">
        <v>403</v>
      </c>
      <c r="H515" s="2963" t="s">
        <v>3056</v>
      </c>
      <c r="I515" s="2964">
        <v>143.53</v>
      </c>
      <c r="J515" s="2964">
        <v>143.53</v>
      </c>
      <c r="K515" s="2964">
        <v>0</v>
      </c>
      <c r="L515" s="2964">
        <v>0</v>
      </c>
      <c r="M515" s="2966"/>
      <c r="N515" s="2966"/>
    </row>
    <row r="516" spans="2:14" ht="14.25" hidden="1">
      <c r="B516" s="2962"/>
      <c r="C516" s="2962" t="s">
        <v>3053</v>
      </c>
      <c r="D516" s="2962" t="s">
        <v>3054</v>
      </c>
      <c r="E516" s="2963">
        <v>15</v>
      </c>
      <c r="F516" s="2964">
        <v>2</v>
      </c>
      <c r="G516" s="2963">
        <v>404</v>
      </c>
      <c r="H516" s="2963" t="s">
        <v>3056</v>
      </c>
      <c r="I516" s="2964">
        <v>143.53</v>
      </c>
      <c r="J516" s="2964">
        <v>143.53</v>
      </c>
      <c r="K516" s="2964">
        <v>0</v>
      </c>
      <c r="L516" s="2964">
        <v>0</v>
      </c>
      <c r="M516" s="2966"/>
      <c r="N516" s="2966"/>
    </row>
    <row r="517" spans="2:14" ht="14.25" hidden="1">
      <c r="B517" s="2962"/>
      <c r="C517" s="2962" t="s">
        <v>3053</v>
      </c>
      <c r="D517" s="2962" t="s">
        <v>3054</v>
      </c>
      <c r="E517" s="2963">
        <v>15</v>
      </c>
      <c r="F517" s="2964">
        <v>2</v>
      </c>
      <c r="G517" s="2963">
        <v>503</v>
      </c>
      <c r="H517" s="2963" t="s">
        <v>3056</v>
      </c>
      <c r="I517" s="2964">
        <v>143.53</v>
      </c>
      <c r="J517" s="2964">
        <v>143.53</v>
      </c>
      <c r="K517" s="2964">
        <v>0</v>
      </c>
      <c r="L517" s="2964">
        <v>0</v>
      </c>
      <c r="M517" s="2966"/>
      <c r="N517" s="2966"/>
    </row>
    <row r="518" spans="2:14" ht="14.25" hidden="1">
      <c r="B518" s="2962"/>
      <c r="C518" s="2962" t="s">
        <v>3053</v>
      </c>
      <c r="D518" s="2962" t="s">
        <v>3054</v>
      </c>
      <c r="E518" s="2963">
        <v>15</v>
      </c>
      <c r="F518" s="2964">
        <v>2</v>
      </c>
      <c r="G518" s="2963">
        <v>504</v>
      </c>
      <c r="H518" s="2963" t="s">
        <v>3056</v>
      </c>
      <c r="I518" s="2964">
        <v>143.53</v>
      </c>
      <c r="J518" s="2964">
        <v>143.53</v>
      </c>
      <c r="K518" s="2964">
        <v>0</v>
      </c>
      <c r="L518" s="2964">
        <v>0</v>
      </c>
      <c r="M518" s="2966"/>
      <c r="N518" s="2966"/>
    </row>
    <row r="519" spans="2:14" ht="14.25" hidden="1">
      <c r="B519" s="2962"/>
      <c r="C519" s="2962" t="s">
        <v>3053</v>
      </c>
      <c r="D519" s="2962" t="s">
        <v>3054</v>
      </c>
      <c r="E519" s="2963">
        <v>15</v>
      </c>
      <c r="F519" s="2964">
        <v>2</v>
      </c>
      <c r="G519" s="2963">
        <v>603</v>
      </c>
      <c r="H519" s="2963" t="s">
        <v>3056</v>
      </c>
      <c r="I519" s="2964">
        <v>143.53</v>
      </c>
      <c r="J519" s="2964">
        <v>143.53</v>
      </c>
      <c r="K519" s="2964">
        <v>0</v>
      </c>
      <c r="L519" s="2964">
        <v>0</v>
      </c>
      <c r="M519" s="2966"/>
      <c r="N519" s="2966"/>
    </row>
    <row r="520" spans="2:14" ht="14.25" hidden="1">
      <c r="B520" s="2962"/>
      <c r="C520" s="2962" t="s">
        <v>3053</v>
      </c>
      <c r="D520" s="2962" t="s">
        <v>3054</v>
      </c>
      <c r="E520" s="2963">
        <v>15</v>
      </c>
      <c r="F520" s="2964">
        <v>2</v>
      </c>
      <c r="G520" s="2963">
        <v>604</v>
      </c>
      <c r="H520" s="2963" t="s">
        <v>3056</v>
      </c>
      <c r="I520" s="2964">
        <v>143.53</v>
      </c>
      <c r="J520" s="2964">
        <v>143.53</v>
      </c>
      <c r="K520" s="2964">
        <v>0</v>
      </c>
      <c r="L520" s="2964">
        <v>0</v>
      </c>
      <c r="M520" s="2966"/>
      <c r="N520" s="2966"/>
    </row>
    <row r="521" spans="2:14" ht="14.25" hidden="1">
      <c r="B521" s="2962"/>
      <c r="C521" s="2962" t="s">
        <v>3053</v>
      </c>
      <c r="D521" s="2962" t="s">
        <v>3054</v>
      </c>
      <c r="E521" s="2963">
        <v>15</v>
      </c>
      <c r="F521" s="2964">
        <v>2</v>
      </c>
      <c r="G521" s="2963">
        <v>703</v>
      </c>
      <c r="H521" s="2963" t="s">
        <v>3056</v>
      </c>
      <c r="I521" s="2964">
        <v>143.53</v>
      </c>
      <c r="J521" s="2964">
        <v>143.53</v>
      </c>
      <c r="K521" s="2964">
        <v>0</v>
      </c>
      <c r="L521" s="2964">
        <v>0</v>
      </c>
      <c r="M521" s="2966"/>
      <c r="N521" s="2966"/>
    </row>
    <row r="522" spans="2:14" ht="14.25" hidden="1">
      <c r="B522" s="2962"/>
      <c r="C522" s="2962" t="s">
        <v>3053</v>
      </c>
      <c r="D522" s="2962" t="s">
        <v>3054</v>
      </c>
      <c r="E522" s="2963">
        <v>15</v>
      </c>
      <c r="F522" s="2964">
        <v>2</v>
      </c>
      <c r="G522" s="2963">
        <v>704</v>
      </c>
      <c r="H522" s="2963" t="s">
        <v>3056</v>
      </c>
      <c r="I522" s="2964">
        <v>143.53</v>
      </c>
      <c r="J522" s="2964">
        <v>143.53</v>
      </c>
      <c r="K522" s="2964">
        <v>0</v>
      </c>
      <c r="L522" s="2964">
        <v>0</v>
      </c>
      <c r="M522" s="2966"/>
      <c r="N522" s="2966"/>
    </row>
    <row r="523" spans="2:14" ht="14.25" hidden="1">
      <c r="B523" s="2962"/>
      <c r="C523" s="2962" t="s">
        <v>3053</v>
      </c>
      <c r="D523" s="2962" t="s">
        <v>3054</v>
      </c>
      <c r="E523" s="2963">
        <v>15</v>
      </c>
      <c r="F523" s="2964">
        <v>2</v>
      </c>
      <c r="G523" s="2963">
        <v>803</v>
      </c>
      <c r="H523" s="2963" t="s">
        <v>3056</v>
      </c>
      <c r="I523" s="2964">
        <v>143.53</v>
      </c>
      <c r="J523" s="2964">
        <v>143.53</v>
      </c>
      <c r="K523" s="2964">
        <v>0</v>
      </c>
      <c r="L523" s="2964">
        <v>0</v>
      </c>
      <c r="M523" s="2966"/>
      <c r="N523" s="2966"/>
    </row>
    <row r="524" spans="2:14" ht="14.25" hidden="1">
      <c r="B524" s="2962"/>
      <c r="C524" s="2962" t="s">
        <v>3053</v>
      </c>
      <c r="D524" s="2962" t="s">
        <v>3054</v>
      </c>
      <c r="E524" s="2963">
        <v>15</v>
      </c>
      <c r="F524" s="2964">
        <v>2</v>
      </c>
      <c r="G524" s="2963">
        <v>804</v>
      </c>
      <c r="H524" s="2963" t="s">
        <v>3056</v>
      </c>
      <c r="I524" s="2964">
        <v>143.53</v>
      </c>
      <c r="J524" s="2964">
        <v>143.53</v>
      </c>
      <c r="K524" s="2964">
        <v>0</v>
      </c>
      <c r="L524" s="2964">
        <v>0</v>
      </c>
      <c r="M524" s="2966"/>
      <c r="N524" s="2966"/>
    </row>
    <row r="525" spans="2:14" ht="14.25" hidden="1">
      <c r="B525" s="2962"/>
      <c r="C525" s="2962" t="s">
        <v>3053</v>
      </c>
      <c r="D525" s="2962" t="s">
        <v>3054</v>
      </c>
      <c r="E525" s="2963">
        <v>15</v>
      </c>
      <c r="F525" s="2964">
        <v>2</v>
      </c>
      <c r="G525" s="2963">
        <v>903</v>
      </c>
      <c r="H525" s="2963" t="s">
        <v>3056</v>
      </c>
      <c r="I525" s="2964">
        <v>143.53</v>
      </c>
      <c r="J525" s="2964">
        <v>143.53</v>
      </c>
      <c r="K525" s="2964">
        <v>0</v>
      </c>
      <c r="L525" s="2964">
        <v>0</v>
      </c>
      <c r="M525" s="2966"/>
      <c r="N525" s="2966"/>
    </row>
    <row r="526" spans="2:14" ht="14.25" hidden="1">
      <c r="B526" s="2962"/>
      <c r="C526" s="2962" t="s">
        <v>3053</v>
      </c>
      <c r="D526" s="2962" t="s">
        <v>3054</v>
      </c>
      <c r="E526" s="2963">
        <v>15</v>
      </c>
      <c r="F526" s="2964">
        <v>2</v>
      </c>
      <c r="G526" s="2963">
        <v>904</v>
      </c>
      <c r="H526" s="2963" t="s">
        <v>3056</v>
      </c>
      <c r="I526" s="2964">
        <v>143.53</v>
      </c>
      <c r="J526" s="2964">
        <v>143.53</v>
      </c>
      <c r="K526" s="2964">
        <v>0</v>
      </c>
      <c r="L526" s="2964">
        <v>0</v>
      </c>
      <c r="M526" s="2966"/>
      <c r="N526" s="2966"/>
    </row>
    <row r="527" spans="2:14" ht="14.25">
      <c r="B527" s="2958">
        <v>70</v>
      </c>
      <c r="C527" s="2958" t="s">
        <v>3053</v>
      </c>
      <c r="D527" s="2958" t="s">
        <v>3054</v>
      </c>
      <c r="E527" s="2959">
        <v>15</v>
      </c>
      <c r="F527" s="2960">
        <v>2</v>
      </c>
      <c r="G527" s="2959">
        <v>1003</v>
      </c>
      <c r="H527" s="2959" t="s">
        <v>3055</v>
      </c>
      <c r="I527" s="2960">
        <v>143.53</v>
      </c>
      <c r="J527" s="2960">
        <v>143.53</v>
      </c>
      <c r="K527" s="2960">
        <v>0</v>
      </c>
      <c r="L527" s="2960">
        <v>0</v>
      </c>
      <c r="M527" s="2966"/>
      <c r="N527" s="2966"/>
    </row>
    <row r="528" spans="2:14" ht="14.25" hidden="1">
      <c r="B528" s="2962"/>
      <c r="C528" s="2962" t="s">
        <v>3053</v>
      </c>
      <c r="D528" s="2962" t="s">
        <v>3054</v>
      </c>
      <c r="E528" s="2963">
        <v>15</v>
      </c>
      <c r="F528" s="2964">
        <v>2</v>
      </c>
      <c r="G528" s="2963">
        <v>1004</v>
      </c>
      <c r="H528" s="2963" t="s">
        <v>3056</v>
      </c>
      <c r="I528" s="2964">
        <v>143.53</v>
      </c>
      <c r="J528" s="2964">
        <v>143.53</v>
      </c>
      <c r="K528" s="2964">
        <v>0</v>
      </c>
      <c r="L528" s="2964">
        <v>0</v>
      </c>
      <c r="M528" s="2966"/>
      <c r="N528" s="2966"/>
    </row>
    <row r="529" spans="2:14" ht="14.25">
      <c r="B529" s="2958">
        <v>71</v>
      </c>
      <c r="C529" s="2958" t="s">
        <v>3053</v>
      </c>
      <c r="D529" s="2958" t="s">
        <v>3054</v>
      </c>
      <c r="E529" s="2959">
        <v>15</v>
      </c>
      <c r="F529" s="2960">
        <v>2</v>
      </c>
      <c r="G529" s="2959">
        <v>1103</v>
      </c>
      <c r="H529" s="2959" t="s">
        <v>3055</v>
      </c>
      <c r="I529" s="2960">
        <v>200.52</v>
      </c>
      <c r="J529" s="2960">
        <v>143.75</v>
      </c>
      <c r="K529" s="2960">
        <v>56.77</v>
      </c>
      <c r="L529" s="2960">
        <v>0</v>
      </c>
      <c r="M529" s="2966"/>
      <c r="N529" s="2966"/>
    </row>
    <row r="530" spans="2:14" ht="14.25" hidden="1">
      <c r="B530" s="2962"/>
      <c r="C530" s="2962" t="s">
        <v>3053</v>
      </c>
      <c r="D530" s="2962" t="s">
        <v>3054</v>
      </c>
      <c r="E530" s="2963">
        <v>15</v>
      </c>
      <c r="F530" s="2964">
        <v>2</v>
      </c>
      <c r="G530" s="2963">
        <v>1104</v>
      </c>
      <c r="H530" s="2963" t="s">
        <v>3056</v>
      </c>
      <c r="I530" s="2964">
        <v>200.52</v>
      </c>
      <c r="J530" s="2964">
        <v>143.75</v>
      </c>
      <c r="K530" s="2964">
        <v>56.77</v>
      </c>
      <c r="L530" s="2964">
        <v>0</v>
      </c>
      <c r="M530" s="2966"/>
      <c r="N530" s="2966"/>
    </row>
    <row r="531" spans="2:14" ht="14.25">
      <c r="B531" s="2958">
        <v>72</v>
      </c>
      <c r="C531" s="2958" t="s">
        <v>3053</v>
      </c>
      <c r="D531" s="2958" t="s">
        <v>3060</v>
      </c>
      <c r="E531" s="2959">
        <v>16</v>
      </c>
      <c r="F531" s="2960">
        <v>1</v>
      </c>
      <c r="G531" s="2959">
        <v>101</v>
      </c>
      <c r="H531" s="2959" t="s">
        <v>3055</v>
      </c>
      <c r="I531" s="2960">
        <v>403.7</v>
      </c>
      <c r="J531" s="2960">
        <v>135.34</v>
      </c>
      <c r="K531" s="2960">
        <v>0</v>
      </c>
      <c r="L531" s="2960">
        <f>159.16+109.2</f>
        <v>268.36</v>
      </c>
      <c r="M531" s="2966">
        <f>52.2+52.23</f>
        <v>104.43</v>
      </c>
      <c r="N531" s="2966"/>
    </row>
    <row r="532" spans="2:14" ht="14.25">
      <c r="B532" s="2958">
        <v>73</v>
      </c>
      <c r="C532" s="2958" t="s">
        <v>3053</v>
      </c>
      <c r="D532" s="2958" t="s">
        <v>3060</v>
      </c>
      <c r="E532" s="2959">
        <v>16</v>
      </c>
      <c r="F532" s="2960">
        <v>1</v>
      </c>
      <c r="G532" s="2959">
        <v>102</v>
      </c>
      <c r="H532" s="2959" t="s">
        <v>3055</v>
      </c>
      <c r="I532" s="2960">
        <v>411.4</v>
      </c>
      <c r="J532" s="2960">
        <v>142.97999999999999</v>
      </c>
      <c r="K532" s="2960">
        <v>0</v>
      </c>
      <c r="L532" s="2960">
        <f>159.16+109.26</f>
        <v>268.42</v>
      </c>
      <c r="M532" s="2966"/>
      <c r="N532" s="2966"/>
    </row>
    <row r="533" spans="2:14" ht="14.25">
      <c r="B533" s="2958">
        <v>74</v>
      </c>
      <c r="C533" s="2958" t="s">
        <v>3053</v>
      </c>
      <c r="D533" s="2958" t="s">
        <v>3060</v>
      </c>
      <c r="E533" s="2959">
        <v>16</v>
      </c>
      <c r="F533" s="2960">
        <v>1</v>
      </c>
      <c r="G533" s="2959">
        <v>201</v>
      </c>
      <c r="H533" s="2959" t="s">
        <v>3055</v>
      </c>
      <c r="I533" s="2960">
        <v>317.01</v>
      </c>
      <c r="J533" s="2960">
        <v>162.16999999999999</v>
      </c>
      <c r="K533" s="2960">
        <v>0</v>
      </c>
      <c r="L533" s="2960">
        <f>88.32+66.52</f>
        <v>154.83999999999997</v>
      </c>
      <c r="M533" s="2966"/>
      <c r="N533" s="2966"/>
    </row>
    <row r="534" spans="2:14" ht="14.25">
      <c r="B534" s="2958">
        <v>75</v>
      </c>
      <c r="C534" s="2958" t="s">
        <v>3053</v>
      </c>
      <c r="D534" s="2958" t="s">
        <v>3060</v>
      </c>
      <c r="E534" s="2959">
        <v>16</v>
      </c>
      <c r="F534" s="2960">
        <v>1</v>
      </c>
      <c r="G534" s="2959">
        <v>202</v>
      </c>
      <c r="H534" s="2959" t="s">
        <v>3055</v>
      </c>
      <c r="I534" s="2960">
        <v>335.99</v>
      </c>
      <c r="J534" s="2960">
        <v>162.16999999999999</v>
      </c>
      <c r="K534" s="2960">
        <v>0</v>
      </c>
      <c r="L534" s="2960">
        <f>88.32+85.5</f>
        <v>173.82</v>
      </c>
      <c r="M534" s="2966"/>
      <c r="N534" s="2966"/>
    </row>
    <row r="535" spans="2:14" ht="14.25" hidden="1">
      <c r="B535" s="2962"/>
      <c r="C535" s="2962" t="s">
        <v>3053</v>
      </c>
      <c r="D535" s="2962" t="s">
        <v>3060</v>
      </c>
      <c r="E535" s="2963">
        <v>16</v>
      </c>
      <c r="F535" s="2964">
        <v>1</v>
      </c>
      <c r="G535" s="2963">
        <v>301</v>
      </c>
      <c r="H535" s="2963" t="s">
        <v>3056</v>
      </c>
      <c r="I535" s="2964">
        <v>155.63999999999999</v>
      </c>
      <c r="J535" s="2964">
        <v>155.63999999999999</v>
      </c>
      <c r="K535" s="2964">
        <v>0</v>
      </c>
      <c r="L535" s="2964">
        <v>0</v>
      </c>
      <c r="M535" s="2966"/>
      <c r="N535" s="2966"/>
    </row>
    <row r="536" spans="2:14" ht="14.25">
      <c r="B536" s="2958">
        <v>76</v>
      </c>
      <c r="C536" s="2958" t="s">
        <v>3053</v>
      </c>
      <c r="D536" s="2958" t="s">
        <v>3060</v>
      </c>
      <c r="E536" s="2959">
        <v>16</v>
      </c>
      <c r="F536" s="2960">
        <v>1</v>
      </c>
      <c r="G536" s="2959">
        <v>302</v>
      </c>
      <c r="H536" s="2959" t="s">
        <v>3055</v>
      </c>
      <c r="I536" s="2960">
        <v>155.63999999999999</v>
      </c>
      <c r="J536" s="2960">
        <v>155.63999999999999</v>
      </c>
      <c r="K536" s="2960">
        <v>0</v>
      </c>
      <c r="L536" s="2960">
        <v>0</v>
      </c>
      <c r="M536" s="2966"/>
      <c r="N536" s="2966"/>
    </row>
    <row r="537" spans="2:14" ht="14.25" hidden="1">
      <c r="B537" s="2962"/>
      <c r="C537" s="2962" t="s">
        <v>3053</v>
      </c>
      <c r="D537" s="2962" t="s">
        <v>3060</v>
      </c>
      <c r="E537" s="2963">
        <v>16</v>
      </c>
      <c r="F537" s="2964">
        <v>1</v>
      </c>
      <c r="G537" s="2963">
        <v>401</v>
      </c>
      <c r="H537" s="2963" t="s">
        <v>3056</v>
      </c>
      <c r="I537" s="2964">
        <v>155.63999999999999</v>
      </c>
      <c r="J537" s="2964">
        <v>155.63999999999999</v>
      </c>
      <c r="K537" s="2964">
        <v>0</v>
      </c>
      <c r="L537" s="2964">
        <v>0</v>
      </c>
      <c r="M537" s="2966"/>
      <c r="N537" s="2966"/>
    </row>
    <row r="538" spans="2:14" ht="14.25">
      <c r="B538" s="2958">
        <v>77</v>
      </c>
      <c r="C538" s="2958" t="s">
        <v>3053</v>
      </c>
      <c r="D538" s="2958" t="s">
        <v>3060</v>
      </c>
      <c r="E538" s="2959">
        <v>16</v>
      </c>
      <c r="F538" s="2960">
        <v>1</v>
      </c>
      <c r="G538" s="2959">
        <v>402</v>
      </c>
      <c r="H538" s="2959" t="s">
        <v>3055</v>
      </c>
      <c r="I538" s="2960">
        <v>155.63999999999999</v>
      </c>
      <c r="J538" s="2960">
        <v>155.63999999999999</v>
      </c>
      <c r="K538" s="2960">
        <v>0</v>
      </c>
      <c r="L538" s="2960">
        <v>0</v>
      </c>
      <c r="M538" s="2966"/>
      <c r="N538" s="2966"/>
    </row>
    <row r="539" spans="2:14" ht="14.25" hidden="1">
      <c r="B539" s="2962"/>
      <c r="C539" s="2962" t="s">
        <v>3053</v>
      </c>
      <c r="D539" s="2962" t="s">
        <v>3060</v>
      </c>
      <c r="E539" s="2963">
        <v>16</v>
      </c>
      <c r="F539" s="2964">
        <v>1</v>
      </c>
      <c r="G539" s="2963">
        <v>501</v>
      </c>
      <c r="H539" s="2963" t="s">
        <v>3056</v>
      </c>
      <c r="I539" s="2964">
        <v>155.63999999999999</v>
      </c>
      <c r="J539" s="2964">
        <v>155.63999999999999</v>
      </c>
      <c r="K539" s="2964">
        <v>0</v>
      </c>
      <c r="L539" s="2964">
        <v>0</v>
      </c>
      <c r="M539" s="2966"/>
      <c r="N539" s="2966"/>
    </row>
    <row r="540" spans="2:14" ht="14.25" hidden="1">
      <c r="B540" s="2962"/>
      <c r="C540" s="2962" t="s">
        <v>3053</v>
      </c>
      <c r="D540" s="2962" t="s">
        <v>3060</v>
      </c>
      <c r="E540" s="2963">
        <v>16</v>
      </c>
      <c r="F540" s="2964">
        <v>1</v>
      </c>
      <c r="G540" s="2963">
        <v>502</v>
      </c>
      <c r="H540" s="2963" t="s">
        <v>3056</v>
      </c>
      <c r="I540" s="2964">
        <v>155.63999999999999</v>
      </c>
      <c r="J540" s="2964">
        <v>155.63999999999999</v>
      </c>
      <c r="K540" s="2964">
        <v>0</v>
      </c>
      <c r="L540" s="2964">
        <v>0</v>
      </c>
      <c r="M540" s="2966"/>
      <c r="N540" s="2966"/>
    </row>
    <row r="541" spans="2:14" ht="14.25" hidden="1">
      <c r="B541" s="2962"/>
      <c r="C541" s="2962" t="s">
        <v>3053</v>
      </c>
      <c r="D541" s="2962" t="s">
        <v>3060</v>
      </c>
      <c r="E541" s="2963">
        <v>16</v>
      </c>
      <c r="F541" s="2964">
        <v>1</v>
      </c>
      <c r="G541" s="2963">
        <v>601</v>
      </c>
      <c r="H541" s="2963" t="s">
        <v>3056</v>
      </c>
      <c r="I541" s="2964">
        <v>212.59</v>
      </c>
      <c r="J541" s="2964">
        <v>155.63999999999999</v>
      </c>
      <c r="K541" s="2964">
        <v>56.95</v>
      </c>
      <c r="L541" s="2964">
        <v>0</v>
      </c>
      <c r="M541" s="2966"/>
      <c r="N541" s="2966"/>
    </row>
    <row r="542" spans="2:14" ht="14.25">
      <c r="B542" s="2958">
        <v>78</v>
      </c>
      <c r="C542" s="2958" t="s">
        <v>3053</v>
      </c>
      <c r="D542" s="2958" t="s">
        <v>3060</v>
      </c>
      <c r="E542" s="2959">
        <v>16</v>
      </c>
      <c r="F542" s="2960">
        <v>1</v>
      </c>
      <c r="G542" s="2959">
        <v>602</v>
      </c>
      <c r="H542" s="2959" t="s">
        <v>3055</v>
      </c>
      <c r="I542" s="2960">
        <v>228.71</v>
      </c>
      <c r="J542" s="2960">
        <v>155.63999999999999</v>
      </c>
      <c r="K542" s="2960">
        <v>73.069999999999993</v>
      </c>
      <c r="L542" s="2960">
        <v>0</v>
      </c>
      <c r="M542" s="2966"/>
      <c r="N542" s="2966"/>
    </row>
    <row r="543" spans="2:14" ht="14.25">
      <c r="B543" s="2958">
        <v>79</v>
      </c>
      <c r="C543" s="2958" t="s">
        <v>3053</v>
      </c>
      <c r="D543" s="2958" t="s">
        <v>3060</v>
      </c>
      <c r="E543" s="2959">
        <v>16</v>
      </c>
      <c r="F543" s="2960">
        <v>2</v>
      </c>
      <c r="G543" s="2959">
        <v>103</v>
      </c>
      <c r="H543" s="2959" t="s">
        <v>3055</v>
      </c>
      <c r="I543" s="2960">
        <v>411.39</v>
      </c>
      <c r="J543" s="2960">
        <v>142.97999999999999</v>
      </c>
      <c r="K543" s="2960">
        <v>0</v>
      </c>
      <c r="L543" s="2960">
        <f>159.16+109.25</f>
        <v>268.40999999999997</v>
      </c>
      <c r="M543" s="2966"/>
      <c r="N543" s="2966"/>
    </row>
    <row r="544" spans="2:14" ht="14.25">
      <c r="B544" s="2958">
        <v>80</v>
      </c>
      <c r="C544" s="2958" t="s">
        <v>3053</v>
      </c>
      <c r="D544" s="2958" t="s">
        <v>3060</v>
      </c>
      <c r="E544" s="2959">
        <v>16</v>
      </c>
      <c r="F544" s="2960">
        <v>2</v>
      </c>
      <c r="G544" s="2959">
        <v>104</v>
      </c>
      <c r="H544" s="2959" t="s">
        <v>3055</v>
      </c>
      <c r="I544" s="2960">
        <v>403.69</v>
      </c>
      <c r="J544" s="2960">
        <v>135.34</v>
      </c>
      <c r="K544" s="2960">
        <v>0</v>
      </c>
      <c r="L544" s="2960">
        <f>159.16+109.19</f>
        <v>268.35000000000002</v>
      </c>
      <c r="M544" s="2966"/>
      <c r="N544" s="2966"/>
    </row>
    <row r="545" spans="2:14" ht="14.25">
      <c r="B545" s="2958">
        <v>81</v>
      </c>
      <c r="C545" s="2958" t="s">
        <v>3053</v>
      </c>
      <c r="D545" s="2958" t="s">
        <v>3060</v>
      </c>
      <c r="E545" s="2959">
        <v>16</v>
      </c>
      <c r="F545" s="2960">
        <v>2</v>
      </c>
      <c r="G545" s="2959">
        <v>203</v>
      </c>
      <c r="H545" s="2959" t="s">
        <v>3055</v>
      </c>
      <c r="I545" s="2960">
        <v>335.98</v>
      </c>
      <c r="J545" s="2960">
        <v>162.16999999999999</v>
      </c>
      <c r="K545" s="2960">
        <v>0</v>
      </c>
      <c r="L545" s="2960">
        <f>88.32+85.49</f>
        <v>173.81</v>
      </c>
      <c r="M545" s="2966"/>
      <c r="N545" s="2966"/>
    </row>
    <row r="546" spans="2:14" ht="14.25">
      <c r="B546" s="2958">
        <v>82</v>
      </c>
      <c r="C546" s="2958" t="s">
        <v>3053</v>
      </c>
      <c r="D546" s="2958" t="s">
        <v>3060</v>
      </c>
      <c r="E546" s="2959">
        <v>16</v>
      </c>
      <c r="F546" s="2960">
        <v>2</v>
      </c>
      <c r="G546" s="2959">
        <v>204</v>
      </c>
      <c r="H546" s="2959" t="s">
        <v>3055</v>
      </c>
      <c r="I546" s="2960">
        <v>317</v>
      </c>
      <c r="J546" s="2960">
        <v>162.16999999999999</v>
      </c>
      <c r="K546" s="2960">
        <v>0</v>
      </c>
      <c r="L546" s="2960">
        <f>88.32+66.51</f>
        <v>154.82999999999998</v>
      </c>
      <c r="M546" s="2966"/>
      <c r="N546" s="2966"/>
    </row>
    <row r="547" spans="2:14" ht="14.25" hidden="1">
      <c r="B547" s="2962"/>
      <c r="C547" s="2962" t="s">
        <v>3053</v>
      </c>
      <c r="D547" s="2962" t="s">
        <v>3060</v>
      </c>
      <c r="E547" s="2963">
        <v>16</v>
      </c>
      <c r="F547" s="2964">
        <v>2</v>
      </c>
      <c r="G547" s="2963">
        <v>303</v>
      </c>
      <c r="H547" s="2963" t="s">
        <v>3056</v>
      </c>
      <c r="I547" s="2964">
        <v>155.63999999999999</v>
      </c>
      <c r="J547" s="2964">
        <v>155.63999999999999</v>
      </c>
      <c r="K547" s="2964">
        <v>0</v>
      </c>
      <c r="L547" s="2964">
        <v>0</v>
      </c>
      <c r="M547" s="2966"/>
      <c r="N547" s="2966"/>
    </row>
    <row r="548" spans="2:14" ht="14.25">
      <c r="B548" s="2958">
        <v>83</v>
      </c>
      <c r="C548" s="2958" t="s">
        <v>3053</v>
      </c>
      <c r="D548" s="2958" t="s">
        <v>3060</v>
      </c>
      <c r="E548" s="2959">
        <v>16</v>
      </c>
      <c r="F548" s="2960">
        <v>2</v>
      </c>
      <c r="G548" s="2959">
        <v>304</v>
      </c>
      <c r="H548" s="2959" t="s">
        <v>3055</v>
      </c>
      <c r="I548" s="2960">
        <v>155.63999999999999</v>
      </c>
      <c r="J548" s="2960">
        <v>155.63999999999999</v>
      </c>
      <c r="K548" s="2960">
        <v>0</v>
      </c>
      <c r="L548" s="2960">
        <v>0</v>
      </c>
      <c r="M548" s="2966"/>
      <c r="N548" s="2966"/>
    </row>
    <row r="549" spans="2:14" ht="14.25">
      <c r="B549" s="2958">
        <v>84</v>
      </c>
      <c r="C549" s="2958" t="s">
        <v>3053</v>
      </c>
      <c r="D549" s="2958" t="s">
        <v>3060</v>
      </c>
      <c r="E549" s="2959">
        <v>16</v>
      </c>
      <c r="F549" s="2960">
        <v>2</v>
      </c>
      <c r="G549" s="2959">
        <v>403</v>
      </c>
      <c r="H549" s="2959" t="s">
        <v>3055</v>
      </c>
      <c r="I549" s="2960">
        <v>155.63999999999999</v>
      </c>
      <c r="J549" s="2960">
        <v>155.63999999999999</v>
      </c>
      <c r="K549" s="2960">
        <v>0</v>
      </c>
      <c r="L549" s="2960">
        <v>0</v>
      </c>
      <c r="M549" s="2966"/>
      <c r="N549" s="2966"/>
    </row>
    <row r="550" spans="2:14" ht="14.25" hidden="1">
      <c r="B550" s="2962"/>
      <c r="C550" s="2962" t="s">
        <v>3053</v>
      </c>
      <c r="D550" s="2962" t="s">
        <v>3060</v>
      </c>
      <c r="E550" s="2963">
        <v>16</v>
      </c>
      <c r="F550" s="2964">
        <v>2</v>
      </c>
      <c r="G550" s="2963">
        <v>404</v>
      </c>
      <c r="H550" s="2963" t="s">
        <v>3056</v>
      </c>
      <c r="I550" s="2964">
        <v>155.63999999999999</v>
      </c>
      <c r="J550" s="2964">
        <v>155.63999999999999</v>
      </c>
      <c r="K550" s="2964">
        <v>0</v>
      </c>
      <c r="L550" s="2964">
        <v>0</v>
      </c>
      <c r="M550" s="2966"/>
      <c r="N550" s="2966"/>
    </row>
    <row r="551" spans="2:14" ht="14.25">
      <c r="B551" s="2958">
        <v>85</v>
      </c>
      <c r="C551" s="2958" t="s">
        <v>3053</v>
      </c>
      <c r="D551" s="2958" t="s">
        <v>3060</v>
      </c>
      <c r="E551" s="2959">
        <v>16</v>
      </c>
      <c r="F551" s="2960">
        <v>2</v>
      </c>
      <c r="G551" s="2959">
        <v>503</v>
      </c>
      <c r="H551" s="2959" t="s">
        <v>3055</v>
      </c>
      <c r="I551" s="2960">
        <v>155.63999999999999</v>
      </c>
      <c r="J551" s="2960">
        <v>155.63999999999999</v>
      </c>
      <c r="K551" s="2960">
        <v>0</v>
      </c>
      <c r="L551" s="2960">
        <v>0</v>
      </c>
      <c r="M551" s="2966"/>
      <c r="N551" s="2966"/>
    </row>
    <row r="552" spans="2:14" ht="14.25">
      <c r="B552" s="2958">
        <v>86</v>
      </c>
      <c r="C552" s="2958" t="s">
        <v>3053</v>
      </c>
      <c r="D552" s="2958" t="s">
        <v>3060</v>
      </c>
      <c r="E552" s="2959">
        <v>16</v>
      </c>
      <c r="F552" s="2960">
        <v>2</v>
      </c>
      <c r="G552" s="2959">
        <v>504</v>
      </c>
      <c r="H552" s="2959" t="s">
        <v>3055</v>
      </c>
      <c r="I552" s="2960">
        <v>155.63999999999999</v>
      </c>
      <c r="J552" s="2960">
        <v>155.63999999999999</v>
      </c>
      <c r="K552" s="2960">
        <v>0</v>
      </c>
      <c r="L552" s="2960">
        <v>0</v>
      </c>
      <c r="M552" s="2966"/>
      <c r="N552" s="2966"/>
    </row>
    <row r="553" spans="2:14" ht="14.25">
      <c r="B553" s="2958">
        <v>87</v>
      </c>
      <c r="C553" s="2958" t="s">
        <v>3053</v>
      </c>
      <c r="D553" s="2958" t="s">
        <v>3060</v>
      </c>
      <c r="E553" s="2959">
        <v>16</v>
      </c>
      <c r="F553" s="2960">
        <v>2</v>
      </c>
      <c r="G553" s="2959">
        <v>603</v>
      </c>
      <c r="H553" s="2959" t="s">
        <v>3055</v>
      </c>
      <c r="I553" s="2960">
        <v>228.71</v>
      </c>
      <c r="J553" s="2960">
        <v>155.63999999999999</v>
      </c>
      <c r="K553" s="2960">
        <v>73.069999999999993</v>
      </c>
      <c r="L553" s="2960">
        <v>0</v>
      </c>
      <c r="M553" s="2966"/>
      <c r="N553" s="2966"/>
    </row>
    <row r="554" spans="2:14" ht="14.25">
      <c r="B554" s="2958">
        <v>88</v>
      </c>
      <c r="C554" s="2958" t="s">
        <v>3053</v>
      </c>
      <c r="D554" s="2958" t="s">
        <v>3060</v>
      </c>
      <c r="E554" s="2959">
        <v>16</v>
      </c>
      <c r="F554" s="2960">
        <v>2</v>
      </c>
      <c r="G554" s="2959">
        <v>604</v>
      </c>
      <c r="H554" s="2959" t="s">
        <v>3055</v>
      </c>
      <c r="I554" s="2960">
        <v>212.59</v>
      </c>
      <c r="J554" s="2960">
        <v>155.63999999999999</v>
      </c>
      <c r="K554" s="2960">
        <v>56.95</v>
      </c>
      <c r="L554" s="2960">
        <v>0</v>
      </c>
      <c r="M554" s="2966"/>
      <c r="N554" s="2966"/>
    </row>
    <row r="555" spans="2:14" ht="14.25">
      <c r="B555" s="2958">
        <v>89</v>
      </c>
      <c r="C555" s="2958" t="s">
        <v>3053</v>
      </c>
      <c r="D555" s="2958" t="s">
        <v>3060</v>
      </c>
      <c r="E555" s="2959">
        <v>17</v>
      </c>
      <c r="F555" s="2960">
        <v>1</v>
      </c>
      <c r="G555" s="2959">
        <v>101</v>
      </c>
      <c r="H555" s="2959" t="s">
        <v>3055</v>
      </c>
      <c r="I555" s="2960">
        <v>403.29</v>
      </c>
      <c r="J555" s="2960">
        <v>135.4</v>
      </c>
      <c r="K555" s="2960">
        <v>0</v>
      </c>
      <c r="L555" s="2960">
        <f>158.87+109.02</f>
        <v>267.89</v>
      </c>
      <c r="M555" s="2966">
        <f>52.1+52.1</f>
        <v>104.2</v>
      </c>
      <c r="N555" s="2966"/>
    </row>
    <row r="556" spans="2:14" ht="14.25" hidden="1">
      <c r="B556" s="2962"/>
      <c r="C556" s="2962" t="s">
        <v>3053</v>
      </c>
      <c r="D556" s="2962" t="s">
        <v>3060</v>
      </c>
      <c r="E556" s="2963">
        <v>17</v>
      </c>
      <c r="F556" s="2964">
        <v>1</v>
      </c>
      <c r="G556" s="2963">
        <v>102</v>
      </c>
      <c r="H556" s="2963" t="s">
        <v>3056</v>
      </c>
      <c r="I556" s="2964">
        <v>411.01</v>
      </c>
      <c r="J556" s="2964">
        <v>143.06</v>
      </c>
      <c r="K556" s="2964">
        <v>0</v>
      </c>
      <c r="L556" s="2964">
        <f>158.87+109.08</f>
        <v>267.95</v>
      </c>
      <c r="M556" s="2966"/>
      <c r="N556" s="2966"/>
    </row>
    <row r="557" spans="2:14" ht="14.25">
      <c r="B557" s="2958">
        <v>90</v>
      </c>
      <c r="C557" s="2958" t="s">
        <v>3053</v>
      </c>
      <c r="D557" s="2958" t="s">
        <v>3060</v>
      </c>
      <c r="E557" s="2959">
        <v>17</v>
      </c>
      <c r="F557" s="2960">
        <v>1</v>
      </c>
      <c r="G557" s="2959">
        <v>201</v>
      </c>
      <c r="H557" s="2959" t="s">
        <v>3055</v>
      </c>
      <c r="I557" s="2960">
        <v>316.82</v>
      </c>
      <c r="J557" s="2960">
        <v>162.26</v>
      </c>
      <c r="K557" s="2960">
        <v>0</v>
      </c>
      <c r="L557" s="2960">
        <f>88.15+66.41</f>
        <v>154.56</v>
      </c>
      <c r="M557" s="2966"/>
      <c r="N557" s="2966"/>
    </row>
    <row r="558" spans="2:14" ht="14.25">
      <c r="B558" s="2958">
        <v>91</v>
      </c>
      <c r="C558" s="2958" t="s">
        <v>3053</v>
      </c>
      <c r="D558" s="2958" t="s">
        <v>3060</v>
      </c>
      <c r="E558" s="2959">
        <v>17</v>
      </c>
      <c r="F558" s="2960">
        <v>1</v>
      </c>
      <c r="G558" s="2959">
        <v>202</v>
      </c>
      <c r="H558" s="2959" t="s">
        <v>3055</v>
      </c>
      <c r="I558" s="2960">
        <v>335.74</v>
      </c>
      <c r="J558" s="2960">
        <v>162.26</v>
      </c>
      <c r="K558" s="2960">
        <v>0</v>
      </c>
      <c r="L558" s="2960">
        <f>88.15+85.33</f>
        <v>173.48000000000002</v>
      </c>
      <c r="M558" s="2966"/>
      <c r="N558" s="2966"/>
    </row>
    <row r="559" spans="2:14" ht="14.25" hidden="1">
      <c r="B559" s="2962"/>
      <c r="C559" s="2962" t="s">
        <v>3053</v>
      </c>
      <c r="D559" s="2962" t="s">
        <v>3060</v>
      </c>
      <c r="E559" s="2963">
        <v>17</v>
      </c>
      <c r="F559" s="2964">
        <v>1</v>
      </c>
      <c r="G559" s="2963">
        <v>301</v>
      </c>
      <c r="H559" s="2963" t="s">
        <v>3056</v>
      </c>
      <c r="I559" s="2964">
        <v>155.72</v>
      </c>
      <c r="J559" s="2964">
        <v>155.72</v>
      </c>
      <c r="K559" s="2964">
        <v>0</v>
      </c>
      <c r="L559" s="2964">
        <v>0</v>
      </c>
      <c r="M559" s="2966"/>
      <c r="N559" s="2966"/>
    </row>
    <row r="560" spans="2:14" ht="14.25" hidden="1">
      <c r="B560" s="2962"/>
      <c r="C560" s="2962" t="s">
        <v>3053</v>
      </c>
      <c r="D560" s="2962" t="s">
        <v>3060</v>
      </c>
      <c r="E560" s="2963">
        <v>17</v>
      </c>
      <c r="F560" s="2964">
        <v>1</v>
      </c>
      <c r="G560" s="2963">
        <v>302</v>
      </c>
      <c r="H560" s="2963" t="s">
        <v>3056</v>
      </c>
      <c r="I560" s="2964">
        <v>155.72</v>
      </c>
      <c r="J560" s="2964">
        <v>155.72</v>
      </c>
      <c r="K560" s="2964">
        <v>0</v>
      </c>
      <c r="L560" s="2964">
        <v>0</v>
      </c>
      <c r="M560" s="2966"/>
      <c r="N560" s="2966"/>
    </row>
    <row r="561" spans="2:14" ht="14.25" hidden="1">
      <c r="B561" s="2962"/>
      <c r="C561" s="2962" t="s">
        <v>3053</v>
      </c>
      <c r="D561" s="2962" t="s">
        <v>3060</v>
      </c>
      <c r="E561" s="2963">
        <v>17</v>
      </c>
      <c r="F561" s="2964">
        <v>1</v>
      </c>
      <c r="G561" s="2963">
        <v>401</v>
      </c>
      <c r="H561" s="2963" t="s">
        <v>3056</v>
      </c>
      <c r="I561" s="2964">
        <v>155.72</v>
      </c>
      <c r="J561" s="2964">
        <v>155.72</v>
      </c>
      <c r="K561" s="2964">
        <v>0</v>
      </c>
      <c r="L561" s="2964">
        <v>0</v>
      </c>
      <c r="M561" s="2966"/>
      <c r="N561" s="2966"/>
    </row>
    <row r="562" spans="2:14" ht="14.25" hidden="1">
      <c r="B562" s="2962"/>
      <c r="C562" s="2962" t="s">
        <v>3053</v>
      </c>
      <c r="D562" s="2962" t="s">
        <v>3060</v>
      </c>
      <c r="E562" s="2963">
        <v>17</v>
      </c>
      <c r="F562" s="2964">
        <v>1</v>
      </c>
      <c r="G562" s="2963">
        <v>402</v>
      </c>
      <c r="H562" s="2963" t="s">
        <v>3056</v>
      </c>
      <c r="I562" s="2964">
        <v>155.72</v>
      </c>
      <c r="J562" s="2964">
        <v>155.72</v>
      </c>
      <c r="K562" s="2964">
        <v>0</v>
      </c>
      <c r="L562" s="2964">
        <v>0</v>
      </c>
      <c r="M562" s="2966"/>
      <c r="N562" s="2966"/>
    </row>
    <row r="563" spans="2:14" ht="14.25" hidden="1">
      <c r="B563" s="2962"/>
      <c r="C563" s="2962" t="s">
        <v>3053</v>
      </c>
      <c r="D563" s="2962" t="s">
        <v>3060</v>
      </c>
      <c r="E563" s="2963">
        <v>17</v>
      </c>
      <c r="F563" s="2964">
        <v>1</v>
      </c>
      <c r="G563" s="2963">
        <v>501</v>
      </c>
      <c r="H563" s="2963" t="s">
        <v>3056</v>
      </c>
      <c r="I563" s="2964">
        <v>155.72</v>
      </c>
      <c r="J563" s="2964">
        <v>155.72</v>
      </c>
      <c r="K563" s="2964">
        <v>0</v>
      </c>
      <c r="L563" s="2964">
        <v>0</v>
      </c>
      <c r="M563" s="2966"/>
      <c r="N563" s="2966"/>
    </row>
    <row r="564" spans="2:14" ht="14.25" hidden="1">
      <c r="B564" s="2962"/>
      <c r="C564" s="2962" t="s">
        <v>3053</v>
      </c>
      <c r="D564" s="2962" t="s">
        <v>3060</v>
      </c>
      <c r="E564" s="2963">
        <v>17</v>
      </c>
      <c r="F564" s="2964">
        <v>1</v>
      </c>
      <c r="G564" s="2963">
        <v>502</v>
      </c>
      <c r="H564" s="2963" t="s">
        <v>3056</v>
      </c>
      <c r="I564" s="2964">
        <v>155.72</v>
      </c>
      <c r="J564" s="2964">
        <v>155.72</v>
      </c>
      <c r="K564" s="2964">
        <v>0</v>
      </c>
      <c r="L564" s="2964">
        <v>0</v>
      </c>
      <c r="M564" s="2966"/>
      <c r="N564" s="2966"/>
    </row>
    <row r="565" spans="2:14" ht="14.25" hidden="1">
      <c r="B565" s="2962"/>
      <c r="C565" s="2962" t="s">
        <v>3053</v>
      </c>
      <c r="D565" s="2962" t="s">
        <v>3060</v>
      </c>
      <c r="E565" s="2963">
        <v>17</v>
      </c>
      <c r="F565" s="2964">
        <v>1</v>
      </c>
      <c r="G565" s="2963">
        <v>601</v>
      </c>
      <c r="H565" s="2963" t="s">
        <v>3056</v>
      </c>
      <c r="I565" s="2964">
        <v>155.72</v>
      </c>
      <c r="J565" s="2964">
        <v>155.72</v>
      </c>
      <c r="K565" s="2964">
        <v>0</v>
      </c>
      <c r="L565" s="2964">
        <v>0</v>
      </c>
      <c r="M565" s="2966"/>
      <c r="N565" s="2966"/>
    </row>
    <row r="566" spans="2:14" ht="14.25" hidden="1">
      <c r="B566" s="2962"/>
      <c r="C566" s="2962" t="s">
        <v>3053</v>
      </c>
      <c r="D566" s="2962" t="s">
        <v>3060</v>
      </c>
      <c r="E566" s="2963">
        <v>17</v>
      </c>
      <c r="F566" s="2964">
        <v>1</v>
      </c>
      <c r="G566" s="2963">
        <v>602</v>
      </c>
      <c r="H566" s="2963" t="s">
        <v>3056</v>
      </c>
      <c r="I566" s="2964">
        <v>155.72</v>
      </c>
      <c r="J566" s="2964">
        <v>155.72</v>
      </c>
      <c r="K566" s="2964">
        <v>0</v>
      </c>
      <c r="L566" s="2964">
        <v>0</v>
      </c>
      <c r="M566" s="2966"/>
      <c r="N566" s="2966"/>
    </row>
    <row r="567" spans="2:14" ht="14.25" hidden="1">
      <c r="B567" s="2962"/>
      <c r="C567" s="2962" t="s">
        <v>3053</v>
      </c>
      <c r="D567" s="2962" t="s">
        <v>3060</v>
      </c>
      <c r="E567" s="2963">
        <v>17</v>
      </c>
      <c r="F567" s="2964">
        <v>1</v>
      </c>
      <c r="G567" s="2963">
        <v>701</v>
      </c>
      <c r="H567" s="2963" t="s">
        <v>3056</v>
      </c>
      <c r="I567" s="2964">
        <v>212.68</v>
      </c>
      <c r="J567" s="2964">
        <v>155.72</v>
      </c>
      <c r="K567" s="2964">
        <v>56.96</v>
      </c>
      <c r="L567" s="2964">
        <v>0</v>
      </c>
      <c r="M567" s="2966"/>
      <c r="N567" s="2966"/>
    </row>
    <row r="568" spans="2:14" ht="14.25">
      <c r="B568" s="2958">
        <v>92</v>
      </c>
      <c r="C568" s="2958" t="s">
        <v>3053</v>
      </c>
      <c r="D568" s="2958" t="s">
        <v>3060</v>
      </c>
      <c r="E568" s="2959">
        <v>17</v>
      </c>
      <c r="F568" s="2960">
        <v>1</v>
      </c>
      <c r="G568" s="2959">
        <v>702</v>
      </c>
      <c r="H568" s="2959" t="s">
        <v>3055</v>
      </c>
      <c r="I568" s="2960">
        <v>228.8</v>
      </c>
      <c r="J568" s="2960">
        <v>155.72</v>
      </c>
      <c r="K568" s="2960">
        <v>73.08</v>
      </c>
      <c r="L568" s="2960">
        <v>0</v>
      </c>
      <c r="M568" s="2966"/>
      <c r="N568" s="2966"/>
    </row>
    <row r="569" spans="2:14" ht="14.25">
      <c r="B569" s="2958">
        <v>93</v>
      </c>
      <c r="C569" s="2958" t="s">
        <v>3053</v>
      </c>
      <c r="D569" s="2958" t="s">
        <v>3060</v>
      </c>
      <c r="E569" s="2959">
        <v>17</v>
      </c>
      <c r="F569" s="2960">
        <v>2</v>
      </c>
      <c r="G569" s="2959">
        <v>103</v>
      </c>
      <c r="H569" s="2959" t="s">
        <v>3055</v>
      </c>
      <c r="I569" s="2960">
        <v>411.01</v>
      </c>
      <c r="J569" s="2960">
        <v>143.06</v>
      </c>
      <c r="K569" s="2960">
        <v>0</v>
      </c>
      <c r="L569" s="2960">
        <f>158.87+109.08</f>
        <v>267.95</v>
      </c>
      <c r="M569" s="2966"/>
      <c r="N569" s="2966"/>
    </row>
    <row r="570" spans="2:14" ht="14.25" hidden="1">
      <c r="B570" s="2962"/>
      <c r="C570" s="2962" t="s">
        <v>3053</v>
      </c>
      <c r="D570" s="2962" t="s">
        <v>3060</v>
      </c>
      <c r="E570" s="2963">
        <v>17</v>
      </c>
      <c r="F570" s="2964">
        <v>2</v>
      </c>
      <c r="G570" s="2963">
        <v>104</v>
      </c>
      <c r="H570" s="2963" t="s">
        <v>3056</v>
      </c>
      <c r="I570" s="2964">
        <v>403.29</v>
      </c>
      <c r="J570" s="2964">
        <v>135.4</v>
      </c>
      <c r="K570" s="2964">
        <v>0</v>
      </c>
      <c r="L570" s="2964">
        <f>158.87+109.02</f>
        <v>267.89</v>
      </c>
      <c r="M570" s="2966"/>
      <c r="N570" s="2966"/>
    </row>
    <row r="571" spans="2:14" ht="14.25">
      <c r="B571" s="2958">
        <v>94</v>
      </c>
      <c r="C571" s="2958" t="s">
        <v>3053</v>
      </c>
      <c r="D571" s="2958" t="s">
        <v>3060</v>
      </c>
      <c r="E571" s="2959">
        <v>17</v>
      </c>
      <c r="F571" s="2960">
        <v>2</v>
      </c>
      <c r="G571" s="2959">
        <v>203</v>
      </c>
      <c r="H571" s="2959" t="s">
        <v>3055</v>
      </c>
      <c r="I571" s="2960">
        <v>335.74</v>
      </c>
      <c r="J571" s="2960">
        <v>162.26</v>
      </c>
      <c r="K571" s="2960">
        <v>0</v>
      </c>
      <c r="L571" s="2960">
        <f>88.15+85.33</f>
        <v>173.48000000000002</v>
      </c>
      <c r="M571" s="2966"/>
      <c r="N571" s="2966"/>
    </row>
    <row r="572" spans="2:14" ht="14.25">
      <c r="B572" s="2958">
        <v>95</v>
      </c>
      <c r="C572" s="2958" t="s">
        <v>3053</v>
      </c>
      <c r="D572" s="2958" t="s">
        <v>3060</v>
      </c>
      <c r="E572" s="2959">
        <v>17</v>
      </c>
      <c r="F572" s="2960">
        <v>2</v>
      </c>
      <c r="G572" s="2959">
        <v>204</v>
      </c>
      <c r="H572" s="2959" t="s">
        <v>3055</v>
      </c>
      <c r="I572" s="2960">
        <v>316.82</v>
      </c>
      <c r="J572" s="2960">
        <v>162.26</v>
      </c>
      <c r="K572" s="2960">
        <v>0</v>
      </c>
      <c r="L572" s="2960">
        <f>88.15+66.41</f>
        <v>154.56</v>
      </c>
      <c r="M572" s="2968"/>
      <c r="N572" s="2968"/>
    </row>
    <row r="573" spans="2:14" ht="14.25" hidden="1">
      <c r="B573" s="2962"/>
      <c r="C573" s="2962" t="s">
        <v>3053</v>
      </c>
      <c r="D573" s="2962" t="s">
        <v>3060</v>
      </c>
      <c r="E573" s="2963">
        <v>17</v>
      </c>
      <c r="F573" s="2964">
        <v>2</v>
      </c>
      <c r="G573" s="2963">
        <v>303</v>
      </c>
      <c r="H573" s="2963" t="s">
        <v>3056</v>
      </c>
      <c r="I573" s="2964">
        <v>155.72</v>
      </c>
      <c r="J573" s="2964">
        <v>155.72</v>
      </c>
      <c r="K573" s="2964">
        <v>0</v>
      </c>
      <c r="L573" s="2964">
        <v>0</v>
      </c>
      <c r="M573" s="2968"/>
      <c r="N573" s="2968"/>
    </row>
    <row r="574" spans="2:14" ht="14.25" hidden="1">
      <c r="B574" s="2962"/>
      <c r="C574" s="2962" t="s">
        <v>3053</v>
      </c>
      <c r="D574" s="2962" t="s">
        <v>3060</v>
      </c>
      <c r="E574" s="2963">
        <v>17</v>
      </c>
      <c r="F574" s="2964">
        <v>2</v>
      </c>
      <c r="G574" s="2963">
        <v>304</v>
      </c>
      <c r="H574" s="2963" t="s">
        <v>3056</v>
      </c>
      <c r="I574" s="2964">
        <v>155.72</v>
      </c>
      <c r="J574" s="2964">
        <v>155.72</v>
      </c>
      <c r="K574" s="2964">
        <v>0</v>
      </c>
      <c r="L574" s="2964">
        <v>0</v>
      </c>
      <c r="M574" s="2968"/>
      <c r="N574" s="2968"/>
    </row>
    <row r="575" spans="2:14" ht="14.25" hidden="1">
      <c r="B575" s="2962"/>
      <c r="C575" s="2962" t="s">
        <v>3053</v>
      </c>
      <c r="D575" s="2962" t="s">
        <v>3060</v>
      </c>
      <c r="E575" s="2963">
        <v>17</v>
      </c>
      <c r="F575" s="2964">
        <v>2</v>
      </c>
      <c r="G575" s="2963">
        <v>403</v>
      </c>
      <c r="H575" s="2963" t="s">
        <v>3056</v>
      </c>
      <c r="I575" s="2964">
        <v>155.72</v>
      </c>
      <c r="J575" s="2964">
        <v>155.72</v>
      </c>
      <c r="K575" s="2964">
        <v>0</v>
      </c>
      <c r="L575" s="2964">
        <v>0</v>
      </c>
      <c r="M575" s="2968"/>
      <c r="N575" s="2968"/>
    </row>
    <row r="576" spans="2:14" ht="14.25" hidden="1">
      <c r="B576" s="2962"/>
      <c r="C576" s="2962" t="s">
        <v>3053</v>
      </c>
      <c r="D576" s="2962" t="s">
        <v>3060</v>
      </c>
      <c r="E576" s="2963">
        <v>17</v>
      </c>
      <c r="F576" s="2964">
        <v>2</v>
      </c>
      <c r="G576" s="2963">
        <v>404</v>
      </c>
      <c r="H576" s="2963" t="s">
        <v>3056</v>
      </c>
      <c r="I576" s="2964">
        <v>155.72</v>
      </c>
      <c r="J576" s="2964">
        <v>155.72</v>
      </c>
      <c r="K576" s="2964">
        <v>0</v>
      </c>
      <c r="L576" s="2964">
        <v>0</v>
      </c>
      <c r="M576" s="2968"/>
      <c r="N576" s="2968"/>
    </row>
    <row r="577" spans="2:14" ht="14.25" hidden="1">
      <c r="B577" s="2962"/>
      <c r="C577" s="2962" t="s">
        <v>3053</v>
      </c>
      <c r="D577" s="2962" t="s">
        <v>3060</v>
      </c>
      <c r="E577" s="2963">
        <v>17</v>
      </c>
      <c r="F577" s="2964">
        <v>2</v>
      </c>
      <c r="G577" s="2963">
        <v>503</v>
      </c>
      <c r="H577" s="2963" t="s">
        <v>3056</v>
      </c>
      <c r="I577" s="2964">
        <v>155.72</v>
      </c>
      <c r="J577" s="2964">
        <v>155.72</v>
      </c>
      <c r="K577" s="2964">
        <v>0</v>
      </c>
      <c r="L577" s="2964">
        <v>0</v>
      </c>
      <c r="M577" s="2968"/>
      <c r="N577" s="2968"/>
    </row>
    <row r="578" spans="2:14" ht="14.25" hidden="1">
      <c r="B578" s="2962"/>
      <c r="C578" s="2962" t="s">
        <v>3053</v>
      </c>
      <c r="D578" s="2962" t="s">
        <v>3060</v>
      </c>
      <c r="E578" s="2963">
        <v>17</v>
      </c>
      <c r="F578" s="2964">
        <v>2</v>
      </c>
      <c r="G578" s="2963">
        <v>504</v>
      </c>
      <c r="H578" s="2963" t="s">
        <v>3056</v>
      </c>
      <c r="I578" s="2964">
        <v>155.72</v>
      </c>
      <c r="J578" s="2964">
        <v>155.72</v>
      </c>
      <c r="K578" s="2964">
        <v>0</v>
      </c>
      <c r="L578" s="2964">
        <v>0</v>
      </c>
      <c r="M578" s="2968"/>
      <c r="N578" s="2968"/>
    </row>
    <row r="579" spans="2:14" ht="14.25" hidden="1">
      <c r="B579" s="2962"/>
      <c r="C579" s="2962" t="s">
        <v>3053</v>
      </c>
      <c r="D579" s="2962" t="s">
        <v>3060</v>
      </c>
      <c r="E579" s="2963">
        <v>17</v>
      </c>
      <c r="F579" s="2964">
        <v>2</v>
      </c>
      <c r="G579" s="2963">
        <v>603</v>
      </c>
      <c r="H579" s="2963" t="s">
        <v>3056</v>
      </c>
      <c r="I579" s="2964">
        <v>155.72</v>
      </c>
      <c r="J579" s="2964">
        <v>155.72</v>
      </c>
      <c r="K579" s="2964">
        <v>0</v>
      </c>
      <c r="L579" s="2964">
        <v>0</v>
      </c>
      <c r="M579" s="2968"/>
      <c r="N579" s="2968"/>
    </row>
    <row r="580" spans="2:14" ht="14.25" hidden="1">
      <c r="B580" s="2962"/>
      <c r="C580" s="2962" t="s">
        <v>3053</v>
      </c>
      <c r="D580" s="2962" t="s">
        <v>3060</v>
      </c>
      <c r="E580" s="2963">
        <v>17</v>
      </c>
      <c r="F580" s="2964">
        <v>2</v>
      </c>
      <c r="G580" s="2963">
        <v>604</v>
      </c>
      <c r="H580" s="2963" t="s">
        <v>3056</v>
      </c>
      <c r="I580" s="2964">
        <v>155.72</v>
      </c>
      <c r="J580" s="2964">
        <v>155.72</v>
      </c>
      <c r="K580" s="2964">
        <v>0</v>
      </c>
      <c r="L580" s="2964">
        <v>0</v>
      </c>
      <c r="M580" s="2968"/>
      <c r="N580" s="2968"/>
    </row>
    <row r="581" spans="2:14" ht="14.25" hidden="1">
      <c r="B581" s="2962"/>
      <c r="C581" s="2962" t="s">
        <v>3053</v>
      </c>
      <c r="D581" s="2962" t="s">
        <v>3060</v>
      </c>
      <c r="E581" s="2963">
        <v>17</v>
      </c>
      <c r="F581" s="2964">
        <v>2</v>
      </c>
      <c r="G581" s="2963">
        <v>703</v>
      </c>
      <c r="H581" s="2963" t="s">
        <v>3056</v>
      </c>
      <c r="I581" s="2964">
        <v>228.8</v>
      </c>
      <c r="J581" s="2964">
        <v>155.72</v>
      </c>
      <c r="K581" s="2964">
        <v>73.08</v>
      </c>
      <c r="L581" s="2964">
        <v>0</v>
      </c>
      <c r="M581" s="2968"/>
      <c r="N581" s="2968"/>
    </row>
    <row r="582" spans="2:14" ht="14.25" hidden="1">
      <c r="B582" s="2962"/>
      <c r="C582" s="2962" t="s">
        <v>3053</v>
      </c>
      <c r="D582" s="2962" t="s">
        <v>3060</v>
      </c>
      <c r="E582" s="2963">
        <v>17</v>
      </c>
      <c r="F582" s="2964">
        <v>2</v>
      </c>
      <c r="G582" s="2963">
        <v>704</v>
      </c>
      <c r="H582" s="2963" t="s">
        <v>3056</v>
      </c>
      <c r="I582" s="2964">
        <v>212.68</v>
      </c>
      <c r="J582" s="2964">
        <v>155.72</v>
      </c>
      <c r="K582" s="2964">
        <v>56.96</v>
      </c>
      <c r="L582" s="2964">
        <v>0</v>
      </c>
      <c r="M582" s="2968"/>
      <c r="N582" s="2968"/>
    </row>
    <row r="583" spans="2:14" ht="14.25" hidden="1">
      <c r="B583" s="2962"/>
      <c r="C583" s="2962" t="s">
        <v>3053</v>
      </c>
      <c r="D583" s="2962" t="s">
        <v>3054</v>
      </c>
      <c r="E583" s="2963">
        <v>18</v>
      </c>
      <c r="F583" s="2964">
        <v>1</v>
      </c>
      <c r="G583" s="2963">
        <v>101</v>
      </c>
      <c r="H583" s="2963" t="s">
        <v>3056</v>
      </c>
      <c r="I583" s="2964">
        <v>403.86</v>
      </c>
      <c r="J583" s="2964">
        <v>143.63999999999999</v>
      </c>
      <c r="K583" s="2964">
        <v>0</v>
      </c>
      <c r="L583" s="2964">
        <f>156.72+103.5</f>
        <v>260.22000000000003</v>
      </c>
      <c r="M583" s="2968">
        <f>16.19+54.03</f>
        <v>70.22</v>
      </c>
      <c r="N583" s="2968"/>
    </row>
    <row r="584" spans="2:14" ht="14.25">
      <c r="B584" s="2958">
        <v>96</v>
      </c>
      <c r="C584" s="2958" t="s">
        <v>3053</v>
      </c>
      <c r="D584" s="2958" t="s">
        <v>3054</v>
      </c>
      <c r="E584" s="2959">
        <v>18</v>
      </c>
      <c r="F584" s="2960">
        <v>1</v>
      </c>
      <c r="G584" s="2959">
        <v>102</v>
      </c>
      <c r="H584" s="2959" t="s">
        <v>3055</v>
      </c>
      <c r="I584" s="2960">
        <v>340.92</v>
      </c>
      <c r="J584" s="2960">
        <v>141.94</v>
      </c>
      <c r="K584" s="2960">
        <v>0</v>
      </c>
      <c r="L584" s="2960">
        <f>94.81+104.17</f>
        <v>198.98000000000002</v>
      </c>
      <c r="M584" s="2968"/>
      <c r="N584" s="2968"/>
    </row>
    <row r="585" spans="2:14" ht="14.25">
      <c r="B585" s="2958">
        <v>97</v>
      </c>
      <c r="C585" s="2958" t="s">
        <v>3053</v>
      </c>
      <c r="D585" s="2958" t="s">
        <v>3054</v>
      </c>
      <c r="E585" s="2959">
        <v>18</v>
      </c>
      <c r="F585" s="2960">
        <v>1</v>
      </c>
      <c r="G585" s="2959">
        <v>201</v>
      </c>
      <c r="H585" s="2959" t="s">
        <v>3055</v>
      </c>
      <c r="I585" s="2960">
        <v>334.06</v>
      </c>
      <c r="J585" s="2960">
        <v>162.91999999999999</v>
      </c>
      <c r="K585" s="2960">
        <v>0</v>
      </c>
      <c r="L585" s="2960">
        <f>87.05+84.09</f>
        <v>171.14</v>
      </c>
      <c r="M585" s="2968"/>
      <c r="N585" s="2968"/>
    </row>
    <row r="586" spans="2:14" ht="14.25">
      <c r="B586" s="2958">
        <v>98</v>
      </c>
      <c r="C586" s="2958" t="s">
        <v>3053</v>
      </c>
      <c r="D586" s="2958" t="s">
        <v>3054</v>
      </c>
      <c r="E586" s="2959">
        <v>18</v>
      </c>
      <c r="F586" s="2960">
        <v>1</v>
      </c>
      <c r="G586" s="2959">
        <v>202</v>
      </c>
      <c r="H586" s="2959" t="s">
        <v>3055</v>
      </c>
      <c r="I586" s="2960">
        <v>315.67</v>
      </c>
      <c r="J586" s="2960">
        <v>162.91999999999999</v>
      </c>
      <c r="K586" s="2960">
        <v>0</v>
      </c>
      <c r="L586" s="2960">
        <f>87.02+65.73</f>
        <v>152.75</v>
      </c>
      <c r="M586" s="2968"/>
      <c r="N586" s="2968"/>
    </row>
    <row r="587" spans="2:14" ht="14.25" hidden="1">
      <c r="B587" s="2962"/>
      <c r="C587" s="2962" t="s">
        <v>3053</v>
      </c>
      <c r="D587" s="2962" t="s">
        <v>3054</v>
      </c>
      <c r="E587" s="2963">
        <v>18</v>
      </c>
      <c r="F587" s="2964">
        <v>1</v>
      </c>
      <c r="G587" s="2963">
        <v>301</v>
      </c>
      <c r="H587" s="2963" t="s">
        <v>3056</v>
      </c>
      <c r="I587" s="2964">
        <v>156.35</v>
      </c>
      <c r="J587" s="2964">
        <v>156.35</v>
      </c>
      <c r="K587" s="2964">
        <v>0</v>
      </c>
      <c r="L587" s="2964">
        <v>0</v>
      </c>
      <c r="M587" s="2968"/>
      <c r="N587" s="2968"/>
    </row>
    <row r="588" spans="2:14" ht="14.25" hidden="1">
      <c r="B588" s="2962"/>
      <c r="C588" s="2962" t="s">
        <v>3053</v>
      </c>
      <c r="D588" s="2962" t="s">
        <v>3054</v>
      </c>
      <c r="E588" s="2963">
        <v>18</v>
      </c>
      <c r="F588" s="2964">
        <v>1</v>
      </c>
      <c r="G588" s="2963">
        <v>302</v>
      </c>
      <c r="H588" s="2963" t="s">
        <v>3056</v>
      </c>
      <c r="I588" s="2964">
        <v>156.35</v>
      </c>
      <c r="J588" s="2964">
        <v>156.35</v>
      </c>
      <c r="K588" s="2964">
        <v>0</v>
      </c>
      <c r="L588" s="2964">
        <v>0</v>
      </c>
      <c r="M588" s="2968"/>
      <c r="N588" s="2968"/>
    </row>
    <row r="589" spans="2:14" ht="14.25" hidden="1">
      <c r="B589" s="2962"/>
      <c r="C589" s="2962" t="s">
        <v>3053</v>
      </c>
      <c r="D589" s="2962" t="s">
        <v>3054</v>
      </c>
      <c r="E589" s="2963">
        <v>18</v>
      </c>
      <c r="F589" s="2964">
        <v>1</v>
      </c>
      <c r="G589" s="2963">
        <v>401</v>
      </c>
      <c r="H589" s="2963" t="s">
        <v>3056</v>
      </c>
      <c r="I589" s="2964">
        <v>156.35</v>
      </c>
      <c r="J589" s="2964">
        <v>156.35</v>
      </c>
      <c r="K589" s="2964">
        <v>0</v>
      </c>
      <c r="L589" s="2964">
        <v>0</v>
      </c>
      <c r="M589" s="2968"/>
      <c r="N589" s="2968"/>
    </row>
    <row r="590" spans="2:14" ht="14.25" hidden="1">
      <c r="B590" s="2962"/>
      <c r="C590" s="2962" t="s">
        <v>3053</v>
      </c>
      <c r="D590" s="2962" t="s">
        <v>3054</v>
      </c>
      <c r="E590" s="2963">
        <v>18</v>
      </c>
      <c r="F590" s="2964">
        <v>1</v>
      </c>
      <c r="G590" s="2963">
        <v>402</v>
      </c>
      <c r="H590" s="2963" t="s">
        <v>3056</v>
      </c>
      <c r="I590" s="2964">
        <v>156.35</v>
      </c>
      <c r="J590" s="2964">
        <v>156.35</v>
      </c>
      <c r="K590" s="2964">
        <v>0</v>
      </c>
      <c r="L590" s="2964">
        <v>0</v>
      </c>
      <c r="M590" s="2968"/>
      <c r="N590" s="2968"/>
    </row>
    <row r="591" spans="2:14" ht="14.25" hidden="1">
      <c r="B591" s="2962"/>
      <c r="C591" s="2962" t="s">
        <v>3053</v>
      </c>
      <c r="D591" s="2962" t="s">
        <v>3054</v>
      </c>
      <c r="E591" s="2963">
        <v>18</v>
      </c>
      <c r="F591" s="2964">
        <v>1</v>
      </c>
      <c r="G591" s="2963">
        <v>501</v>
      </c>
      <c r="H591" s="2963" t="s">
        <v>3056</v>
      </c>
      <c r="I591" s="2964">
        <v>156.35</v>
      </c>
      <c r="J591" s="2964">
        <v>156.35</v>
      </c>
      <c r="K591" s="2964">
        <v>0</v>
      </c>
      <c r="L591" s="2964">
        <v>0</v>
      </c>
      <c r="M591" s="2968"/>
      <c r="N591" s="2968"/>
    </row>
    <row r="592" spans="2:14" ht="14.25" hidden="1">
      <c r="B592" s="2962"/>
      <c r="C592" s="2962" t="s">
        <v>3053</v>
      </c>
      <c r="D592" s="2962" t="s">
        <v>3054</v>
      </c>
      <c r="E592" s="2963">
        <v>18</v>
      </c>
      <c r="F592" s="2964">
        <v>1</v>
      </c>
      <c r="G592" s="2963">
        <v>502</v>
      </c>
      <c r="H592" s="2963" t="s">
        <v>3056</v>
      </c>
      <c r="I592" s="2964">
        <v>156.35</v>
      </c>
      <c r="J592" s="2964">
        <v>156.35</v>
      </c>
      <c r="K592" s="2964">
        <v>0</v>
      </c>
      <c r="L592" s="2964">
        <v>0</v>
      </c>
      <c r="M592" s="2968"/>
      <c r="N592" s="2968"/>
    </row>
    <row r="593" spans="2:14" ht="14.25" hidden="1">
      <c r="B593" s="2962"/>
      <c r="C593" s="2962" t="s">
        <v>3053</v>
      </c>
      <c r="D593" s="2962" t="s">
        <v>3054</v>
      </c>
      <c r="E593" s="2963">
        <v>18</v>
      </c>
      <c r="F593" s="2964">
        <v>1</v>
      </c>
      <c r="G593" s="2963">
        <v>601</v>
      </c>
      <c r="H593" s="2963" t="s">
        <v>3056</v>
      </c>
      <c r="I593" s="2964">
        <v>156.35</v>
      </c>
      <c r="J593" s="2964">
        <v>156.35</v>
      </c>
      <c r="K593" s="2964">
        <v>0</v>
      </c>
      <c r="L593" s="2964">
        <v>0</v>
      </c>
      <c r="M593" s="2968"/>
      <c r="N593" s="2968"/>
    </row>
    <row r="594" spans="2:14" ht="14.25" hidden="1">
      <c r="B594" s="2962"/>
      <c r="C594" s="2962" t="s">
        <v>3053</v>
      </c>
      <c r="D594" s="2962" t="s">
        <v>3054</v>
      </c>
      <c r="E594" s="2963">
        <v>18</v>
      </c>
      <c r="F594" s="2964">
        <v>1</v>
      </c>
      <c r="G594" s="2963">
        <v>602</v>
      </c>
      <c r="H594" s="2963" t="s">
        <v>3056</v>
      </c>
      <c r="I594" s="2964">
        <v>156.35</v>
      </c>
      <c r="J594" s="2964">
        <v>156.35</v>
      </c>
      <c r="K594" s="2964">
        <v>0</v>
      </c>
      <c r="L594" s="2964">
        <v>0</v>
      </c>
      <c r="M594" s="2968"/>
      <c r="N594" s="2968"/>
    </row>
    <row r="595" spans="2:14" ht="14.25" hidden="1">
      <c r="B595" s="2962"/>
      <c r="C595" s="2962" t="s">
        <v>3053</v>
      </c>
      <c r="D595" s="2962" t="s">
        <v>3054</v>
      </c>
      <c r="E595" s="2963">
        <v>18</v>
      </c>
      <c r="F595" s="2964">
        <v>1</v>
      </c>
      <c r="G595" s="2963">
        <v>701</v>
      </c>
      <c r="H595" s="2963" t="s">
        <v>3056</v>
      </c>
      <c r="I595" s="2964">
        <v>156.35</v>
      </c>
      <c r="J595" s="2964">
        <v>156.35</v>
      </c>
      <c r="K595" s="2964">
        <v>0</v>
      </c>
      <c r="L595" s="2964">
        <v>0</v>
      </c>
      <c r="M595" s="2968"/>
      <c r="N595" s="2968"/>
    </row>
    <row r="596" spans="2:14" ht="14.25" hidden="1">
      <c r="B596" s="2962"/>
      <c r="C596" s="2962" t="s">
        <v>3053</v>
      </c>
      <c r="D596" s="2962" t="s">
        <v>3054</v>
      </c>
      <c r="E596" s="2963">
        <v>18</v>
      </c>
      <c r="F596" s="2964">
        <v>1</v>
      </c>
      <c r="G596" s="2963">
        <v>702</v>
      </c>
      <c r="H596" s="2963" t="s">
        <v>3056</v>
      </c>
      <c r="I596" s="2964">
        <v>156.35</v>
      </c>
      <c r="J596" s="2964">
        <v>156.35</v>
      </c>
      <c r="K596" s="2964">
        <v>0</v>
      </c>
      <c r="L596" s="2964">
        <v>0</v>
      </c>
      <c r="M596" s="2968"/>
      <c r="N596" s="2968"/>
    </row>
    <row r="597" spans="2:14" ht="14.25" hidden="1">
      <c r="B597" s="2962"/>
      <c r="C597" s="2962" t="s">
        <v>3053</v>
      </c>
      <c r="D597" s="2962" t="s">
        <v>3054</v>
      </c>
      <c r="E597" s="2963">
        <v>18</v>
      </c>
      <c r="F597" s="2964">
        <v>1</v>
      </c>
      <c r="G597" s="2963">
        <v>801</v>
      </c>
      <c r="H597" s="2963" t="s">
        <v>3056</v>
      </c>
      <c r="I597" s="2964">
        <v>156.35</v>
      </c>
      <c r="J597" s="2964">
        <v>156.35</v>
      </c>
      <c r="K597" s="2964">
        <v>0</v>
      </c>
      <c r="L597" s="2964">
        <v>0</v>
      </c>
      <c r="M597" s="2968"/>
      <c r="N597" s="2968"/>
    </row>
    <row r="598" spans="2:14" ht="14.25" hidden="1">
      <c r="B598" s="2962"/>
      <c r="C598" s="2962" t="s">
        <v>3053</v>
      </c>
      <c r="D598" s="2962" t="s">
        <v>3054</v>
      </c>
      <c r="E598" s="2963">
        <v>18</v>
      </c>
      <c r="F598" s="2964">
        <v>1</v>
      </c>
      <c r="G598" s="2963">
        <v>802</v>
      </c>
      <c r="H598" s="2963" t="s">
        <v>3056</v>
      </c>
      <c r="I598" s="2964">
        <v>156.35</v>
      </c>
      <c r="J598" s="2964">
        <v>156.35</v>
      </c>
      <c r="K598" s="2964">
        <v>0</v>
      </c>
      <c r="L598" s="2964">
        <v>0</v>
      </c>
      <c r="M598" s="2968"/>
      <c r="N598" s="2968"/>
    </row>
    <row r="599" spans="2:14" ht="14.25" hidden="1">
      <c r="B599" s="2962"/>
      <c r="C599" s="2962" t="s">
        <v>3053</v>
      </c>
      <c r="D599" s="2962" t="s">
        <v>3054</v>
      </c>
      <c r="E599" s="2963">
        <v>18</v>
      </c>
      <c r="F599" s="2964">
        <v>1</v>
      </c>
      <c r="G599" s="2963">
        <v>901</v>
      </c>
      <c r="H599" s="2963" t="s">
        <v>3056</v>
      </c>
      <c r="I599" s="2964">
        <v>156.35</v>
      </c>
      <c r="J599" s="2964">
        <v>156.35</v>
      </c>
      <c r="K599" s="2964">
        <v>0</v>
      </c>
      <c r="L599" s="2964">
        <v>0</v>
      </c>
      <c r="M599" s="2968"/>
      <c r="N599" s="2968"/>
    </row>
    <row r="600" spans="2:14" ht="14.25" hidden="1">
      <c r="B600" s="2962"/>
      <c r="C600" s="2962" t="s">
        <v>3053</v>
      </c>
      <c r="D600" s="2962" t="s">
        <v>3054</v>
      </c>
      <c r="E600" s="2963">
        <v>18</v>
      </c>
      <c r="F600" s="2964">
        <v>1</v>
      </c>
      <c r="G600" s="2963">
        <v>902</v>
      </c>
      <c r="H600" s="2963" t="s">
        <v>3056</v>
      </c>
      <c r="I600" s="2964">
        <v>156.35</v>
      </c>
      <c r="J600" s="2964">
        <v>156.35</v>
      </c>
      <c r="K600" s="2964">
        <v>0</v>
      </c>
      <c r="L600" s="2964">
        <v>0</v>
      </c>
      <c r="M600" s="2968"/>
      <c r="N600" s="2968"/>
    </row>
    <row r="601" spans="2:14" ht="14.25" hidden="1">
      <c r="B601" s="2962"/>
      <c r="C601" s="2962" t="s">
        <v>3053</v>
      </c>
      <c r="D601" s="2962" t="s">
        <v>3054</v>
      </c>
      <c r="E601" s="2963">
        <v>18</v>
      </c>
      <c r="F601" s="2964">
        <v>1</v>
      </c>
      <c r="G601" s="2963">
        <v>1001</v>
      </c>
      <c r="H601" s="2963" t="s">
        <v>3056</v>
      </c>
      <c r="I601" s="2964">
        <v>156.35</v>
      </c>
      <c r="J601" s="2964">
        <v>156.35</v>
      </c>
      <c r="K601" s="2964">
        <v>0</v>
      </c>
      <c r="L601" s="2964">
        <v>0</v>
      </c>
      <c r="M601" s="2968"/>
      <c r="N601" s="2968"/>
    </row>
    <row r="602" spans="2:14" ht="14.25" hidden="1">
      <c r="B602" s="2962"/>
      <c r="C602" s="2962" t="s">
        <v>3053</v>
      </c>
      <c r="D602" s="2962" t="s">
        <v>3054</v>
      </c>
      <c r="E602" s="2963">
        <v>18</v>
      </c>
      <c r="F602" s="2964">
        <v>1</v>
      </c>
      <c r="G602" s="2963">
        <v>1002</v>
      </c>
      <c r="H602" s="2963" t="s">
        <v>3056</v>
      </c>
      <c r="I602" s="2964">
        <v>156.35</v>
      </c>
      <c r="J602" s="2964">
        <v>156.35</v>
      </c>
      <c r="K602" s="2964">
        <v>0</v>
      </c>
      <c r="L602" s="2964">
        <v>0</v>
      </c>
      <c r="M602" s="2968"/>
      <c r="N602" s="2968"/>
    </row>
    <row r="603" spans="2:14" ht="14.25" hidden="1">
      <c r="B603" s="2962"/>
      <c r="C603" s="2962" t="s">
        <v>3053</v>
      </c>
      <c r="D603" s="2962" t="s">
        <v>3054</v>
      </c>
      <c r="E603" s="2963">
        <v>18</v>
      </c>
      <c r="F603" s="2964">
        <v>1</v>
      </c>
      <c r="G603" s="2963">
        <v>1101</v>
      </c>
      <c r="H603" s="2963" t="s">
        <v>3056</v>
      </c>
      <c r="I603" s="2964">
        <v>213.54</v>
      </c>
      <c r="J603" s="2964">
        <v>156.35</v>
      </c>
      <c r="K603" s="2964">
        <v>57.19</v>
      </c>
      <c r="L603" s="2964">
        <v>0</v>
      </c>
      <c r="M603" s="2968"/>
      <c r="N603" s="2968"/>
    </row>
    <row r="604" spans="2:14" ht="14.25" hidden="1">
      <c r="B604" s="2962"/>
      <c r="C604" s="2962" t="s">
        <v>3053</v>
      </c>
      <c r="D604" s="2962" t="s">
        <v>3054</v>
      </c>
      <c r="E604" s="2963">
        <v>18</v>
      </c>
      <c r="F604" s="2964">
        <v>1</v>
      </c>
      <c r="G604" s="2963">
        <v>1102</v>
      </c>
      <c r="H604" s="2963" t="s">
        <v>3056</v>
      </c>
      <c r="I604" s="2964">
        <v>213.54</v>
      </c>
      <c r="J604" s="2964">
        <v>156.35</v>
      </c>
      <c r="K604" s="2964">
        <v>57.19</v>
      </c>
      <c r="L604" s="2964">
        <v>0</v>
      </c>
      <c r="M604" s="2968"/>
      <c r="N604" s="2968"/>
    </row>
    <row r="605" spans="2:14" ht="14.25">
      <c r="B605" s="2958">
        <v>99</v>
      </c>
      <c r="C605" s="2958" t="s">
        <v>3053</v>
      </c>
      <c r="D605" s="2958" t="s">
        <v>3060</v>
      </c>
      <c r="E605" s="2959">
        <v>19</v>
      </c>
      <c r="F605" s="2960">
        <v>1</v>
      </c>
      <c r="G605" s="2959">
        <v>101</v>
      </c>
      <c r="H605" s="2959" t="s">
        <v>3055</v>
      </c>
      <c r="I605" s="2960">
        <v>403.63</v>
      </c>
      <c r="J605" s="2960">
        <v>135.34</v>
      </c>
      <c r="K605" s="2960">
        <v>0</v>
      </c>
      <c r="L605" s="2960">
        <f>159.12+109.17</f>
        <v>268.29000000000002</v>
      </c>
      <c r="M605" s="2968">
        <f>54.89+54.89</f>
        <v>109.78</v>
      </c>
      <c r="N605" s="2968"/>
    </row>
    <row r="606" spans="2:14" ht="14.25">
      <c r="B606" s="2958">
        <v>100</v>
      </c>
      <c r="C606" s="2958" t="s">
        <v>3053</v>
      </c>
      <c r="D606" s="2958" t="s">
        <v>3060</v>
      </c>
      <c r="E606" s="2959">
        <v>19</v>
      </c>
      <c r="F606" s="2960">
        <v>1</v>
      </c>
      <c r="G606" s="2959">
        <v>102</v>
      </c>
      <c r="H606" s="2959" t="s">
        <v>3055</v>
      </c>
      <c r="I606" s="2960">
        <v>411.33</v>
      </c>
      <c r="J606" s="2960">
        <v>142.97999999999999</v>
      </c>
      <c r="K606" s="2960">
        <v>0</v>
      </c>
      <c r="L606" s="2960">
        <f>159.12+109.23</f>
        <v>268.35000000000002</v>
      </c>
      <c r="M606" s="2968"/>
      <c r="N606" s="2968"/>
    </row>
    <row r="607" spans="2:14" ht="14.25">
      <c r="B607" s="2958">
        <v>101</v>
      </c>
      <c r="C607" s="2958" t="s">
        <v>3053</v>
      </c>
      <c r="D607" s="2958" t="s">
        <v>3060</v>
      </c>
      <c r="E607" s="2959">
        <v>19</v>
      </c>
      <c r="F607" s="2960">
        <v>1</v>
      </c>
      <c r="G607" s="2959">
        <v>201</v>
      </c>
      <c r="H607" s="2959" t="s">
        <v>3055</v>
      </c>
      <c r="I607" s="2960">
        <v>316.95</v>
      </c>
      <c r="J607" s="2960">
        <v>162.16</v>
      </c>
      <c r="K607" s="2960">
        <v>0</v>
      </c>
      <c r="L607" s="2960">
        <f>88.29+66.5</f>
        <v>154.79000000000002</v>
      </c>
      <c r="M607" s="2968"/>
      <c r="N607" s="2968"/>
    </row>
    <row r="608" spans="2:14" ht="14.25">
      <c r="B608" s="2958">
        <v>102</v>
      </c>
      <c r="C608" s="2958" t="s">
        <v>3053</v>
      </c>
      <c r="D608" s="2958" t="s">
        <v>3060</v>
      </c>
      <c r="E608" s="2959">
        <v>19</v>
      </c>
      <c r="F608" s="2960">
        <v>1</v>
      </c>
      <c r="G608" s="2959">
        <v>202</v>
      </c>
      <c r="H608" s="2959" t="s">
        <v>3055</v>
      </c>
      <c r="I608" s="2960">
        <v>335.93</v>
      </c>
      <c r="J608" s="2960">
        <v>162.16</v>
      </c>
      <c r="K608" s="2960">
        <v>0</v>
      </c>
      <c r="L608" s="2960">
        <f>88.29+85.48</f>
        <v>173.77</v>
      </c>
      <c r="M608" s="2968"/>
      <c r="N608" s="2968"/>
    </row>
    <row r="609" spans="2:14" ht="14.25" hidden="1">
      <c r="B609" s="2962"/>
      <c r="C609" s="2962" t="s">
        <v>3053</v>
      </c>
      <c r="D609" s="2962" t="s">
        <v>3060</v>
      </c>
      <c r="E609" s="2963">
        <v>19</v>
      </c>
      <c r="F609" s="2964">
        <v>1</v>
      </c>
      <c r="G609" s="2963">
        <v>301</v>
      </c>
      <c r="H609" s="2963" t="s">
        <v>3056</v>
      </c>
      <c r="I609" s="2964">
        <v>155.63</v>
      </c>
      <c r="J609" s="2964">
        <v>155.63</v>
      </c>
      <c r="K609" s="2964">
        <v>0</v>
      </c>
      <c r="L609" s="2964">
        <v>0</v>
      </c>
      <c r="M609" s="2968"/>
      <c r="N609" s="2968"/>
    </row>
    <row r="610" spans="2:14" ht="14.25">
      <c r="B610" s="2958">
        <v>103</v>
      </c>
      <c r="C610" s="2958" t="s">
        <v>3053</v>
      </c>
      <c r="D610" s="2958" t="s">
        <v>3060</v>
      </c>
      <c r="E610" s="2959">
        <v>19</v>
      </c>
      <c r="F610" s="2960">
        <v>1</v>
      </c>
      <c r="G610" s="2959">
        <v>302</v>
      </c>
      <c r="H610" s="2959" t="s">
        <v>3055</v>
      </c>
      <c r="I610" s="2960">
        <v>155.63</v>
      </c>
      <c r="J610" s="2960">
        <v>155.63</v>
      </c>
      <c r="K610" s="2960">
        <v>0</v>
      </c>
      <c r="L610" s="2960">
        <v>0</v>
      </c>
      <c r="M610" s="2968"/>
      <c r="N610" s="2968"/>
    </row>
    <row r="611" spans="2:14" ht="14.25">
      <c r="B611" s="2958">
        <v>104</v>
      </c>
      <c r="C611" s="2958" t="s">
        <v>3053</v>
      </c>
      <c r="D611" s="2958" t="s">
        <v>3060</v>
      </c>
      <c r="E611" s="2959">
        <v>19</v>
      </c>
      <c r="F611" s="2960">
        <v>1</v>
      </c>
      <c r="G611" s="2959">
        <v>401</v>
      </c>
      <c r="H611" s="2959" t="s">
        <v>3055</v>
      </c>
      <c r="I611" s="2960">
        <v>155.63</v>
      </c>
      <c r="J611" s="2960">
        <v>155.63</v>
      </c>
      <c r="K611" s="2960">
        <v>0</v>
      </c>
      <c r="L611" s="2960">
        <v>0</v>
      </c>
      <c r="M611" s="2968"/>
      <c r="N611" s="2968"/>
    </row>
    <row r="612" spans="2:14" ht="14.25">
      <c r="B612" s="2958">
        <v>105</v>
      </c>
      <c r="C612" s="2958" t="s">
        <v>3053</v>
      </c>
      <c r="D612" s="2958" t="s">
        <v>3060</v>
      </c>
      <c r="E612" s="2959">
        <v>19</v>
      </c>
      <c r="F612" s="2960">
        <v>1</v>
      </c>
      <c r="G612" s="2959">
        <v>402</v>
      </c>
      <c r="H612" s="2959" t="s">
        <v>3055</v>
      </c>
      <c r="I612" s="2960">
        <v>155.63</v>
      </c>
      <c r="J612" s="2960">
        <v>155.63</v>
      </c>
      <c r="K612" s="2960">
        <v>0</v>
      </c>
      <c r="L612" s="2960">
        <v>0</v>
      </c>
      <c r="M612" s="2968"/>
      <c r="N612" s="2968"/>
    </row>
    <row r="613" spans="2:14" ht="14.25">
      <c r="B613" s="2958">
        <v>106</v>
      </c>
      <c r="C613" s="2958" t="s">
        <v>3053</v>
      </c>
      <c r="D613" s="2958" t="s">
        <v>3060</v>
      </c>
      <c r="E613" s="2959">
        <v>19</v>
      </c>
      <c r="F613" s="2960">
        <v>1</v>
      </c>
      <c r="G613" s="2959">
        <v>501</v>
      </c>
      <c r="H613" s="2959" t="s">
        <v>3055</v>
      </c>
      <c r="I613" s="2960">
        <v>155.63</v>
      </c>
      <c r="J613" s="2960">
        <v>155.63</v>
      </c>
      <c r="K613" s="2960">
        <v>0</v>
      </c>
      <c r="L613" s="2960">
        <v>0</v>
      </c>
      <c r="M613" s="2968"/>
      <c r="N613" s="2968"/>
    </row>
    <row r="614" spans="2:14" ht="14.25" hidden="1">
      <c r="B614" s="2962"/>
      <c r="C614" s="2962" t="s">
        <v>3053</v>
      </c>
      <c r="D614" s="2962" t="s">
        <v>3060</v>
      </c>
      <c r="E614" s="2963">
        <v>19</v>
      </c>
      <c r="F614" s="2964">
        <v>1</v>
      </c>
      <c r="G614" s="2963">
        <v>502</v>
      </c>
      <c r="H614" s="2963" t="s">
        <v>3056</v>
      </c>
      <c r="I614" s="2964">
        <v>155.63</v>
      </c>
      <c r="J614" s="2964">
        <v>155.63</v>
      </c>
      <c r="K614" s="2964">
        <v>0</v>
      </c>
      <c r="L614" s="2964">
        <v>0</v>
      </c>
      <c r="M614" s="2968"/>
      <c r="N614" s="2968"/>
    </row>
    <row r="615" spans="2:14" ht="14.25" hidden="1">
      <c r="B615" s="2962"/>
      <c r="C615" s="2962" t="s">
        <v>3053</v>
      </c>
      <c r="D615" s="2962" t="s">
        <v>3060</v>
      </c>
      <c r="E615" s="2963">
        <v>19</v>
      </c>
      <c r="F615" s="2964">
        <v>1</v>
      </c>
      <c r="G615" s="2963">
        <v>601</v>
      </c>
      <c r="H615" s="2963" t="s">
        <v>3056</v>
      </c>
      <c r="I615" s="2964">
        <v>212.58</v>
      </c>
      <c r="J615" s="2964">
        <v>155.63</v>
      </c>
      <c r="K615" s="2964">
        <v>56.95</v>
      </c>
      <c r="L615" s="2964">
        <v>0</v>
      </c>
      <c r="M615" s="2968"/>
      <c r="N615" s="2968"/>
    </row>
    <row r="616" spans="2:14" ht="14.25">
      <c r="B616" s="2958">
        <v>107</v>
      </c>
      <c r="C616" s="2958" t="s">
        <v>3053</v>
      </c>
      <c r="D616" s="2958" t="s">
        <v>3060</v>
      </c>
      <c r="E616" s="2959">
        <v>19</v>
      </c>
      <c r="F616" s="2960">
        <v>1</v>
      </c>
      <c r="G616" s="2959">
        <v>602</v>
      </c>
      <c r="H616" s="2959" t="s">
        <v>3055</v>
      </c>
      <c r="I616" s="2960">
        <v>228.7</v>
      </c>
      <c r="J616" s="2960">
        <v>155.63</v>
      </c>
      <c r="K616" s="2960">
        <v>73.069999999999993</v>
      </c>
      <c r="L616" s="2960">
        <v>0</v>
      </c>
      <c r="M616" s="2968"/>
      <c r="N616" s="2968"/>
    </row>
    <row r="617" spans="2:14" ht="14.25">
      <c r="B617" s="2958">
        <v>108</v>
      </c>
      <c r="C617" s="2958" t="s">
        <v>3053</v>
      </c>
      <c r="D617" s="2958" t="s">
        <v>3060</v>
      </c>
      <c r="E617" s="2959">
        <v>19</v>
      </c>
      <c r="F617" s="2960">
        <v>2</v>
      </c>
      <c r="G617" s="2959">
        <v>103</v>
      </c>
      <c r="H617" s="2959" t="s">
        <v>3055</v>
      </c>
      <c r="I617" s="2960">
        <v>411.33</v>
      </c>
      <c r="J617" s="2960">
        <v>142.97999999999999</v>
      </c>
      <c r="K617" s="2960">
        <v>0</v>
      </c>
      <c r="L617" s="2960">
        <f>159.12+109.23</f>
        <v>268.35000000000002</v>
      </c>
      <c r="M617" s="2968"/>
      <c r="N617" s="2968"/>
    </row>
    <row r="618" spans="2:14" ht="14.25">
      <c r="B618" s="2958">
        <v>109</v>
      </c>
      <c r="C618" s="2958" t="s">
        <v>3053</v>
      </c>
      <c r="D618" s="2958" t="s">
        <v>3060</v>
      </c>
      <c r="E618" s="2959">
        <v>19</v>
      </c>
      <c r="F618" s="2960">
        <v>2</v>
      </c>
      <c r="G618" s="2959">
        <v>104</v>
      </c>
      <c r="H618" s="2959" t="s">
        <v>3055</v>
      </c>
      <c r="I618" s="2960">
        <v>403.63</v>
      </c>
      <c r="J618" s="2960">
        <v>135.34</v>
      </c>
      <c r="K618" s="2960">
        <v>0</v>
      </c>
      <c r="L618" s="2960">
        <f>159.12+109.17</f>
        <v>268.29000000000002</v>
      </c>
      <c r="M618" s="2968"/>
      <c r="N618" s="2968"/>
    </row>
    <row r="619" spans="2:14" ht="14.25">
      <c r="B619" s="2958">
        <v>110</v>
      </c>
      <c r="C619" s="2958" t="s">
        <v>3053</v>
      </c>
      <c r="D619" s="2958" t="s">
        <v>3060</v>
      </c>
      <c r="E619" s="2959">
        <v>19</v>
      </c>
      <c r="F619" s="2960">
        <v>2</v>
      </c>
      <c r="G619" s="2959">
        <v>203</v>
      </c>
      <c r="H619" s="2959" t="s">
        <v>3055</v>
      </c>
      <c r="I619" s="2960">
        <v>335.93</v>
      </c>
      <c r="J619" s="2960">
        <v>162.16</v>
      </c>
      <c r="K619" s="2960">
        <v>0</v>
      </c>
      <c r="L619" s="2960">
        <f>88.29+85.48</f>
        <v>173.77</v>
      </c>
      <c r="M619" s="2968"/>
      <c r="N619" s="2968"/>
    </row>
    <row r="620" spans="2:14" ht="14.25">
      <c r="B620" s="2958">
        <v>111</v>
      </c>
      <c r="C620" s="2958" t="s">
        <v>3053</v>
      </c>
      <c r="D620" s="2958" t="s">
        <v>3060</v>
      </c>
      <c r="E620" s="2959">
        <v>19</v>
      </c>
      <c r="F620" s="2960">
        <v>2</v>
      </c>
      <c r="G620" s="2959">
        <v>204</v>
      </c>
      <c r="H620" s="2959" t="s">
        <v>3055</v>
      </c>
      <c r="I620" s="2960">
        <v>316.95</v>
      </c>
      <c r="J620" s="2960">
        <v>162.16</v>
      </c>
      <c r="K620" s="2960">
        <v>0</v>
      </c>
      <c r="L620" s="2960">
        <f>88.29+66.5</f>
        <v>154.79000000000002</v>
      </c>
      <c r="M620" s="2968"/>
      <c r="N620" s="2968"/>
    </row>
    <row r="621" spans="2:14" ht="14.25" hidden="1">
      <c r="B621" s="2962"/>
      <c r="C621" s="2962" t="s">
        <v>3053</v>
      </c>
      <c r="D621" s="2962" t="s">
        <v>3060</v>
      </c>
      <c r="E621" s="2963">
        <v>19</v>
      </c>
      <c r="F621" s="2964">
        <v>2</v>
      </c>
      <c r="G621" s="2963">
        <v>303</v>
      </c>
      <c r="H621" s="2963" t="s">
        <v>3056</v>
      </c>
      <c r="I621" s="2964">
        <v>155.63</v>
      </c>
      <c r="J621" s="2964">
        <v>155.63</v>
      </c>
      <c r="K621" s="2964">
        <v>0</v>
      </c>
      <c r="L621" s="2964">
        <v>0</v>
      </c>
      <c r="M621" s="2968"/>
      <c r="N621" s="2968"/>
    </row>
    <row r="622" spans="2:14" ht="14.25" hidden="1">
      <c r="B622" s="2962"/>
      <c r="C622" s="2962" t="s">
        <v>3053</v>
      </c>
      <c r="D622" s="2962" t="s">
        <v>3060</v>
      </c>
      <c r="E622" s="2963">
        <v>19</v>
      </c>
      <c r="F622" s="2964">
        <v>2</v>
      </c>
      <c r="G622" s="2963">
        <v>304</v>
      </c>
      <c r="H622" s="2963" t="s">
        <v>3056</v>
      </c>
      <c r="I622" s="2964">
        <v>155.63</v>
      </c>
      <c r="J622" s="2964">
        <v>155.63</v>
      </c>
      <c r="K622" s="2964">
        <v>0</v>
      </c>
      <c r="L622" s="2964">
        <v>0</v>
      </c>
      <c r="M622" s="2968"/>
      <c r="N622" s="2968"/>
    </row>
    <row r="623" spans="2:14" ht="14.25" hidden="1">
      <c r="B623" s="2962"/>
      <c r="C623" s="2962" t="s">
        <v>3053</v>
      </c>
      <c r="D623" s="2962" t="s">
        <v>3060</v>
      </c>
      <c r="E623" s="2963">
        <v>19</v>
      </c>
      <c r="F623" s="2964">
        <v>2</v>
      </c>
      <c r="G623" s="2963">
        <v>403</v>
      </c>
      <c r="H623" s="2963" t="s">
        <v>3056</v>
      </c>
      <c r="I623" s="2964">
        <v>155.63</v>
      </c>
      <c r="J623" s="2964">
        <v>155.63</v>
      </c>
      <c r="K623" s="2964">
        <v>0</v>
      </c>
      <c r="L623" s="2964">
        <v>0</v>
      </c>
      <c r="M623" s="2968"/>
      <c r="N623" s="2968"/>
    </row>
    <row r="624" spans="2:14" ht="14.25">
      <c r="B624" s="2958">
        <v>112</v>
      </c>
      <c r="C624" s="2958" t="s">
        <v>3053</v>
      </c>
      <c r="D624" s="2958" t="s">
        <v>3060</v>
      </c>
      <c r="E624" s="2959">
        <v>19</v>
      </c>
      <c r="F624" s="2960">
        <v>2</v>
      </c>
      <c r="G624" s="2959">
        <v>404</v>
      </c>
      <c r="H624" s="2959" t="s">
        <v>3055</v>
      </c>
      <c r="I624" s="2960">
        <v>155.63</v>
      </c>
      <c r="J624" s="2960">
        <v>155.63</v>
      </c>
      <c r="K624" s="2960">
        <v>0</v>
      </c>
      <c r="L624" s="2960">
        <v>0</v>
      </c>
      <c r="M624" s="2968"/>
      <c r="N624" s="2968"/>
    </row>
    <row r="625" spans="2:14" ht="14.25" hidden="1">
      <c r="B625" s="2962"/>
      <c r="C625" s="2962" t="s">
        <v>3053</v>
      </c>
      <c r="D625" s="2962" t="s">
        <v>3060</v>
      </c>
      <c r="E625" s="2963">
        <v>19</v>
      </c>
      <c r="F625" s="2964">
        <v>2</v>
      </c>
      <c r="G625" s="2963">
        <v>503</v>
      </c>
      <c r="H625" s="2963" t="s">
        <v>3056</v>
      </c>
      <c r="I625" s="2964">
        <v>155.63</v>
      </c>
      <c r="J625" s="2964">
        <v>155.63</v>
      </c>
      <c r="K625" s="2964">
        <v>0</v>
      </c>
      <c r="L625" s="2964">
        <v>0</v>
      </c>
      <c r="M625" s="2968"/>
      <c r="N625" s="2968"/>
    </row>
    <row r="626" spans="2:14" ht="14.25">
      <c r="B626" s="2958">
        <v>113</v>
      </c>
      <c r="C626" s="2958" t="s">
        <v>3053</v>
      </c>
      <c r="D626" s="2958" t="s">
        <v>3060</v>
      </c>
      <c r="E626" s="2959">
        <v>19</v>
      </c>
      <c r="F626" s="2960">
        <v>2</v>
      </c>
      <c r="G626" s="2959">
        <v>504</v>
      </c>
      <c r="H626" s="2959" t="s">
        <v>3055</v>
      </c>
      <c r="I626" s="2960">
        <v>155.63</v>
      </c>
      <c r="J626" s="2960">
        <v>155.63</v>
      </c>
      <c r="K626" s="2960">
        <v>0</v>
      </c>
      <c r="L626" s="2960">
        <v>0</v>
      </c>
      <c r="M626" s="2968"/>
      <c r="N626" s="2968"/>
    </row>
    <row r="627" spans="2:14" ht="14.25">
      <c r="B627" s="2958">
        <v>114</v>
      </c>
      <c r="C627" s="2958" t="s">
        <v>3053</v>
      </c>
      <c r="D627" s="2958" t="s">
        <v>3060</v>
      </c>
      <c r="E627" s="2959">
        <v>19</v>
      </c>
      <c r="F627" s="2960">
        <v>2</v>
      </c>
      <c r="G627" s="2959">
        <v>603</v>
      </c>
      <c r="H627" s="2959" t="s">
        <v>3055</v>
      </c>
      <c r="I627" s="2960">
        <v>228.7</v>
      </c>
      <c r="J627" s="2960">
        <v>155.63</v>
      </c>
      <c r="K627" s="2960">
        <v>73.069999999999993</v>
      </c>
      <c r="L627" s="2960">
        <v>0</v>
      </c>
      <c r="M627" s="2968"/>
      <c r="N627" s="2968"/>
    </row>
    <row r="628" spans="2:14" ht="14.25" hidden="1">
      <c r="B628" s="2962"/>
      <c r="C628" s="2962" t="s">
        <v>3053</v>
      </c>
      <c r="D628" s="2962" t="s">
        <v>3060</v>
      </c>
      <c r="E628" s="2963">
        <v>19</v>
      </c>
      <c r="F628" s="2964">
        <v>2</v>
      </c>
      <c r="G628" s="2963">
        <v>604</v>
      </c>
      <c r="H628" s="2963" t="s">
        <v>3056</v>
      </c>
      <c r="I628" s="2964">
        <v>212.58</v>
      </c>
      <c r="J628" s="2964">
        <v>155.63</v>
      </c>
      <c r="K628" s="2964">
        <v>56.95</v>
      </c>
      <c r="L628" s="2964">
        <v>0</v>
      </c>
      <c r="M628" s="2968"/>
      <c r="N628" s="2968"/>
    </row>
    <row r="629" spans="2:14" ht="14.25">
      <c r="B629" s="2958">
        <v>115</v>
      </c>
      <c r="C629" s="2958" t="s">
        <v>3053</v>
      </c>
      <c r="D629" s="2958" t="s">
        <v>3060</v>
      </c>
      <c r="E629" s="2959">
        <v>20</v>
      </c>
      <c r="F629" s="2960">
        <v>1</v>
      </c>
      <c r="G629" s="2959">
        <v>101</v>
      </c>
      <c r="H629" s="2959" t="s">
        <v>3055</v>
      </c>
      <c r="I629" s="2960">
        <v>403.63</v>
      </c>
      <c r="J629" s="2960">
        <v>135.34</v>
      </c>
      <c r="K629" s="2960">
        <v>0</v>
      </c>
      <c r="L629" s="2960">
        <f>159.12+109.17</f>
        <v>268.29000000000002</v>
      </c>
      <c r="M629" s="2969">
        <f>54.89+54.89</f>
        <v>109.78</v>
      </c>
      <c r="N629" s="2968"/>
    </row>
    <row r="630" spans="2:14" ht="14.25">
      <c r="B630" s="2958">
        <v>116</v>
      </c>
      <c r="C630" s="2958" t="s">
        <v>3053</v>
      </c>
      <c r="D630" s="2958" t="s">
        <v>3060</v>
      </c>
      <c r="E630" s="2959">
        <v>20</v>
      </c>
      <c r="F630" s="2960">
        <v>1</v>
      </c>
      <c r="G630" s="2959">
        <v>102</v>
      </c>
      <c r="H630" s="2959" t="s">
        <v>3055</v>
      </c>
      <c r="I630" s="2960">
        <v>411.33</v>
      </c>
      <c r="J630" s="2960">
        <v>142.97999999999999</v>
      </c>
      <c r="K630" s="2960">
        <v>0</v>
      </c>
      <c r="L630" s="2960">
        <f>159.12+109.23</f>
        <v>268.35000000000002</v>
      </c>
      <c r="M630" s="2968"/>
      <c r="N630" s="2968"/>
    </row>
    <row r="631" spans="2:14" ht="14.25">
      <c r="B631" s="2958">
        <v>117</v>
      </c>
      <c r="C631" s="2958" t="s">
        <v>3053</v>
      </c>
      <c r="D631" s="2958" t="s">
        <v>3060</v>
      </c>
      <c r="E631" s="2959">
        <v>20</v>
      </c>
      <c r="F631" s="2960">
        <v>1</v>
      </c>
      <c r="G631" s="2959">
        <v>201</v>
      </c>
      <c r="H631" s="2959" t="s">
        <v>3055</v>
      </c>
      <c r="I631" s="2960">
        <v>316.95</v>
      </c>
      <c r="J631" s="2960">
        <v>162.16</v>
      </c>
      <c r="K631" s="2960">
        <v>0</v>
      </c>
      <c r="L631" s="2960">
        <f>88.29+66.5</f>
        <v>154.79000000000002</v>
      </c>
      <c r="M631" s="2968"/>
      <c r="N631" s="2968"/>
    </row>
    <row r="632" spans="2:14" ht="14.25">
      <c r="B632" s="2958">
        <v>118</v>
      </c>
      <c r="C632" s="2958" t="s">
        <v>3053</v>
      </c>
      <c r="D632" s="2958" t="s">
        <v>3060</v>
      </c>
      <c r="E632" s="2959">
        <v>20</v>
      </c>
      <c r="F632" s="2960">
        <v>1</v>
      </c>
      <c r="G632" s="2959">
        <v>202</v>
      </c>
      <c r="H632" s="2959" t="s">
        <v>3055</v>
      </c>
      <c r="I632" s="2960">
        <v>335.93</v>
      </c>
      <c r="J632" s="2960">
        <v>162.16</v>
      </c>
      <c r="K632" s="2960">
        <v>0</v>
      </c>
      <c r="L632" s="2960">
        <f>88.29+85.48</f>
        <v>173.77</v>
      </c>
      <c r="M632" s="2968"/>
      <c r="N632" s="2968"/>
    </row>
    <row r="633" spans="2:14" ht="14.25">
      <c r="B633" s="2958">
        <v>119</v>
      </c>
      <c r="C633" s="2958" t="s">
        <v>3053</v>
      </c>
      <c r="D633" s="2958" t="s">
        <v>3060</v>
      </c>
      <c r="E633" s="2959">
        <v>20</v>
      </c>
      <c r="F633" s="2960">
        <v>1</v>
      </c>
      <c r="G633" s="2959">
        <v>301</v>
      </c>
      <c r="H633" s="2959" t="s">
        <v>3055</v>
      </c>
      <c r="I633" s="2960">
        <v>155.63</v>
      </c>
      <c r="J633" s="2960">
        <v>155.63</v>
      </c>
      <c r="K633" s="2960">
        <v>0</v>
      </c>
      <c r="L633" s="2960">
        <v>0</v>
      </c>
      <c r="M633" s="2968"/>
      <c r="N633" s="2968"/>
    </row>
    <row r="634" spans="2:14" ht="14.25">
      <c r="B634" s="2958">
        <v>120</v>
      </c>
      <c r="C634" s="2958" t="s">
        <v>3053</v>
      </c>
      <c r="D634" s="2958" t="s">
        <v>3060</v>
      </c>
      <c r="E634" s="2959">
        <v>20</v>
      </c>
      <c r="F634" s="2960">
        <v>1</v>
      </c>
      <c r="G634" s="2959">
        <v>302</v>
      </c>
      <c r="H634" s="2959" t="s">
        <v>3055</v>
      </c>
      <c r="I634" s="2960">
        <v>155.63</v>
      </c>
      <c r="J634" s="2960">
        <v>155.63</v>
      </c>
      <c r="K634" s="2960">
        <v>0</v>
      </c>
      <c r="L634" s="2960">
        <v>0</v>
      </c>
      <c r="M634" s="2968"/>
      <c r="N634" s="2968"/>
    </row>
    <row r="635" spans="2:14" ht="14.25">
      <c r="B635" s="2958">
        <v>121</v>
      </c>
      <c r="C635" s="2958" t="s">
        <v>3053</v>
      </c>
      <c r="D635" s="2958" t="s">
        <v>3060</v>
      </c>
      <c r="E635" s="2959">
        <v>20</v>
      </c>
      <c r="F635" s="2960">
        <v>1</v>
      </c>
      <c r="G635" s="2959">
        <v>401</v>
      </c>
      <c r="H635" s="2959" t="s">
        <v>3055</v>
      </c>
      <c r="I635" s="2960">
        <v>155.63</v>
      </c>
      <c r="J635" s="2960">
        <v>155.63</v>
      </c>
      <c r="K635" s="2960">
        <v>0</v>
      </c>
      <c r="L635" s="2960">
        <v>0</v>
      </c>
      <c r="M635" s="2968"/>
      <c r="N635" s="2968"/>
    </row>
    <row r="636" spans="2:14" ht="14.25">
      <c r="B636" s="2958">
        <v>122</v>
      </c>
      <c r="C636" s="2958" t="s">
        <v>3053</v>
      </c>
      <c r="D636" s="2958" t="s">
        <v>3060</v>
      </c>
      <c r="E636" s="2959">
        <v>20</v>
      </c>
      <c r="F636" s="2960">
        <v>1</v>
      </c>
      <c r="G636" s="2959">
        <v>402</v>
      </c>
      <c r="H636" s="2959" t="s">
        <v>3055</v>
      </c>
      <c r="I636" s="2960">
        <v>155.63</v>
      </c>
      <c r="J636" s="2960">
        <v>155.63</v>
      </c>
      <c r="K636" s="2960">
        <v>0</v>
      </c>
      <c r="L636" s="2960">
        <v>0</v>
      </c>
      <c r="M636" s="2968"/>
      <c r="N636" s="2968"/>
    </row>
    <row r="637" spans="2:14" ht="14.25" hidden="1">
      <c r="B637" s="2962"/>
      <c r="C637" s="2962" t="s">
        <v>3053</v>
      </c>
      <c r="D637" s="2962" t="s">
        <v>3060</v>
      </c>
      <c r="E637" s="2963">
        <v>20</v>
      </c>
      <c r="F637" s="2964">
        <v>1</v>
      </c>
      <c r="G637" s="2963">
        <v>501</v>
      </c>
      <c r="H637" s="2963" t="s">
        <v>3056</v>
      </c>
      <c r="I637" s="2964">
        <v>155.63</v>
      </c>
      <c r="J637" s="2964">
        <v>155.63</v>
      </c>
      <c r="K637" s="2964">
        <v>0</v>
      </c>
      <c r="L637" s="2964">
        <v>0</v>
      </c>
      <c r="M637" s="2968"/>
      <c r="N637" s="2968"/>
    </row>
    <row r="638" spans="2:14" ht="14.25" hidden="1">
      <c r="B638" s="2962"/>
      <c r="C638" s="2962" t="s">
        <v>3053</v>
      </c>
      <c r="D638" s="2962" t="s">
        <v>3060</v>
      </c>
      <c r="E638" s="2963">
        <v>20</v>
      </c>
      <c r="F638" s="2964">
        <v>1</v>
      </c>
      <c r="G638" s="2963">
        <v>502</v>
      </c>
      <c r="H638" s="2963" t="s">
        <v>3056</v>
      </c>
      <c r="I638" s="2964">
        <v>155.63</v>
      </c>
      <c r="J638" s="2964">
        <v>155.63</v>
      </c>
      <c r="K638" s="2964">
        <v>0</v>
      </c>
      <c r="L638" s="2964">
        <v>0</v>
      </c>
      <c r="M638" s="2968"/>
      <c r="N638" s="2968"/>
    </row>
    <row r="639" spans="2:14" ht="14.25">
      <c r="B639" s="2958">
        <v>123</v>
      </c>
      <c r="C639" s="2958" t="s">
        <v>3053</v>
      </c>
      <c r="D639" s="2958" t="s">
        <v>3060</v>
      </c>
      <c r="E639" s="2959">
        <v>20</v>
      </c>
      <c r="F639" s="2960">
        <v>1</v>
      </c>
      <c r="G639" s="2959">
        <v>601</v>
      </c>
      <c r="H639" s="2959" t="s">
        <v>3055</v>
      </c>
      <c r="I639" s="2960">
        <v>212.58</v>
      </c>
      <c r="J639" s="2960">
        <v>155.63</v>
      </c>
      <c r="K639" s="2960">
        <v>56.95</v>
      </c>
      <c r="L639" s="2960">
        <v>0</v>
      </c>
      <c r="M639" s="2968"/>
      <c r="N639" s="2968"/>
    </row>
    <row r="640" spans="2:14" ht="14.25">
      <c r="B640" s="2958">
        <v>124</v>
      </c>
      <c r="C640" s="2958" t="s">
        <v>3053</v>
      </c>
      <c r="D640" s="2958" t="s">
        <v>3060</v>
      </c>
      <c r="E640" s="2959">
        <v>20</v>
      </c>
      <c r="F640" s="2960">
        <v>1</v>
      </c>
      <c r="G640" s="2959">
        <v>602</v>
      </c>
      <c r="H640" s="2959" t="s">
        <v>3055</v>
      </c>
      <c r="I640" s="2960">
        <v>228.7</v>
      </c>
      <c r="J640" s="2960">
        <v>155.63</v>
      </c>
      <c r="K640" s="2960">
        <v>73.069999999999993</v>
      </c>
      <c r="L640" s="2960">
        <v>0</v>
      </c>
      <c r="M640" s="2968"/>
      <c r="N640" s="2968"/>
    </row>
    <row r="641" spans="2:14" ht="14.25">
      <c r="B641" s="2958">
        <v>125</v>
      </c>
      <c r="C641" s="2958" t="s">
        <v>3053</v>
      </c>
      <c r="D641" s="2958" t="s">
        <v>3060</v>
      </c>
      <c r="E641" s="2959">
        <v>20</v>
      </c>
      <c r="F641" s="2960">
        <v>2</v>
      </c>
      <c r="G641" s="2959">
        <v>103</v>
      </c>
      <c r="H641" s="2959" t="s">
        <v>3055</v>
      </c>
      <c r="I641" s="2960">
        <v>411.33</v>
      </c>
      <c r="J641" s="2960">
        <v>142.97999999999999</v>
      </c>
      <c r="K641" s="2960">
        <v>0</v>
      </c>
      <c r="L641" s="2960">
        <f>159.12+109.23</f>
        <v>268.35000000000002</v>
      </c>
      <c r="M641" s="2968"/>
      <c r="N641" s="2968"/>
    </row>
    <row r="642" spans="2:14" ht="14.25">
      <c r="B642" s="2958">
        <v>126</v>
      </c>
      <c r="C642" s="2958" t="s">
        <v>3053</v>
      </c>
      <c r="D642" s="2958" t="s">
        <v>3060</v>
      </c>
      <c r="E642" s="2959">
        <v>20</v>
      </c>
      <c r="F642" s="2960">
        <v>2</v>
      </c>
      <c r="G642" s="2959">
        <v>104</v>
      </c>
      <c r="H642" s="2959" t="s">
        <v>3055</v>
      </c>
      <c r="I642" s="2960">
        <v>403.63</v>
      </c>
      <c r="J642" s="2960">
        <v>135.34</v>
      </c>
      <c r="K642" s="2960">
        <v>0</v>
      </c>
      <c r="L642" s="2960">
        <f>159.12+109.17</f>
        <v>268.29000000000002</v>
      </c>
      <c r="M642" s="2968"/>
      <c r="N642" s="2968"/>
    </row>
    <row r="643" spans="2:14" ht="14.25">
      <c r="B643" s="2958">
        <v>127</v>
      </c>
      <c r="C643" s="2958" t="s">
        <v>3053</v>
      </c>
      <c r="D643" s="2958" t="s">
        <v>3060</v>
      </c>
      <c r="E643" s="2959">
        <v>20</v>
      </c>
      <c r="F643" s="2960">
        <v>2</v>
      </c>
      <c r="G643" s="2959">
        <v>203</v>
      </c>
      <c r="H643" s="2959" t="s">
        <v>3055</v>
      </c>
      <c r="I643" s="2960">
        <v>335.93</v>
      </c>
      <c r="J643" s="2960">
        <v>162.16</v>
      </c>
      <c r="K643" s="2960">
        <v>0</v>
      </c>
      <c r="L643" s="2960">
        <f>88.29+85.48</f>
        <v>173.77</v>
      </c>
      <c r="M643" s="2968"/>
      <c r="N643" s="2968"/>
    </row>
    <row r="644" spans="2:14" ht="14.25">
      <c r="B644" s="2958">
        <v>128</v>
      </c>
      <c r="C644" s="2958" t="s">
        <v>3053</v>
      </c>
      <c r="D644" s="2958" t="s">
        <v>3060</v>
      </c>
      <c r="E644" s="2959">
        <v>20</v>
      </c>
      <c r="F644" s="2960">
        <v>2</v>
      </c>
      <c r="G644" s="2959">
        <v>204</v>
      </c>
      <c r="H644" s="2959" t="s">
        <v>3055</v>
      </c>
      <c r="I644" s="2960">
        <v>316.95</v>
      </c>
      <c r="J644" s="2960">
        <v>162.16</v>
      </c>
      <c r="K644" s="2960">
        <v>0</v>
      </c>
      <c r="L644" s="2960">
        <f>88.29+66.5</f>
        <v>154.79000000000002</v>
      </c>
      <c r="M644" s="2968"/>
      <c r="N644" s="2968"/>
    </row>
    <row r="645" spans="2:14" ht="14.25" hidden="1">
      <c r="B645" s="2962"/>
      <c r="C645" s="2962" t="s">
        <v>3053</v>
      </c>
      <c r="D645" s="2962" t="s">
        <v>3060</v>
      </c>
      <c r="E645" s="2963">
        <v>20</v>
      </c>
      <c r="F645" s="2964">
        <v>2</v>
      </c>
      <c r="G645" s="2963">
        <v>303</v>
      </c>
      <c r="H645" s="2963" t="s">
        <v>3056</v>
      </c>
      <c r="I645" s="2964">
        <v>155.63</v>
      </c>
      <c r="J645" s="2964">
        <v>155.63</v>
      </c>
      <c r="K645" s="2964">
        <v>0</v>
      </c>
      <c r="L645" s="2964">
        <v>0</v>
      </c>
      <c r="M645" s="2968"/>
      <c r="N645" s="2968"/>
    </row>
    <row r="646" spans="2:14" ht="14.25" hidden="1">
      <c r="B646" s="2962"/>
      <c r="C646" s="2962" t="s">
        <v>3053</v>
      </c>
      <c r="D646" s="2962" t="s">
        <v>3060</v>
      </c>
      <c r="E646" s="2963">
        <v>20</v>
      </c>
      <c r="F646" s="2964">
        <v>2</v>
      </c>
      <c r="G646" s="2963">
        <v>304</v>
      </c>
      <c r="H646" s="2963" t="s">
        <v>3056</v>
      </c>
      <c r="I646" s="2964">
        <v>155.63</v>
      </c>
      <c r="J646" s="2964">
        <v>155.63</v>
      </c>
      <c r="K646" s="2964">
        <v>0</v>
      </c>
      <c r="L646" s="2964">
        <v>0</v>
      </c>
      <c r="M646" s="2968"/>
      <c r="N646" s="2968"/>
    </row>
    <row r="647" spans="2:14" ht="14.25">
      <c r="B647" s="2958">
        <v>129</v>
      </c>
      <c r="C647" s="2958" t="s">
        <v>3053</v>
      </c>
      <c r="D647" s="2958" t="s">
        <v>3060</v>
      </c>
      <c r="E647" s="2959">
        <v>20</v>
      </c>
      <c r="F647" s="2960">
        <v>2</v>
      </c>
      <c r="G647" s="2959">
        <v>403</v>
      </c>
      <c r="H647" s="2959" t="s">
        <v>3055</v>
      </c>
      <c r="I647" s="2960">
        <v>155.63</v>
      </c>
      <c r="J647" s="2960">
        <v>155.63</v>
      </c>
      <c r="K647" s="2960">
        <v>0</v>
      </c>
      <c r="L647" s="2960">
        <v>0</v>
      </c>
      <c r="M647" s="2968"/>
      <c r="N647" s="2968"/>
    </row>
    <row r="648" spans="2:14" ht="14.25">
      <c r="B648" s="2958">
        <v>130</v>
      </c>
      <c r="C648" s="2958" t="s">
        <v>3053</v>
      </c>
      <c r="D648" s="2958" t="s">
        <v>3060</v>
      </c>
      <c r="E648" s="2959">
        <v>20</v>
      </c>
      <c r="F648" s="2960">
        <v>2</v>
      </c>
      <c r="G648" s="2959">
        <v>404</v>
      </c>
      <c r="H648" s="2959" t="s">
        <v>3055</v>
      </c>
      <c r="I648" s="2960">
        <v>155.63</v>
      </c>
      <c r="J648" s="2960">
        <v>155.63</v>
      </c>
      <c r="K648" s="2960">
        <v>0</v>
      </c>
      <c r="L648" s="2960">
        <v>0</v>
      </c>
      <c r="M648" s="2968"/>
      <c r="N648" s="2968"/>
    </row>
    <row r="649" spans="2:14" ht="14.25">
      <c r="B649" s="2958">
        <v>131</v>
      </c>
      <c r="C649" s="2958" t="s">
        <v>3053</v>
      </c>
      <c r="D649" s="2958" t="s">
        <v>3060</v>
      </c>
      <c r="E649" s="2959">
        <v>20</v>
      </c>
      <c r="F649" s="2960">
        <v>2</v>
      </c>
      <c r="G649" s="2959">
        <v>503</v>
      </c>
      <c r="H649" s="2959" t="s">
        <v>3055</v>
      </c>
      <c r="I649" s="2960">
        <v>155.63</v>
      </c>
      <c r="J649" s="2960">
        <v>155.63</v>
      </c>
      <c r="K649" s="2960">
        <v>0</v>
      </c>
      <c r="L649" s="2960">
        <v>0</v>
      </c>
      <c r="M649" s="2968"/>
      <c r="N649" s="2968"/>
    </row>
    <row r="650" spans="2:14" ht="14.25" hidden="1">
      <c r="B650" s="2962"/>
      <c r="C650" s="2962" t="s">
        <v>3053</v>
      </c>
      <c r="D650" s="2962" t="s">
        <v>3060</v>
      </c>
      <c r="E650" s="2963">
        <v>20</v>
      </c>
      <c r="F650" s="2964">
        <v>2</v>
      </c>
      <c r="G650" s="2963">
        <v>504</v>
      </c>
      <c r="H650" s="2963" t="s">
        <v>3056</v>
      </c>
      <c r="I650" s="2964">
        <v>155.63</v>
      </c>
      <c r="J650" s="2964">
        <v>155.63</v>
      </c>
      <c r="K650" s="2964">
        <v>0</v>
      </c>
      <c r="L650" s="2964">
        <v>0</v>
      </c>
      <c r="M650" s="2968"/>
      <c r="N650" s="2968"/>
    </row>
    <row r="651" spans="2:14" ht="14.25">
      <c r="B651" s="2958">
        <v>132</v>
      </c>
      <c r="C651" s="2958" t="s">
        <v>3053</v>
      </c>
      <c r="D651" s="2958" t="s">
        <v>3060</v>
      </c>
      <c r="E651" s="2959">
        <v>20</v>
      </c>
      <c r="F651" s="2960">
        <v>2</v>
      </c>
      <c r="G651" s="2959">
        <v>603</v>
      </c>
      <c r="H651" s="2959" t="s">
        <v>3055</v>
      </c>
      <c r="I651" s="2960">
        <v>228.7</v>
      </c>
      <c r="J651" s="2960">
        <v>155.63</v>
      </c>
      <c r="K651" s="2960">
        <v>73.069999999999993</v>
      </c>
      <c r="L651" s="2960">
        <v>0</v>
      </c>
      <c r="M651" s="2968"/>
      <c r="N651" s="2968"/>
    </row>
    <row r="652" spans="2:14" ht="14.25">
      <c r="B652" s="2958">
        <v>133</v>
      </c>
      <c r="C652" s="2958" t="s">
        <v>3053</v>
      </c>
      <c r="D652" s="2958" t="s">
        <v>3060</v>
      </c>
      <c r="E652" s="2959">
        <v>20</v>
      </c>
      <c r="F652" s="2960">
        <v>2</v>
      </c>
      <c r="G652" s="2959">
        <v>604</v>
      </c>
      <c r="H652" s="2959" t="s">
        <v>3055</v>
      </c>
      <c r="I652" s="2960">
        <v>212.58</v>
      </c>
      <c r="J652" s="2960">
        <v>155.63</v>
      </c>
      <c r="K652" s="2960">
        <v>56.95</v>
      </c>
      <c r="L652" s="2960">
        <v>0</v>
      </c>
      <c r="M652" s="2968"/>
      <c r="N652" s="2968"/>
    </row>
    <row r="653" spans="2:14" ht="14.25">
      <c r="B653" s="2958">
        <v>467</v>
      </c>
      <c r="C653" s="2958" t="s">
        <v>3057</v>
      </c>
      <c r="D653" s="2958" t="s">
        <v>3058</v>
      </c>
      <c r="E653" s="2959">
        <v>21</v>
      </c>
      <c r="F653" s="2960">
        <v>1</v>
      </c>
      <c r="G653" s="2959">
        <v>101</v>
      </c>
      <c r="H653" s="2959" t="s">
        <v>3055</v>
      </c>
      <c r="I653" s="2970">
        <f>J653+L653</f>
        <v>334.99</v>
      </c>
      <c r="J653" s="2970">
        <v>132.99</v>
      </c>
      <c r="K653" s="2970">
        <v>0</v>
      </c>
      <c r="L653" s="2970">
        <f>111.23+90.77</f>
        <v>202</v>
      </c>
      <c r="M653" s="2968">
        <f>56.32+56.31</f>
        <v>112.63</v>
      </c>
      <c r="N653" s="2968"/>
    </row>
    <row r="654" spans="2:14" ht="14.25">
      <c r="B654" s="2958">
        <v>468</v>
      </c>
      <c r="C654" s="2958" t="s">
        <v>3057</v>
      </c>
      <c r="D654" s="2958" t="s">
        <v>3058</v>
      </c>
      <c r="E654" s="2959">
        <v>21</v>
      </c>
      <c r="F654" s="2960">
        <v>1</v>
      </c>
      <c r="G654" s="2959">
        <v>102</v>
      </c>
      <c r="H654" s="2959" t="s">
        <v>3055</v>
      </c>
      <c r="I654" s="2970">
        <f>J654+L654</f>
        <v>331.13</v>
      </c>
      <c r="J654" s="2970">
        <v>132.99</v>
      </c>
      <c r="K654" s="2970">
        <v>0</v>
      </c>
      <c r="L654" s="2970">
        <f>111.44+86.7</f>
        <v>198.14</v>
      </c>
      <c r="M654" s="2968"/>
      <c r="N654" s="2968"/>
    </row>
    <row r="655" spans="2:14" ht="14.25">
      <c r="B655" s="2958">
        <v>469</v>
      </c>
      <c r="C655" s="2958" t="s">
        <v>3057</v>
      </c>
      <c r="D655" s="2958" t="s">
        <v>3058</v>
      </c>
      <c r="E655" s="2959">
        <v>21</v>
      </c>
      <c r="F655" s="2960">
        <v>1</v>
      </c>
      <c r="G655" s="2959">
        <v>201</v>
      </c>
      <c r="H655" s="2959" t="s">
        <v>3055</v>
      </c>
      <c r="I655" s="2970">
        <f>J655+L655</f>
        <v>286.63</v>
      </c>
      <c r="J655" s="2970">
        <v>150.29</v>
      </c>
      <c r="K655" s="2970">
        <v>0</v>
      </c>
      <c r="L655" s="2970">
        <f>67.42+68.92</f>
        <v>136.34</v>
      </c>
      <c r="M655" s="2968"/>
      <c r="N655" s="2968"/>
    </row>
    <row r="656" spans="2:14" ht="14.25">
      <c r="B656" s="2958">
        <v>470</v>
      </c>
      <c r="C656" s="2958" t="s">
        <v>3057</v>
      </c>
      <c r="D656" s="2958" t="s">
        <v>3058</v>
      </c>
      <c r="E656" s="2959">
        <v>21</v>
      </c>
      <c r="F656" s="2960">
        <v>1</v>
      </c>
      <c r="G656" s="2959">
        <v>202</v>
      </c>
      <c r="H656" s="2959" t="s">
        <v>3055</v>
      </c>
      <c r="I656" s="2970">
        <f>J656+L656</f>
        <v>312.91999999999996</v>
      </c>
      <c r="J656" s="2970">
        <v>150.29</v>
      </c>
      <c r="K656" s="2970">
        <v>0</v>
      </c>
      <c r="L656" s="2970">
        <f>67.49+95.14</f>
        <v>162.63</v>
      </c>
      <c r="M656" s="2968"/>
      <c r="N656" s="2968"/>
    </row>
    <row r="657" spans="2:14" ht="14.25">
      <c r="B657" s="2958">
        <v>471</v>
      </c>
      <c r="C657" s="2958" t="s">
        <v>3057</v>
      </c>
      <c r="D657" s="2958" t="s">
        <v>3058</v>
      </c>
      <c r="E657" s="2959">
        <v>21</v>
      </c>
      <c r="F657" s="2960">
        <v>1</v>
      </c>
      <c r="G657" s="2959">
        <v>301</v>
      </c>
      <c r="H657" s="2959" t="s">
        <v>3055</v>
      </c>
      <c r="I657" s="2970">
        <v>143.68</v>
      </c>
      <c r="J657" s="2970">
        <v>143.68</v>
      </c>
      <c r="K657" s="2970">
        <v>0</v>
      </c>
      <c r="L657" s="2970">
        <v>0</v>
      </c>
      <c r="M657" s="2968"/>
      <c r="N657" s="2968"/>
    </row>
    <row r="658" spans="2:14" ht="14.25">
      <c r="B658" s="2958">
        <v>472</v>
      </c>
      <c r="C658" s="2958" t="s">
        <v>3057</v>
      </c>
      <c r="D658" s="2958" t="s">
        <v>3058</v>
      </c>
      <c r="E658" s="2959">
        <v>21</v>
      </c>
      <c r="F658" s="2960">
        <v>1</v>
      </c>
      <c r="G658" s="2959">
        <v>302</v>
      </c>
      <c r="H658" s="2959" t="s">
        <v>3055</v>
      </c>
      <c r="I658" s="2970">
        <v>143.68</v>
      </c>
      <c r="J658" s="2970">
        <v>143.68</v>
      </c>
      <c r="K658" s="2970">
        <v>0</v>
      </c>
      <c r="L658" s="2970">
        <v>0</v>
      </c>
      <c r="M658" s="2968"/>
      <c r="N658" s="2968"/>
    </row>
    <row r="659" spans="2:14" ht="14.25">
      <c r="B659" s="2958">
        <v>473</v>
      </c>
      <c r="C659" s="2958" t="s">
        <v>3057</v>
      </c>
      <c r="D659" s="2958" t="s">
        <v>3058</v>
      </c>
      <c r="E659" s="2959">
        <v>21</v>
      </c>
      <c r="F659" s="2960">
        <v>1</v>
      </c>
      <c r="G659" s="2959">
        <v>401</v>
      </c>
      <c r="H659" s="2959" t="s">
        <v>3055</v>
      </c>
      <c r="I659" s="2970">
        <v>143.68</v>
      </c>
      <c r="J659" s="2970">
        <v>143.68</v>
      </c>
      <c r="K659" s="2970">
        <v>0</v>
      </c>
      <c r="L659" s="2970">
        <v>0</v>
      </c>
      <c r="M659" s="2968"/>
      <c r="N659" s="2968"/>
    </row>
    <row r="660" spans="2:14" ht="14.25">
      <c r="B660" s="2958">
        <v>474</v>
      </c>
      <c r="C660" s="2958" t="s">
        <v>3057</v>
      </c>
      <c r="D660" s="2958" t="s">
        <v>3058</v>
      </c>
      <c r="E660" s="2959">
        <v>21</v>
      </c>
      <c r="F660" s="2960">
        <v>1</v>
      </c>
      <c r="G660" s="2959">
        <v>402</v>
      </c>
      <c r="H660" s="2959" t="s">
        <v>3055</v>
      </c>
      <c r="I660" s="2970">
        <v>143.68</v>
      </c>
      <c r="J660" s="2970">
        <v>143.68</v>
      </c>
      <c r="K660" s="2970">
        <v>0</v>
      </c>
      <c r="L660" s="2970">
        <v>0</v>
      </c>
      <c r="M660" s="2968"/>
      <c r="N660" s="2968"/>
    </row>
    <row r="661" spans="2:14" ht="14.25">
      <c r="B661" s="2958">
        <v>475</v>
      </c>
      <c r="C661" s="2958" t="s">
        <v>3057</v>
      </c>
      <c r="D661" s="2958" t="s">
        <v>3058</v>
      </c>
      <c r="E661" s="2959">
        <v>21</v>
      </c>
      <c r="F661" s="2960">
        <v>1</v>
      </c>
      <c r="G661" s="2959">
        <v>501</v>
      </c>
      <c r="H661" s="2959" t="s">
        <v>3055</v>
      </c>
      <c r="I661" s="2970">
        <v>143.68</v>
      </c>
      <c r="J661" s="2970">
        <v>143.68</v>
      </c>
      <c r="K661" s="2970">
        <v>0</v>
      </c>
      <c r="L661" s="2970">
        <v>0</v>
      </c>
      <c r="M661" s="2968"/>
      <c r="N661" s="2968"/>
    </row>
    <row r="662" spans="2:14" ht="14.25">
      <c r="B662" s="2958">
        <v>476</v>
      </c>
      <c r="C662" s="2958" t="s">
        <v>3057</v>
      </c>
      <c r="D662" s="2958" t="s">
        <v>3058</v>
      </c>
      <c r="E662" s="2959">
        <v>21</v>
      </c>
      <c r="F662" s="2960">
        <v>1</v>
      </c>
      <c r="G662" s="2959">
        <v>502</v>
      </c>
      <c r="H662" s="2959" t="s">
        <v>3055</v>
      </c>
      <c r="I662" s="2970">
        <v>143.68</v>
      </c>
      <c r="J662" s="2970">
        <v>143.68</v>
      </c>
      <c r="K662" s="2970">
        <v>0</v>
      </c>
      <c r="L662" s="2970">
        <v>0</v>
      </c>
      <c r="M662" s="2968"/>
      <c r="N662" s="2968"/>
    </row>
    <row r="663" spans="2:14" ht="14.25">
      <c r="B663" s="2958">
        <v>477</v>
      </c>
      <c r="C663" s="2958" t="s">
        <v>3057</v>
      </c>
      <c r="D663" s="2958" t="s">
        <v>3058</v>
      </c>
      <c r="E663" s="2959">
        <v>21</v>
      </c>
      <c r="F663" s="2960">
        <v>1</v>
      </c>
      <c r="G663" s="2959">
        <v>601</v>
      </c>
      <c r="H663" s="2959" t="s">
        <v>3055</v>
      </c>
      <c r="I663" s="2970">
        <v>143.68</v>
      </c>
      <c r="J663" s="2970">
        <v>143.68</v>
      </c>
      <c r="K663" s="2970">
        <v>0</v>
      </c>
      <c r="L663" s="2970">
        <v>0</v>
      </c>
      <c r="M663" s="2968"/>
      <c r="N663" s="2968"/>
    </row>
    <row r="664" spans="2:14" ht="14.25">
      <c r="B664" s="2958">
        <v>478</v>
      </c>
      <c r="C664" s="2958" t="s">
        <v>3057</v>
      </c>
      <c r="D664" s="2958" t="s">
        <v>3058</v>
      </c>
      <c r="E664" s="2959">
        <v>21</v>
      </c>
      <c r="F664" s="2960">
        <v>1</v>
      </c>
      <c r="G664" s="2959">
        <v>602</v>
      </c>
      <c r="H664" s="2959" t="s">
        <v>3055</v>
      </c>
      <c r="I664" s="2970">
        <v>143.68</v>
      </c>
      <c r="J664" s="2970">
        <v>143.68</v>
      </c>
      <c r="K664" s="2970">
        <v>0</v>
      </c>
      <c r="L664" s="2970">
        <v>0</v>
      </c>
      <c r="M664" s="2968"/>
      <c r="N664" s="2968"/>
    </row>
    <row r="665" spans="2:14" ht="14.25">
      <c r="B665" s="2958">
        <v>479</v>
      </c>
      <c r="C665" s="2958" t="s">
        <v>3057</v>
      </c>
      <c r="D665" s="2958" t="s">
        <v>3058</v>
      </c>
      <c r="E665" s="2959">
        <v>21</v>
      </c>
      <c r="F665" s="2960">
        <v>1</v>
      </c>
      <c r="G665" s="2959">
        <v>701</v>
      </c>
      <c r="H665" s="2959" t="s">
        <v>3055</v>
      </c>
      <c r="I665" s="2970">
        <v>143.68</v>
      </c>
      <c r="J665" s="2970">
        <v>143.68</v>
      </c>
      <c r="K665" s="2970">
        <v>0</v>
      </c>
      <c r="L665" s="2970">
        <v>0</v>
      </c>
      <c r="M665" s="2968"/>
      <c r="N665" s="2968"/>
    </row>
    <row r="666" spans="2:14" ht="14.25">
      <c r="B666" s="2958">
        <v>480</v>
      </c>
      <c r="C666" s="2958" t="s">
        <v>3057</v>
      </c>
      <c r="D666" s="2958" t="s">
        <v>3058</v>
      </c>
      <c r="E666" s="2959">
        <v>21</v>
      </c>
      <c r="F666" s="2960">
        <v>1</v>
      </c>
      <c r="G666" s="2959">
        <v>702</v>
      </c>
      <c r="H666" s="2959" t="s">
        <v>3055</v>
      </c>
      <c r="I666" s="2970">
        <v>143.68</v>
      </c>
      <c r="J666" s="2970">
        <v>143.68</v>
      </c>
      <c r="K666" s="2970">
        <v>0</v>
      </c>
      <c r="L666" s="2970">
        <v>0</v>
      </c>
      <c r="M666" s="2968"/>
      <c r="N666" s="2968"/>
    </row>
    <row r="667" spans="2:14" ht="14.25">
      <c r="B667" s="2958">
        <v>481</v>
      </c>
      <c r="C667" s="2958" t="s">
        <v>3057</v>
      </c>
      <c r="D667" s="2958" t="s">
        <v>3058</v>
      </c>
      <c r="E667" s="2959">
        <v>21</v>
      </c>
      <c r="F667" s="2960">
        <v>1</v>
      </c>
      <c r="G667" s="2959">
        <v>801</v>
      </c>
      <c r="H667" s="2959" t="s">
        <v>3055</v>
      </c>
      <c r="I667" s="2970">
        <v>143.68</v>
      </c>
      <c r="J667" s="2970">
        <v>143.68</v>
      </c>
      <c r="K667" s="2970">
        <v>0</v>
      </c>
      <c r="L667" s="2970">
        <v>0</v>
      </c>
      <c r="M667" s="2968"/>
      <c r="N667" s="2968"/>
    </row>
    <row r="668" spans="2:14" ht="14.25">
      <c r="B668" s="2958">
        <v>482</v>
      </c>
      <c r="C668" s="2958" t="s">
        <v>3057</v>
      </c>
      <c r="D668" s="2958" t="s">
        <v>3058</v>
      </c>
      <c r="E668" s="2959">
        <v>21</v>
      </c>
      <c r="F668" s="2960">
        <v>1</v>
      </c>
      <c r="G668" s="2959">
        <v>802</v>
      </c>
      <c r="H668" s="2959" t="s">
        <v>3055</v>
      </c>
      <c r="I668" s="2970">
        <v>143.68</v>
      </c>
      <c r="J668" s="2970">
        <v>143.68</v>
      </c>
      <c r="K668" s="2970">
        <v>0</v>
      </c>
      <c r="L668" s="2970">
        <v>0</v>
      </c>
      <c r="M668" s="2968"/>
      <c r="N668" s="2968"/>
    </row>
    <row r="669" spans="2:14" ht="14.25">
      <c r="B669" s="2958">
        <v>483</v>
      </c>
      <c r="C669" s="2958" t="s">
        <v>3057</v>
      </c>
      <c r="D669" s="2958" t="s">
        <v>3058</v>
      </c>
      <c r="E669" s="2959">
        <v>21</v>
      </c>
      <c r="F669" s="2960">
        <v>1</v>
      </c>
      <c r="G669" s="2959">
        <v>901</v>
      </c>
      <c r="H669" s="2959" t="s">
        <v>3055</v>
      </c>
      <c r="I669" s="2970">
        <v>143.68</v>
      </c>
      <c r="J669" s="2970">
        <v>143.68</v>
      </c>
      <c r="K669" s="2970">
        <v>0</v>
      </c>
      <c r="L669" s="2970">
        <v>0</v>
      </c>
      <c r="M669" s="2968"/>
      <c r="N669" s="2968"/>
    </row>
    <row r="670" spans="2:14" ht="14.25">
      <c r="B670" s="2958">
        <v>484</v>
      </c>
      <c r="C670" s="2958" t="s">
        <v>3057</v>
      </c>
      <c r="D670" s="2958" t="s">
        <v>3058</v>
      </c>
      <c r="E670" s="2959">
        <v>21</v>
      </c>
      <c r="F670" s="2960">
        <v>1</v>
      </c>
      <c r="G670" s="2959">
        <v>902</v>
      </c>
      <c r="H670" s="2959" t="s">
        <v>3055</v>
      </c>
      <c r="I670" s="2970">
        <v>143.68</v>
      </c>
      <c r="J670" s="2970">
        <v>143.68</v>
      </c>
      <c r="K670" s="2970">
        <v>0</v>
      </c>
      <c r="L670" s="2970">
        <v>0</v>
      </c>
      <c r="M670" s="2968"/>
      <c r="N670" s="2968"/>
    </row>
    <row r="671" spans="2:14" ht="14.25">
      <c r="B671" s="2958">
        <v>485</v>
      </c>
      <c r="C671" s="2958" t="s">
        <v>3057</v>
      </c>
      <c r="D671" s="2958" t="s">
        <v>3058</v>
      </c>
      <c r="E671" s="2959">
        <v>21</v>
      </c>
      <c r="F671" s="2960">
        <v>1</v>
      </c>
      <c r="G671" s="2959">
        <v>1001</v>
      </c>
      <c r="H671" s="2959" t="s">
        <v>3055</v>
      </c>
      <c r="I671" s="2970">
        <v>143.68</v>
      </c>
      <c r="J671" s="2970">
        <v>143.68</v>
      </c>
      <c r="K671" s="2970">
        <v>0</v>
      </c>
      <c r="L671" s="2970">
        <v>0</v>
      </c>
      <c r="M671" s="2968"/>
      <c r="N671" s="2968"/>
    </row>
    <row r="672" spans="2:14" ht="14.25">
      <c r="B672" s="2958">
        <v>486</v>
      </c>
      <c r="C672" s="2958" t="s">
        <v>3057</v>
      </c>
      <c r="D672" s="2958" t="s">
        <v>3058</v>
      </c>
      <c r="E672" s="2959">
        <v>21</v>
      </c>
      <c r="F672" s="2960">
        <v>1</v>
      </c>
      <c r="G672" s="2959">
        <v>1002</v>
      </c>
      <c r="H672" s="2959" t="s">
        <v>3055</v>
      </c>
      <c r="I672" s="2970">
        <v>143.68</v>
      </c>
      <c r="J672" s="2970">
        <v>143.68</v>
      </c>
      <c r="K672" s="2970">
        <v>0</v>
      </c>
      <c r="L672" s="2970">
        <v>0</v>
      </c>
      <c r="M672" s="2968"/>
      <c r="N672" s="2968"/>
    </row>
    <row r="673" spans="2:14" ht="14.25">
      <c r="B673" s="2958">
        <v>487</v>
      </c>
      <c r="C673" s="2958" t="s">
        <v>3057</v>
      </c>
      <c r="D673" s="2958" t="s">
        <v>3058</v>
      </c>
      <c r="E673" s="2959">
        <v>21</v>
      </c>
      <c r="F673" s="2960">
        <v>1</v>
      </c>
      <c r="G673" s="2959">
        <v>1101</v>
      </c>
      <c r="H673" s="2959" t="s">
        <v>3055</v>
      </c>
      <c r="I673" s="2970">
        <f>J673+K673</f>
        <v>201.08</v>
      </c>
      <c r="J673" s="2970">
        <v>143.9</v>
      </c>
      <c r="K673" s="2970">
        <v>57.18</v>
      </c>
      <c r="L673" s="2970">
        <v>0</v>
      </c>
      <c r="M673" s="2968"/>
      <c r="N673" s="2968"/>
    </row>
    <row r="674" spans="2:14" ht="14.25">
      <c r="B674" s="2958">
        <v>488</v>
      </c>
      <c r="C674" s="2958" t="s">
        <v>3057</v>
      </c>
      <c r="D674" s="2958" t="s">
        <v>3058</v>
      </c>
      <c r="E674" s="2959">
        <v>21</v>
      </c>
      <c r="F674" s="2960">
        <v>1</v>
      </c>
      <c r="G674" s="2959">
        <v>1102</v>
      </c>
      <c r="H674" s="2959" t="s">
        <v>3055</v>
      </c>
      <c r="I674" s="2970">
        <f>J674+K674</f>
        <v>219.35000000000002</v>
      </c>
      <c r="J674" s="2970">
        <v>143.9</v>
      </c>
      <c r="K674" s="2970">
        <v>75.45</v>
      </c>
      <c r="L674" s="2970">
        <v>0</v>
      </c>
      <c r="M674" s="2968"/>
      <c r="N674" s="2968"/>
    </row>
    <row r="675" spans="2:14" ht="14.25">
      <c r="B675" s="2958">
        <v>489</v>
      </c>
      <c r="C675" s="2958" t="s">
        <v>3057</v>
      </c>
      <c r="D675" s="2958" t="s">
        <v>3058</v>
      </c>
      <c r="E675" s="2959">
        <v>21</v>
      </c>
      <c r="F675" s="2960">
        <v>2</v>
      </c>
      <c r="G675" s="2959">
        <v>103</v>
      </c>
      <c r="H675" s="2959" t="s">
        <v>3055</v>
      </c>
      <c r="I675" s="2970">
        <f>J675+L675</f>
        <v>330.88</v>
      </c>
      <c r="J675" s="2970">
        <v>132.91</v>
      </c>
      <c r="K675" s="2970">
        <v>0</v>
      </c>
      <c r="L675" s="2970">
        <f>111.35+86.62</f>
        <v>197.97</v>
      </c>
      <c r="M675" s="2968"/>
      <c r="N675" s="2968"/>
    </row>
    <row r="676" spans="2:14" ht="14.25">
      <c r="B676" s="2958">
        <v>490</v>
      </c>
      <c r="C676" s="2958" t="s">
        <v>3057</v>
      </c>
      <c r="D676" s="2958" t="s">
        <v>3058</v>
      </c>
      <c r="E676" s="2959">
        <v>21</v>
      </c>
      <c r="F676" s="2960">
        <v>2</v>
      </c>
      <c r="G676" s="2959">
        <v>104</v>
      </c>
      <c r="H676" s="2959" t="s">
        <v>3055</v>
      </c>
      <c r="I676" s="2970">
        <f>J676+L676</f>
        <v>337.26</v>
      </c>
      <c r="J676" s="2970">
        <v>132.91</v>
      </c>
      <c r="K676" s="2970">
        <v>0</v>
      </c>
      <c r="L676" s="2970">
        <f>111.13+93.22</f>
        <v>204.35</v>
      </c>
      <c r="M676" s="2968"/>
      <c r="N676" s="2968"/>
    </row>
    <row r="677" spans="2:14" ht="14.25">
      <c r="B677" s="2958">
        <v>491</v>
      </c>
      <c r="C677" s="2958" t="s">
        <v>3057</v>
      </c>
      <c r="D677" s="2958" t="s">
        <v>3058</v>
      </c>
      <c r="E677" s="2959">
        <v>21</v>
      </c>
      <c r="F677" s="2960">
        <v>2</v>
      </c>
      <c r="G677" s="2959">
        <v>203</v>
      </c>
      <c r="H677" s="2959" t="s">
        <v>3055</v>
      </c>
      <c r="I677" s="2970">
        <f>J677+L677</f>
        <v>312.7</v>
      </c>
      <c r="J677" s="2970">
        <v>150.19999999999999</v>
      </c>
      <c r="K677" s="2970">
        <v>0</v>
      </c>
      <c r="L677" s="2970">
        <f>67.44+95.06</f>
        <v>162.5</v>
      </c>
      <c r="M677" s="2968"/>
      <c r="N677" s="2968"/>
    </row>
    <row r="678" spans="2:14" ht="14.25">
      <c r="B678" s="2958">
        <v>492</v>
      </c>
      <c r="C678" s="2958" t="s">
        <v>3057</v>
      </c>
      <c r="D678" s="2958" t="s">
        <v>3058</v>
      </c>
      <c r="E678" s="2959">
        <v>21</v>
      </c>
      <c r="F678" s="2960">
        <v>2</v>
      </c>
      <c r="G678" s="2959">
        <v>204</v>
      </c>
      <c r="H678" s="2959" t="s">
        <v>3055</v>
      </c>
      <c r="I678" s="2970">
        <f>J678+L678</f>
        <v>286.43</v>
      </c>
      <c r="J678" s="2970">
        <v>150.19999999999999</v>
      </c>
      <c r="K678" s="2970">
        <v>0</v>
      </c>
      <c r="L678" s="2970">
        <f>67.37+68.86</f>
        <v>136.23000000000002</v>
      </c>
      <c r="M678" s="2968"/>
      <c r="N678" s="2968"/>
    </row>
    <row r="679" spans="2:14" ht="14.25">
      <c r="B679" s="2958">
        <v>493</v>
      </c>
      <c r="C679" s="2958" t="s">
        <v>3057</v>
      </c>
      <c r="D679" s="2958" t="s">
        <v>3058</v>
      </c>
      <c r="E679" s="2959">
        <v>21</v>
      </c>
      <c r="F679" s="2960">
        <v>2</v>
      </c>
      <c r="G679" s="2959">
        <v>303</v>
      </c>
      <c r="H679" s="2959" t="s">
        <v>3055</v>
      </c>
      <c r="I679" s="2970">
        <v>143.6</v>
      </c>
      <c r="J679" s="2970">
        <v>143.6</v>
      </c>
      <c r="K679" s="2970">
        <v>0</v>
      </c>
      <c r="L679" s="2970">
        <v>0</v>
      </c>
      <c r="M679" s="2968"/>
      <c r="N679" s="2968"/>
    </row>
    <row r="680" spans="2:14" ht="14.25">
      <c r="B680" s="2958">
        <v>494</v>
      </c>
      <c r="C680" s="2958" t="s">
        <v>3057</v>
      </c>
      <c r="D680" s="2958" t="s">
        <v>3058</v>
      </c>
      <c r="E680" s="2959">
        <v>21</v>
      </c>
      <c r="F680" s="2960">
        <v>2</v>
      </c>
      <c r="G680" s="2959">
        <v>304</v>
      </c>
      <c r="H680" s="2959" t="s">
        <v>3055</v>
      </c>
      <c r="I680" s="2970">
        <v>143.6</v>
      </c>
      <c r="J680" s="2970">
        <v>143.6</v>
      </c>
      <c r="K680" s="2970">
        <v>0</v>
      </c>
      <c r="L680" s="2970">
        <v>0</v>
      </c>
      <c r="M680" s="2968"/>
      <c r="N680" s="2968"/>
    </row>
    <row r="681" spans="2:14" ht="14.25">
      <c r="B681" s="2958">
        <v>495</v>
      </c>
      <c r="C681" s="2958" t="s">
        <v>3057</v>
      </c>
      <c r="D681" s="2958" t="s">
        <v>3058</v>
      </c>
      <c r="E681" s="2959">
        <v>21</v>
      </c>
      <c r="F681" s="2960">
        <v>2</v>
      </c>
      <c r="G681" s="2959">
        <v>403</v>
      </c>
      <c r="H681" s="2959" t="s">
        <v>3055</v>
      </c>
      <c r="I681" s="2970">
        <v>143.6</v>
      </c>
      <c r="J681" s="2970">
        <v>143.6</v>
      </c>
      <c r="K681" s="2970">
        <v>0</v>
      </c>
      <c r="L681" s="2970">
        <v>0</v>
      </c>
      <c r="M681" s="2968"/>
      <c r="N681" s="2968"/>
    </row>
    <row r="682" spans="2:14" ht="14.25">
      <c r="B682" s="2958">
        <v>496</v>
      </c>
      <c r="C682" s="2958" t="s">
        <v>3057</v>
      </c>
      <c r="D682" s="2958" t="s">
        <v>3058</v>
      </c>
      <c r="E682" s="2959">
        <v>21</v>
      </c>
      <c r="F682" s="2960">
        <v>2</v>
      </c>
      <c r="G682" s="2959">
        <v>404</v>
      </c>
      <c r="H682" s="2959" t="s">
        <v>3055</v>
      </c>
      <c r="I682" s="2970">
        <v>143.6</v>
      </c>
      <c r="J682" s="2970">
        <v>143.6</v>
      </c>
      <c r="K682" s="2970">
        <v>0</v>
      </c>
      <c r="L682" s="2970">
        <v>0</v>
      </c>
      <c r="M682" s="2968"/>
      <c r="N682" s="2968"/>
    </row>
    <row r="683" spans="2:14" ht="14.25">
      <c r="B683" s="2958">
        <v>497</v>
      </c>
      <c r="C683" s="2958" t="s">
        <v>3057</v>
      </c>
      <c r="D683" s="2958" t="s">
        <v>3058</v>
      </c>
      <c r="E683" s="2959">
        <v>21</v>
      </c>
      <c r="F683" s="2960">
        <v>2</v>
      </c>
      <c r="G683" s="2959">
        <v>503</v>
      </c>
      <c r="H683" s="2959" t="s">
        <v>3055</v>
      </c>
      <c r="I683" s="2970">
        <v>143.6</v>
      </c>
      <c r="J683" s="2970">
        <v>143.6</v>
      </c>
      <c r="K683" s="2970">
        <v>0</v>
      </c>
      <c r="L683" s="2970">
        <v>0</v>
      </c>
      <c r="M683" s="2968"/>
      <c r="N683" s="2968"/>
    </row>
    <row r="684" spans="2:14" ht="14.25">
      <c r="B684" s="2958">
        <v>498</v>
      </c>
      <c r="C684" s="2958" t="s">
        <v>3057</v>
      </c>
      <c r="D684" s="2958" t="s">
        <v>3058</v>
      </c>
      <c r="E684" s="2959">
        <v>21</v>
      </c>
      <c r="F684" s="2960">
        <v>2</v>
      </c>
      <c r="G684" s="2959">
        <v>504</v>
      </c>
      <c r="H684" s="2959" t="s">
        <v>3055</v>
      </c>
      <c r="I684" s="2970">
        <v>143.6</v>
      </c>
      <c r="J684" s="2970">
        <v>143.6</v>
      </c>
      <c r="K684" s="2970">
        <v>0</v>
      </c>
      <c r="L684" s="2970">
        <v>0</v>
      </c>
      <c r="M684" s="2968"/>
      <c r="N684" s="2968"/>
    </row>
    <row r="685" spans="2:14" ht="14.25">
      <c r="B685" s="2958">
        <v>499</v>
      </c>
      <c r="C685" s="2958" t="s">
        <v>3057</v>
      </c>
      <c r="D685" s="2958" t="s">
        <v>3058</v>
      </c>
      <c r="E685" s="2959">
        <v>21</v>
      </c>
      <c r="F685" s="2960">
        <v>2</v>
      </c>
      <c r="G685" s="2959">
        <v>603</v>
      </c>
      <c r="H685" s="2959" t="s">
        <v>3055</v>
      </c>
      <c r="I685" s="2970">
        <v>143.6</v>
      </c>
      <c r="J685" s="2970">
        <v>143.6</v>
      </c>
      <c r="K685" s="2970">
        <v>0</v>
      </c>
      <c r="L685" s="2970">
        <v>0</v>
      </c>
      <c r="M685" s="2968"/>
      <c r="N685" s="2968"/>
    </row>
    <row r="686" spans="2:14" ht="14.25">
      <c r="B686" s="2958">
        <v>500</v>
      </c>
      <c r="C686" s="2958" t="s">
        <v>3057</v>
      </c>
      <c r="D686" s="2958" t="s">
        <v>3058</v>
      </c>
      <c r="E686" s="2959">
        <v>21</v>
      </c>
      <c r="F686" s="2960">
        <v>2</v>
      </c>
      <c r="G686" s="2959">
        <v>604</v>
      </c>
      <c r="H686" s="2959" t="s">
        <v>3055</v>
      </c>
      <c r="I686" s="2970">
        <v>143.6</v>
      </c>
      <c r="J686" s="2970">
        <v>143.6</v>
      </c>
      <c r="K686" s="2970">
        <v>0</v>
      </c>
      <c r="L686" s="2970">
        <v>0</v>
      </c>
      <c r="M686" s="2968"/>
      <c r="N686" s="2968"/>
    </row>
    <row r="687" spans="2:14" ht="14.25">
      <c r="B687" s="2958">
        <v>501</v>
      </c>
      <c r="C687" s="2958" t="s">
        <v>3057</v>
      </c>
      <c r="D687" s="2958" t="s">
        <v>3058</v>
      </c>
      <c r="E687" s="2959">
        <v>21</v>
      </c>
      <c r="F687" s="2960">
        <v>2</v>
      </c>
      <c r="G687" s="2959">
        <v>703</v>
      </c>
      <c r="H687" s="2959" t="s">
        <v>3055</v>
      </c>
      <c r="I687" s="2970">
        <v>143.6</v>
      </c>
      <c r="J687" s="2970">
        <v>143.6</v>
      </c>
      <c r="K687" s="2970">
        <v>0</v>
      </c>
      <c r="L687" s="2970">
        <v>0</v>
      </c>
      <c r="M687" s="2968"/>
      <c r="N687" s="2968"/>
    </row>
    <row r="688" spans="2:14" ht="14.25">
      <c r="B688" s="2958">
        <v>502</v>
      </c>
      <c r="C688" s="2958" t="s">
        <v>3057</v>
      </c>
      <c r="D688" s="2958" t="s">
        <v>3058</v>
      </c>
      <c r="E688" s="2959">
        <v>21</v>
      </c>
      <c r="F688" s="2960">
        <v>2</v>
      </c>
      <c r="G688" s="2959">
        <v>704</v>
      </c>
      <c r="H688" s="2959" t="s">
        <v>3055</v>
      </c>
      <c r="I688" s="2970">
        <v>143.6</v>
      </c>
      <c r="J688" s="2970">
        <v>143.6</v>
      </c>
      <c r="K688" s="2970">
        <v>0</v>
      </c>
      <c r="L688" s="2970">
        <v>0</v>
      </c>
      <c r="M688" s="2968"/>
      <c r="N688" s="2968"/>
    </row>
    <row r="689" spans="2:14" ht="14.25">
      <c r="B689" s="2958">
        <v>503</v>
      </c>
      <c r="C689" s="2958" t="s">
        <v>3057</v>
      </c>
      <c r="D689" s="2958" t="s">
        <v>3058</v>
      </c>
      <c r="E689" s="2959">
        <v>21</v>
      </c>
      <c r="F689" s="2960">
        <v>2</v>
      </c>
      <c r="G689" s="2959">
        <v>803</v>
      </c>
      <c r="H689" s="2959" t="s">
        <v>3055</v>
      </c>
      <c r="I689" s="2970">
        <v>143.6</v>
      </c>
      <c r="J689" s="2970">
        <v>143.6</v>
      </c>
      <c r="K689" s="2970">
        <v>0</v>
      </c>
      <c r="L689" s="2970">
        <v>0</v>
      </c>
      <c r="M689" s="2968"/>
      <c r="N689" s="2968"/>
    </row>
    <row r="690" spans="2:14" ht="14.25">
      <c r="B690" s="2958">
        <v>504</v>
      </c>
      <c r="C690" s="2958" t="s">
        <v>3057</v>
      </c>
      <c r="D690" s="2958" t="s">
        <v>3058</v>
      </c>
      <c r="E690" s="2959">
        <v>21</v>
      </c>
      <c r="F690" s="2960">
        <v>2</v>
      </c>
      <c r="G690" s="2959">
        <v>804</v>
      </c>
      <c r="H690" s="2959" t="s">
        <v>3055</v>
      </c>
      <c r="I690" s="2970">
        <v>143.6</v>
      </c>
      <c r="J690" s="2970">
        <v>143.6</v>
      </c>
      <c r="K690" s="2970">
        <v>0</v>
      </c>
      <c r="L690" s="2970">
        <v>0</v>
      </c>
      <c r="M690" s="2968"/>
      <c r="N690" s="2968"/>
    </row>
    <row r="691" spans="2:14" ht="14.25">
      <c r="B691" s="2958">
        <v>505</v>
      </c>
      <c r="C691" s="2958" t="s">
        <v>3057</v>
      </c>
      <c r="D691" s="2958" t="s">
        <v>3058</v>
      </c>
      <c r="E691" s="2959">
        <v>21</v>
      </c>
      <c r="F691" s="2960">
        <v>2</v>
      </c>
      <c r="G691" s="2959">
        <v>903</v>
      </c>
      <c r="H691" s="2959" t="s">
        <v>3055</v>
      </c>
      <c r="I691" s="2970">
        <v>143.6</v>
      </c>
      <c r="J691" s="2970">
        <v>143.6</v>
      </c>
      <c r="K691" s="2970">
        <v>0</v>
      </c>
      <c r="L691" s="2970">
        <v>0</v>
      </c>
      <c r="M691" s="2968"/>
      <c r="N691" s="2968"/>
    </row>
    <row r="692" spans="2:14" ht="14.25">
      <c r="B692" s="2958">
        <v>506</v>
      </c>
      <c r="C692" s="2958" t="s">
        <v>3057</v>
      </c>
      <c r="D692" s="2958" t="s">
        <v>3058</v>
      </c>
      <c r="E692" s="2959">
        <v>21</v>
      </c>
      <c r="F692" s="2960">
        <v>2</v>
      </c>
      <c r="G692" s="2959">
        <v>904</v>
      </c>
      <c r="H692" s="2959" t="s">
        <v>3055</v>
      </c>
      <c r="I692" s="2970">
        <v>143.6</v>
      </c>
      <c r="J692" s="2970">
        <v>143.6</v>
      </c>
      <c r="K692" s="2970">
        <v>0</v>
      </c>
      <c r="L692" s="2970">
        <v>0</v>
      </c>
      <c r="M692" s="2968"/>
      <c r="N692" s="2968"/>
    </row>
    <row r="693" spans="2:14" ht="14.25">
      <c r="B693" s="2958">
        <v>507</v>
      </c>
      <c r="C693" s="2958" t="s">
        <v>3057</v>
      </c>
      <c r="D693" s="2958" t="s">
        <v>3058</v>
      </c>
      <c r="E693" s="2959">
        <v>21</v>
      </c>
      <c r="F693" s="2960">
        <v>2</v>
      </c>
      <c r="G693" s="2959">
        <v>1003</v>
      </c>
      <c r="H693" s="2959" t="s">
        <v>3055</v>
      </c>
      <c r="I693" s="2970">
        <v>143.6</v>
      </c>
      <c r="J693" s="2970">
        <v>143.6</v>
      </c>
      <c r="K693" s="2970">
        <v>0</v>
      </c>
      <c r="L693" s="2970">
        <v>0</v>
      </c>
      <c r="M693" s="2968"/>
      <c r="N693" s="2968"/>
    </row>
    <row r="694" spans="2:14" ht="14.25">
      <c r="B694" s="2958">
        <v>508</v>
      </c>
      <c r="C694" s="2958" t="s">
        <v>3057</v>
      </c>
      <c r="D694" s="2958" t="s">
        <v>3058</v>
      </c>
      <c r="E694" s="2959">
        <v>21</v>
      </c>
      <c r="F694" s="2960">
        <v>2</v>
      </c>
      <c r="G694" s="2959">
        <v>1004</v>
      </c>
      <c r="H694" s="2959" t="s">
        <v>3055</v>
      </c>
      <c r="I694" s="2970">
        <v>143.6</v>
      </c>
      <c r="J694" s="2970">
        <v>143.6</v>
      </c>
      <c r="K694" s="2970">
        <v>0</v>
      </c>
      <c r="L694" s="2970">
        <v>0</v>
      </c>
      <c r="M694" s="2968"/>
      <c r="N694" s="2968"/>
    </row>
    <row r="695" spans="2:14" ht="14.25">
      <c r="B695" s="2958">
        <v>509</v>
      </c>
      <c r="C695" s="2958" t="s">
        <v>3057</v>
      </c>
      <c r="D695" s="2958" t="s">
        <v>3058</v>
      </c>
      <c r="E695" s="2959">
        <v>21</v>
      </c>
      <c r="F695" s="2960">
        <v>2</v>
      </c>
      <c r="G695" s="2959">
        <v>1103</v>
      </c>
      <c r="H695" s="2959" t="s">
        <v>3055</v>
      </c>
      <c r="I695" s="2970">
        <f>J695+K695</f>
        <v>219.21</v>
      </c>
      <c r="J695" s="2970">
        <v>143.81</v>
      </c>
      <c r="K695" s="2970">
        <v>75.400000000000006</v>
      </c>
      <c r="L695" s="2970">
        <v>0</v>
      </c>
      <c r="M695" s="2968"/>
      <c r="N695" s="2968"/>
    </row>
    <row r="696" spans="2:14" ht="14.25">
      <c r="B696" s="2958">
        <v>510</v>
      </c>
      <c r="C696" s="2958" t="s">
        <v>3057</v>
      </c>
      <c r="D696" s="2958" t="s">
        <v>3058</v>
      </c>
      <c r="E696" s="2959">
        <v>21</v>
      </c>
      <c r="F696" s="2960">
        <v>2</v>
      </c>
      <c r="G696" s="2959">
        <v>1104</v>
      </c>
      <c r="H696" s="2959" t="s">
        <v>3055</v>
      </c>
      <c r="I696" s="2970">
        <f>J696+K696</f>
        <v>200.96</v>
      </c>
      <c r="J696" s="2970">
        <v>143.81</v>
      </c>
      <c r="K696" s="2970">
        <v>57.15</v>
      </c>
      <c r="L696" s="2970">
        <v>0</v>
      </c>
      <c r="M696" s="2968"/>
      <c r="N696" s="2968"/>
    </row>
    <row r="697" spans="2:14" ht="14.25">
      <c r="B697" s="2958">
        <v>134</v>
      </c>
      <c r="C697" s="2958" t="s">
        <v>3053</v>
      </c>
      <c r="D697" s="2958" t="s">
        <v>3061</v>
      </c>
      <c r="E697" s="2959">
        <v>22</v>
      </c>
      <c r="F697" s="2960">
        <v>1</v>
      </c>
      <c r="G697" s="2959">
        <v>101</v>
      </c>
      <c r="H697" s="2959" t="s">
        <v>3055</v>
      </c>
      <c r="I697" s="2960">
        <v>394.01</v>
      </c>
      <c r="J697" s="2960">
        <f>87.42+84.08+42.01</f>
        <v>213.51</v>
      </c>
      <c r="K697" s="2960">
        <v>0</v>
      </c>
      <c r="L697" s="2960">
        <f>93.08+87.42</f>
        <v>180.5</v>
      </c>
      <c r="M697" s="2968">
        <v>0</v>
      </c>
      <c r="N697" s="2968">
        <v>0</v>
      </c>
    </row>
    <row r="698" spans="2:14" ht="14.25">
      <c r="B698" s="2958">
        <v>135</v>
      </c>
      <c r="C698" s="2958" t="s">
        <v>3053</v>
      </c>
      <c r="D698" s="2958" t="s">
        <v>3061</v>
      </c>
      <c r="E698" s="2959">
        <v>22</v>
      </c>
      <c r="F698" s="2960">
        <v>1</v>
      </c>
      <c r="G698" s="2959">
        <v>102</v>
      </c>
      <c r="H698" s="2959" t="s">
        <v>3055</v>
      </c>
      <c r="I698" s="2960">
        <v>394.01</v>
      </c>
      <c r="J698" s="2960">
        <f>87.42+84.08+42.01</f>
        <v>213.51</v>
      </c>
      <c r="K698" s="2960">
        <v>0</v>
      </c>
      <c r="L698" s="2960">
        <f>93.08+87.42</f>
        <v>180.5</v>
      </c>
      <c r="M698" s="2968"/>
      <c r="N698" s="2968"/>
    </row>
    <row r="699" spans="2:14" ht="14.25">
      <c r="B699" s="2958">
        <v>136</v>
      </c>
      <c r="C699" s="2958" t="s">
        <v>3053</v>
      </c>
      <c r="D699" s="2958" t="s">
        <v>3061</v>
      </c>
      <c r="E699" s="2959">
        <v>23</v>
      </c>
      <c r="F699" s="2960">
        <v>1</v>
      </c>
      <c r="G699" s="2959">
        <v>101</v>
      </c>
      <c r="H699" s="2959" t="s">
        <v>3055</v>
      </c>
      <c r="I699" s="2960">
        <v>393.48</v>
      </c>
      <c r="J699" s="2960">
        <f>87.3+83.97+41.95</f>
        <v>213.21999999999997</v>
      </c>
      <c r="K699" s="2960">
        <v>0</v>
      </c>
      <c r="L699" s="2960">
        <f>92.96+87.3</f>
        <v>180.26</v>
      </c>
      <c r="M699" s="2968">
        <v>0</v>
      </c>
      <c r="N699" s="2968">
        <v>0</v>
      </c>
    </row>
    <row r="700" spans="2:14" ht="14.25">
      <c r="B700" s="2958">
        <v>137</v>
      </c>
      <c r="C700" s="2958" t="s">
        <v>3053</v>
      </c>
      <c r="D700" s="2958" t="s">
        <v>3061</v>
      </c>
      <c r="E700" s="2959">
        <v>23</v>
      </c>
      <c r="F700" s="2960">
        <v>1</v>
      </c>
      <c r="G700" s="2959">
        <v>102</v>
      </c>
      <c r="H700" s="2959" t="s">
        <v>3055</v>
      </c>
      <c r="I700" s="2960">
        <v>432.9</v>
      </c>
      <c r="J700" s="2960">
        <f>87.3+83.97+41.95</f>
        <v>213.21999999999997</v>
      </c>
      <c r="K700" s="2960">
        <v>0</v>
      </c>
      <c r="L700" s="2960">
        <f>92.96+126.72</f>
        <v>219.68</v>
      </c>
      <c r="M700" s="2968"/>
      <c r="N700" s="2968"/>
    </row>
    <row r="701" spans="2:14" ht="14.25">
      <c r="B701" s="2958">
        <v>138</v>
      </c>
      <c r="C701" s="2958" t="s">
        <v>3053</v>
      </c>
      <c r="D701" s="2958" t="s">
        <v>3061</v>
      </c>
      <c r="E701" s="2959">
        <v>24</v>
      </c>
      <c r="F701" s="2960">
        <v>1</v>
      </c>
      <c r="G701" s="2959">
        <v>101</v>
      </c>
      <c r="H701" s="2959" t="s">
        <v>3055</v>
      </c>
      <c r="I701" s="2960">
        <v>390.73</v>
      </c>
      <c r="J701" s="2960">
        <f t="shared" ref="J701:J706" si="0">86.69+83.38+41.66</f>
        <v>211.73</v>
      </c>
      <c r="K701" s="2960">
        <v>0</v>
      </c>
      <c r="L701" s="2960">
        <f>92.31+86.69</f>
        <v>179</v>
      </c>
      <c r="M701" s="2968">
        <v>0</v>
      </c>
      <c r="N701" s="2968">
        <v>0</v>
      </c>
    </row>
    <row r="702" spans="2:14" ht="14.25">
      <c r="B702" s="2958">
        <v>139</v>
      </c>
      <c r="C702" s="2958" t="s">
        <v>3053</v>
      </c>
      <c r="D702" s="2958" t="s">
        <v>3061</v>
      </c>
      <c r="E702" s="2959">
        <v>24</v>
      </c>
      <c r="F702" s="2960">
        <v>1</v>
      </c>
      <c r="G702" s="2959">
        <v>102</v>
      </c>
      <c r="H702" s="2959" t="s">
        <v>3055</v>
      </c>
      <c r="I702" s="2960">
        <v>429.88</v>
      </c>
      <c r="J702" s="2960">
        <f t="shared" si="0"/>
        <v>211.73</v>
      </c>
      <c r="K702" s="2960">
        <v>0</v>
      </c>
      <c r="L702" s="2960">
        <f>92.31+125.84</f>
        <v>218.15</v>
      </c>
      <c r="M702" s="2968"/>
      <c r="N702" s="2968"/>
    </row>
    <row r="703" spans="2:14" ht="14.25">
      <c r="B703" s="2958">
        <v>140</v>
      </c>
      <c r="C703" s="2958" t="s">
        <v>3053</v>
      </c>
      <c r="D703" s="2958" t="s">
        <v>3061</v>
      </c>
      <c r="E703" s="2959">
        <v>24</v>
      </c>
      <c r="F703" s="2960">
        <v>1</v>
      </c>
      <c r="G703" s="2959">
        <v>103</v>
      </c>
      <c r="H703" s="2959" t="s">
        <v>3055</v>
      </c>
      <c r="I703" s="2960">
        <v>390.73</v>
      </c>
      <c r="J703" s="2960">
        <f t="shared" si="0"/>
        <v>211.73</v>
      </c>
      <c r="K703" s="2960">
        <v>0</v>
      </c>
      <c r="L703" s="2960">
        <f>92.31+86.69</f>
        <v>179</v>
      </c>
      <c r="M703" s="2968"/>
      <c r="N703" s="2968"/>
    </row>
    <row r="704" spans="2:14" ht="14.25">
      <c r="B704" s="2958">
        <v>141</v>
      </c>
      <c r="C704" s="2958" t="s">
        <v>3053</v>
      </c>
      <c r="D704" s="2958" t="s">
        <v>3061</v>
      </c>
      <c r="E704" s="2959">
        <v>24</v>
      </c>
      <c r="F704" s="2960">
        <v>1</v>
      </c>
      <c r="G704" s="2959">
        <v>104</v>
      </c>
      <c r="H704" s="2959" t="s">
        <v>3055</v>
      </c>
      <c r="I704" s="2960">
        <v>429.88</v>
      </c>
      <c r="J704" s="2960">
        <f t="shared" si="0"/>
        <v>211.73</v>
      </c>
      <c r="K704" s="2960">
        <v>0</v>
      </c>
      <c r="L704" s="2960">
        <f>92.31+125.84</f>
        <v>218.15</v>
      </c>
      <c r="M704" s="2968"/>
      <c r="N704" s="2968"/>
    </row>
    <row r="705" spans="2:14" ht="14.25">
      <c r="B705" s="2958">
        <v>142</v>
      </c>
      <c r="C705" s="2958" t="s">
        <v>3053</v>
      </c>
      <c r="D705" s="2958" t="s">
        <v>3061</v>
      </c>
      <c r="E705" s="2959">
        <v>24</v>
      </c>
      <c r="F705" s="2960">
        <v>1</v>
      </c>
      <c r="G705" s="2959">
        <v>105</v>
      </c>
      <c r="H705" s="2959" t="s">
        <v>3055</v>
      </c>
      <c r="I705" s="2960">
        <v>390.73</v>
      </c>
      <c r="J705" s="2960">
        <f t="shared" si="0"/>
        <v>211.73</v>
      </c>
      <c r="K705" s="2960">
        <v>0</v>
      </c>
      <c r="L705" s="2960">
        <f>92.31+86.69</f>
        <v>179</v>
      </c>
      <c r="M705" s="2968"/>
      <c r="N705" s="2968"/>
    </row>
    <row r="706" spans="2:14" ht="14.25">
      <c r="B706" s="2958">
        <v>143</v>
      </c>
      <c r="C706" s="2958" t="s">
        <v>3053</v>
      </c>
      <c r="D706" s="2958" t="s">
        <v>3061</v>
      </c>
      <c r="E706" s="2959">
        <v>24</v>
      </c>
      <c r="F706" s="2960">
        <v>1</v>
      </c>
      <c r="G706" s="2959">
        <v>106</v>
      </c>
      <c r="H706" s="2959" t="s">
        <v>3055</v>
      </c>
      <c r="I706" s="2960">
        <v>429.88</v>
      </c>
      <c r="J706" s="2960">
        <f t="shared" si="0"/>
        <v>211.73</v>
      </c>
      <c r="K706" s="2960">
        <v>0</v>
      </c>
      <c r="L706" s="2960">
        <f>92.31+125.84</f>
        <v>218.15</v>
      </c>
      <c r="M706" s="2968"/>
      <c r="N706" s="2968"/>
    </row>
    <row r="707" spans="2:14" ht="14.25" hidden="1">
      <c r="B707" s="2962"/>
      <c r="C707" s="2962" t="s">
        <v>3053</v>
      </c>
      <c r="D707" s="2962" t="s">
        <v>3061</v>
      </c>
      <c r="E707" s="2963">
        <v>25</v>
      </c>
      <c r="F707" s="2964">
        <v>1</v>
      </c>
      <c r="G707" s="2963">
        <v>101</v>
      </c>
      <c r="H707" s="2963" t="s">
        <v>3056</v>
      </c>
      <c r="I707" s="2964">
        <v>391.04</v>
      </c>
      <c r="J707" s="2964">
        <f t="shared" ref="J707:J712" si="1">86.76+83.45+41.69</f>
        <v>211.9</v>
      </c>
      <c r="K707" s="2964">
        <v>0</v>
      </c>
      <c r="L707" s="2964">
        <f t="shared" ref="L707:L712" si="2">92.38+86.76</f>
        <v>179.14</v>
      </c>
      <c r="M707" s="2968">
        <v>0</v>
      </c>
      <c r="N707" s="2968">
        <v>0</v>
      </c>
    </row>
    <row r="708" spans="2:14" ht="14.25">
      <c r="B708" s="2958">
        <v>144</v>
      </c>
      <c r="C708" s="2958" t="s">
        <v>3053</v>
      </c>
      <c r="D708" s="2958" t="s">
        <v>3061</v>
      </c>
      <c r="E708" s="2959">
        <v>25</v>
      </c>
      <c r="F708" s="2960">
        <v>1</v>
      </c>
      <c r="G708" s="2959">
        <v>102</v>
      </c>
      <c r="H708" s="2959" t="s">
        <v>3055</v>
      </c>
      <c r="I708" s="2960">
        <v>391.04</v>
      </c>
      <c r="J708" s="2960">
        <f t="shared" si="1"/>
        <v>211.9</v>
      </c>
      <c r="K708" s="2960">
        <v>0</v>
      </c>
      <c r="L708" s="2960">
        <f t="shared" si="2"/>
        <v>179.14</v>
      </c>
      <c r="M708" s="2968"/>
      <c r="N708" s="2968"/>
    </row>
    <row r="709" spans="2:14" ht="14.25">
      <c r="B709" s="2958">
        <v>145</v>
      </c>
      <c r="C709" s="2958" t="s">
        <v>3053</v>
      </c>
      <c r="D709" s="2958" t="s">
        <v>3061</v>
      </c>
      <c r="E709" s="2959">
        <v>25</v>
      </c>
      <c r="F709" s="2960">
        <v>1</v>
      </c>
      <c r="G709" s="2959">
        <v>103</v>
      </c>
      <c r="H709" s="2959" t="s">
        <v>3055</v>
      </c>
      <c r="I709" s="2960">
        <v>391.04</v>
      </c>
      <c r="J709" s="2960">
        <f t="shared" si="1"/>
        <v>211.9</v>
      </c>
      <c r="K709" s="2960">
        <v>0</v>
      </c>
      <c r="L709" s="2960">
        <f t="shared" si="2"/>
        <v>179.14</v>
      </c>
      <c r="M709" s="2968"/>
      <c r="N709" s="2968"/>
    </row>
    <row r="710" spans="2:14" ht="14.25">
      <c r="B710" s="2958">
        <v>146</v>
      </c>
      <c r="C710" s="2958" t="s">
        <v>3053</v>
      </c>
      <c r="D710" s="2958" t="s">
        <v>3061</v>
      </c>
      <c r="E710" s="2959">
        <v>25</v>
      </c>
      <c r="F710" s="2960">
        <v>1</v>
      </c>
      <c r="G710" s="2959">
        <v>104</v>
      </c>
      <c r="H710" s="2959" t="s">
        <v>3055</v>
      </c>
      <c r="I710" s="2960">
        <v>391.04</v>
      </c>
      <c r="J710" s="2960">
        <f t="shared" si="1"/>
        <v>211.9</v>
      </c>
      <c r="K710" s="2960">
        <v>0</v>
      </c>
      <c r="L710" s="2960">
        <f t="shared" si="2"/>
        <v>179.14</v>
      </c>
      <c r="M710" s="2968"/>
      <c r="N710" s="2968"/>
    </row>
    <row r="711" spans="2:14" ht="14.25">
      <c r="B711" s="2958">
        <v>147</v>
      </c>
      <c r="C711" s="2958" t="s">
        <v>3053</v>
      </c>
      <c r="D711" s="2958" t="s">
        <v>3061</v>
      </c>
      <c r="E711" s="2959">
        <v>25</v>
      </c>
      <c r="F711" s="2960">
        <v>1</v>
      </c>
      <c r="G711" s="2959">
        <v>105</v>
      </c>
      <c r="H711" s="2959" t="s">
        <v>3055</v>
      </c>
      <c r="I711" s="2960">
        <v>391.04</v>
      </c>
      <c r="J711" s="2960">
        <f t="shared" si="1"/>
        <v>211.9</v>
      </c>
      <c r="K711" s="2960">
        <v>0</v>
      </c>
      <c r="L711" s="2960">
        <f t="shared" si="2"/>
        <v>179.14</v>
      </c>
      <c r="M711" s="2968"/>
      <c r="N711" s="2968"/>
    </row>
    <row r="712" spans="2:14" ht="14.25">
      <c r="B712" s="2958">
        <v>148</v>
      </c>
      <c r="C712" s="2958" t="s">
        <v>3053</v>
      </c>
      <c r="D712" s="2958" t="s">
        <v>3061</v>
      </c>
      <c r="E712" s="2959">
        <v>25</v>
      </c>
      <c r="F712" s="2960">
        <v>1</v>
      </c>
      <c r="G712" s="2959">
        <v>106</v>
      </c>
      <c r="H712" s="2959" t="s">
        <v>3055</v>
      </c>
      <c r="I712" s="2960">
        <v>391.04</v>
      </c>
      <c r="J712" s="2960">
        <f t="shared" si="1"/>
        <v>211.9</v>
      </c>
      <c r="K712" s="2960">
        <v>0</v>
      </c>
      <c r="L712" s="2960">
        <f t="shared" si="2"/>
        <v>179.14</v>
      </c>
      <c r="M712" s="2968"/>
      <c r="N712" s="2968"/>
    </row>
    <row r="713" spans="2:14" ht="14.25">
      <c r="B713" s="2958">
        <v>149</v>
      </c>
      <c r="C713" s="2958" t="s">
        <v>3053</v>
      </c>
      <c r="D713" s="2958" t="s">
        <v>3061</v>
      </c>
      <c r="E713" s="2959">
        <v>26</v>
      </c>
      <c r="F713" s="2960">
        <v>1</v>
      </c>
      <c r="G713" s="2959">
        <v>101</v>
      </c>
      <c r="H713" s="2959" t="s">
        <v>3055</v>
      </c>
      <c r="I713" s="2960">
        <v>402.61</v>
      </c>
      <c r="J713" s="2960">
        <f>82.52+79.22+44.87</f>
        <v>206.61</v>
      </c>
      <c r="K713" s="2960">
        <v>0</v>
      </c>
      <c r="L713" s="2960">
        <f>87.52+108.48</f>
        <v>196</v>
      </c>
      <c r="M713" s="2968">
        <v>0</v>
      </c>
      <c r="N713" s="2968">
        <v>0</v>
      </c>
    </row>
    <row r="714" spans="2:14" ht="14.25">
      <c r="B714" s="2958">
        <v>150</v>
      </c>
      <c r="C714" s="2958" t="s">
        <v>3053</v>
      </c>
      <c r="D714" s="2958" t="s">
        <v>3061</v>
      </c>
      <c r="E714" s="2959">
        <v>26</v>
      </c>
      <c r="F714" s="2960">
        <v>1</v>
      </c>
      <c r="G714" s="2959">
        <v>102</v>
      </c>
      <c r="H714" s="2959" t="s">
        <v>3055</v>
      </c>
      <c r="I714" s="2960">
        <v>402.61</v>
      </c>
      <c r="J714" s="2960">
        <f>82.52+79.22+44.87</f>
        <v>206.61</v>
      </c>
      <c r="K714" s="2960">
        <v>0</v>
      </c>
      <c r="L714" s="2960">
        <f>87.52+108.48</f>
        <v>196</v>
      </c>
      <c r="M714" s="2968"/>
      <c r="N714" s="2968"/>
    </row>
    <row r="715" spans="2:14" ht="14.25">
      <c r="B715" s="2958">
        <v>151</v>
      </c>
      <c r="C715" s="2958" t="s">
        <v>3053</v>
      </c>
      <c r="D715" s="2958" t="s">
        <v>3061</v>
      </c>
      <c r="E715" s="2959">
        <v>26</v>
      </c>
      <c r="F715" s="2960">
        <v>1</v>
      </c>
      <c r="G715" s="2959">
        <v>103</v>
      </c>
      <c r="H715" s="2959" t="s">
        <v>3055</v>
      </c>
      <c r="I715" s="2960">
        <v>429.57</v>
      </c>
      <c r="J715" s="2960">
        <f t="shared" ref="J715:J720" si="3">86.63+83.32+41.63</f>
        <v>211.57999999999998</v>
      </c>
      <c r="K715" s="2960">
        <v>0</v>
      </c>
      <c r="L715" s="2960">
        <f t="shared" ref="L715:L720" si="4">92.24+125.75</f>
        <v>217.99</v>
      </c>
      <c r="M715" s="2968"/>
      <c r="N715" s="2968"/>
    </row>
    <row r="716" spans="2:14" ht="14.25">
      <c r="B716" s="2958">
        <v>152</v>
      </c>
      <c r="C716" s="2958" t="s">
        <v>3053</v>
      </c>
      <c r="D716" s="2958" t="s">
        <v>3061</v>
      </c>
      <c r="E716" s="2959">
        <v>26</v>
      </c>
      <c r="F716" s="2960">
        <v>1</v>
      </c>
      <c r="G716" s="2959">
        <v>104</v>
      </c>
      <c r="H716" s="2959" t="s">
        <v>3055</v>
      </c>
      <c r="I716" s="2960">
        <v>429.57</v>
      </c>
      <c r="J716" s="2960">
        <f t="shared" si="3"/>
        <v>211.57999999999998</v>
      </c>
      <c r="K716" s="2960">
        <v>0</v>
      </c>
      <c r="L716" s="2960">
        <f t="shared" si="4"/>
        <v>217.99</v>
      </c>
      <c r="M716" s="2968"/>
      <c r="N716" s="2968"/>
    </row>
    <row r="717" spans="2:14" ht="14.25">
      <c r="B717" s="2958">
        <v>153</v>
      </c>
      <c r="C717" s="2958" t="s">
        <v>3053</v>
      </c>
      <c r="D717" s="2958" t="s">
        <v>3061</v>
      </c>
      <c r="E717" s="2959">
        <v>26</v>
      </c>
      <c r="F717" s="2960">
        <v>1</v>
      </c>
      <c r="G717" s="2959">
        <v>105</v>
      </c>
      <c r="H717" s="2959" t="s">
        <v>3055</v>
      </c>
      <c r="I717" s="2960">
        <v>429.57</v>
      </c>
      <c r="J717" s="2960">
        <f t="shared" si="3"/>
        <v>211.57999999999998</v>
      </c>
      <c r="K717" s="2960">
        <v>0</v>
      </c>
      <c r="L717" s="2960">
        <f t="shared" si="4"/>
        <v>217.99</v>
      </c>
      <c r="M717" s="2968"/>
      <c r="N717" s="2968"/>
    </row>
    <row r="718" spans="2:14" ht="14.25">
      <c r="B718" s="2958">
        <v>154</v>
      </c>
      <c r="C718" s="2958" t="s">
        <v>3053</v>
      </c>
      <c r="D718" s="2958" t="s">
        <v>3061</v>
      </c>
      <c r="E718" s="2959">
        <v>26</v>
      </c>
      <c r="F718" s="2960">
        <v>1</v>
      </c>
      <c r="G718" s="2959">
        <v>106</v>
      </c>
      <c r="H718" s="2959" t="s">
        <v>3055</v>
      </c>
      <c r="I718" s="2960">
        <v>429.57</v>
      </c>
      <c r="J718" s="2960">
        <f t="shared" si="3"/>
        <v>211.57999999999998</v>
      </c>
      <c r="K718" s="2960">
        <v>0</v>
      </c>
      <c r="L718" s="2960">
        <f t="shared" si="4"/>
        <v>217.99</v>
      </c>
      <c r="M718" s="2968"/>
      <c r="N718" s="2968"/>
    </row>
    <row r="719" spans="2:14" ht="14.25">
      <c r="B719" s="2958">
        <v>155</v>
      </c>
      <c r="C719" s="2958" t="s">
        <v>3053</v>
      </c>
      <c r="D719" s="2958" t="s">
        <v>3061</v>
      </c>
      <c r="E719" s="2959">
        <v>26</v>
      </c>
      <c r="F719" s="2960">
        <v>1</v>
      </c>
      <c r="G719" s="2959">
        <v>107</v>
      </c>
      <c r="H719" s="2959" t="s">
        <v>3055</v>
      </c>
      <c r="I719" s="2960">
        <v>429.57</v>
      </c>
      <c r="J719" s="2960">
        <f t="shared" si="3"/>
        <v>211.57999999999998</v>
      </c>
      <c r="K719" s="2960">
        <v>0</v>
      </c>
      <c r="L719" s="2960">
        <f t="shared" si="4"/>
        <v>217.99</v>
      </c>
      <c r="M719" s="2968"/>
      <c r="N719" s="2968"/>
    </row>
    <row r="720" spans="2:14" ht="14.25">
      <c r="B720" s="2958">
        <v>156</v>
      </c>
      <c r="C720" s="2958" t="s">
        <v>3053</v>
      </c>
      <c r="D720" s="2958" t="s">
        <v>3061</v>
      </c>
      <c r="E720" s="2959">
        <v>26</v>
      </c>
      <c r="F720" s="2960">
        <v>1</v>
      </c>
      <c r="G720" s="2959">
        <v>108</v>
      </c>
      <c r="H720" s="2959" t="s">
        <v>3055</v>
      </c>
      <c r="I720" s="2960">
        <v>429.57</v>
      </c>
      <c r="J720" s="2960">
        <f t="shared" si="3"/>
        <v>211.57999999999998</v>
      </c>
      <c r="K720" s="2960">
        <v>0</v>
      </c>
      <c r="L720" s="2960">
        <f t="shared" si="4"/>
        <v>217.99</v>
      </c>
      <c r="M720" s="2968"/>
      <c r="N720" s="2968"/>
    </row>
    <row r="721" spans="2:14" ht="14.25">
      <c r="B721" s="2958">
        <v>157</v>
      </c>
      <c r="C721" s="2958" t="s">
        <v>3053</v>
      </c>
      <c r="D721" s="2958" t="s">
        <v>3061</v>
      </c>
      <c r="E721" s="2959">
        <v>27</v>
      </c>
      <c r="F721" s="2960">
        <v>1</v>
      </c>
      <c r="G721" s="2959">
        <v>101</v>
      </c>
      <c r="H721" s="2959" t="s">
        <v>3055</v>
      </c>
      <c r="I721" s="2960">
        <v>395.02</v>
      </c>
      <c r="J721" s="2960">
        <f>87.24+83.91+41.92</f>
        <v>213.07</v>
      </c>
      <c r="K721" s="2960">
        <v>0</v>
      </c>
      <c r="L721" s="2960">
        <f>93.8+88.15</f>
        <v>181.95</v>
      </c>
      <c r="M721" s="2968">
        <v>0</v>
      </c>
      <c r="N721" s="2968">
        <v>0</v>
      </c>
    </row>
    <row r="722" spans="2:14" ht="14.25">
      <c r="B722" s="2958">
        <v>158</v>
      </c>
      <c r="C722" s="2958" t="s">
        <v>3053</v>
      </c>
      <c r="D722" s="2958" t="s">
        <v>3061</v>
      </c>
      <c r="E722" s="2959">
        <v>27</v>
      </c>
      <c r="F722" s="2960">
        <v>1</v>
      </c>
      <c r="G722" s="2959">
        <v>102</v>
      </c>
      <c r="H722" s="2959" t="s">
        <v>3055</v>
      </c>
      <c r="I722" s="2960">
        <v>393.2</v>
      </c>
      <c r="J722" s="2960">
        <f>87.24+83.91+41.92</f>
        <v>213.07</v>
      </c>
      <c r="K722" s="2960">
        <v>0</v>
      </c>
      <c r="L722" s="2960">
        <f>92.89+87.24</f>
        <v>180.13</v>
      </c>
      <c r="M722" s="2968"/>
      <c r="N722" s="2968"/>
    </row>
    <row r="723" spans="2:14" ht="14.25">
      <c r="B723" s="2958">
        <v>159</v>
      </c>
      <c r="C723" s="2958" t="s">
        <v>3053</v>
      </c>
      <c r="D723" s="2958" t="s">
        <v>3061</v>
      </c>
      <c r="E723" s="2959">
        <v>27</v>
      </c>
      <c r="F723" s="2960">
        <v>1</v>
      </c>
      <c r="G723" s="2959">
        <v>103</v>
      </c>
      <c r="H723" s="2959" t="s">
        <v>3055</v>
      </c>
      <c r="I723" s="2960">
        <v>393.6</v>
      </c>
      <c r="J723" s="2960">
        <f>87.24+83.91+41.92</f>
        <v>213.07</v>
      </c>
      <c r="K723" s="2960">
        <v>0</v>
      </c>
      <c r="L723" s="2960">
        <f>93.09+87.44</f>
        <v>180.53</v>
      </c>
      <c r="M723" s="2968"/>
      <c r="N723" s="2968"/>
    </row>
    <row r="724" spans="2:14" ht="14.25">
      <c r="B724" s="2958">
        <v>160</v>
      </c>
      <c r="C724" s="2958" t="s">
        <v>3053</v>
      </c>
      <c r="D724" s="2958" t="s">
        <v>3061</v>
      </c>
      <c r="E724" s="2959">
        <v>27</v>
      </c>
      <c r="F724" s="2960">
        <v>1</v>
      </c>
      <c r="G724" s="2959">
        <v>104</v>
      </c>
      <c r="H724" s="2959" t="s">
        <v>3055</v>
      </c>
      <c r="I724" s="2960">
        <v>393.2</v>
      </c>
      <c r="J724" s="2960">
        <f>87.24+83.91+41.92</f>
        <v>213.07</v>
      </c>
      <c r="K724" s="2960">
        <v>0</v>
      </c>
      <c r="L724" s="2960">
        <f>92.89+87.24</f>
        <v>180.13</v>
      </c>
      <c r="M724" s="2968"/>
      <c r="N724" s="2968"/>
    </row>
    <row r="725" spans="2:14" ht="14.25">
      <c r="B725" s="2958">
        <v>161</v>
      </c>
      <c r="C725" s="2958" t="s">
        <v>3053</v>
      </c>
      <c r="D725" s="2958" t="s">
        <v>3061</v>
      </c>
      <c r="E725" s="2959">
        <v>27</v>
      </c>
      <c r="F725" s="2960">
        <v>1</v>
      </c>
      <c r="G725" s="2959">
        <v>105</v>
      </c>
      <c r="H725" s="2959" t="s">
        <v>3055</v>
      </c>
      <c r="I725" s="2960">
        <v>393.2</v>
      </c>
      <c r="J725" s="2960">
        <f>87.24+83.91+41.92</f>
        <v>213.07</v>
      </c>
      <c r="K725" s="2960">
        <v>0</v>
      </c>
      <c r="L725" s="2960">
        <f>92.89+87.24</f>
        <v>180.13</v>
      </c>
      <c r="M725" s="2968"/>
      <c r="N725" s="2968"/>
    </row>
    <row r="726" spans="2:14" ht="14.25">
      <c r="B726" s="2958">
        <v>162</v>
      </c>
      <c r="C726" s="2958" t="s">
        <v>3053</v>
      </c>
      <c r="D726" s="2958" t="s">
        <v>3061</v>
      </c>
      <c r="E726" s="2959">
        <v>28</v>
      </c>
      <c r="F726" s="2960">
        <v>1</v>
      </c>
      <c r="G726" s="2959">
        <v>101</v>
      </c>
      <c r="H726" s="2959" t="s">
        <v>3055</v>
      </c>
      <c r="I726" s="2960">
        <v>320.44</v>
      </c>
      <c r="J726" s="2960">
        <f>72.04+68.87+38.17</f>
        <v>179.08000000000004</v>
      </c>
      <c r="K726" s="2960">
        <v>0</v>
      </c>
      <c r="L726" s="2960">
        <f>76.42+64.94</f>
        <v>141.36000000000001</v>
      </c>
      <c r="M726" s="2968">
        <v>0</v>
      </c>
      <c r="N726" s="2968">
        <v>0</v>
      </c>
    </row>
    <row r="727" spans="2:14" ht="14.25" hidden="1">
      <c r="B727" s="2962"/>
      <c r="C727" s="2962" t="s">
        <v>3053</v>
      </c>
      <c r="D727" s="2962" t="s">
        <v>3061</v>
      </c>
      <c r="E727" s="2963">
        <v>28</v>
      </c>
      <c r="F727" s="2964">
        <v>1</v>
      </c>
      <c r="G727" s="2963">
        <v>102</v>
      </c>
      <c r="H727" s="2963" t="s">
        <v>3056</v>
      </c>
      <c r="I727" s="2964">
        <v>316.41000000000003</v>
      </c>
      <c r="J727" s="2964">
        <f>72.04+68.87+38.17</f>
        <v>179.08000000000004</v>
      </c>
      <c r="K727" s="2964">
        <v>0</v>
      </c>
      <c r="L727" s="2964">
        <f>76.28+61.05</f>
        <v>137.32999999999998</v>
      </c>
      <c r="M727" s="2968"/>
      <c r="N727" s="2968"/>
    </row>
    <row r="728" spans="2:14" ht="14.25">
      <c r="B728" s="2958">
        <v>163</v>
      </c>
      <c r="C728" s="2958" t="s">
        <v>3053</v>
      </c>
      <c r="D728" s="2958" t="s">
        <v>3061</v>
      </c>
      <c r="E728" s="2959">
        <v>29</v>
      </c>
      <c r="F728" s="2960">
        <v>1</v>
      </c>
      <c r="G728" s="2959">
        <v>101</v>
      </c>
      <c r="H728" s="2959" t="s">
        <v>3055</v>
      </c>
      <c r="I728" s="2960">
        <v>309.5</v>
      </c>
      <c r="J728" s="2960">
        <f t="shared" ref="J728:J734" si="5">71.36+68.22+37.82</f>
        <v>177.39999999999998</v>
      </c>
      <c r="K728" s="2960">
        <v>0</v>
      </c>
      <c r="L728" s="2960">
        <f>75.57+56.53</f>
        <v>132.1</v>
      </c>
      <c r="M728" s="2968">
        <v>0</v>
      </c>
      <c r="N728" s="2968">
        <v>0</v>
      </c>
    </row>
    <row r="729" spans="2:14" ht="14.25">
      <c r="B729" s="2958">
        <v>164</v>
      </c>
      <c r="C729" s="2958" t="s">
        <v>3053</v>
      </c>
      <c r="D729" s="2958" t="s">
        <v>3061</v>
      </c>
      <c r="E729" s="2959">
        <v>29</v>
      </c>
      <c r="F729" s="2960">
        <v>1</v>
      </c>
      <c r="G729" s="2959">
        <v>102</v>
      </c>
      <c r="H729" s="2959" t="s">
        <v>3055</v>
      </c>
      <c r="I729" s="2960">
        <v>316.82</v>
      </c>
      <c r="J729" s="2960">
        <f t="shared" si="5"/>
        <v>177.39999999999998</v>
      </c>
      <c r="K729" s="2960">
        <v>0</v>
      </c>
      <c r="L729" s="2960">
        <f>75.57+63.85</f>
        <v>139.41999999999999</v>
      </c>
      <c r="M729" s="2968"/>
      <c r="N729" s="2968"/>
    </row>
    <row r="730" spans="2:14" ht="14.25">
      <c r="B730" s="2958">
        <v>165</v>
      </c>
      <c r="C730" s="2958" t="s">
        <v>3053</v>
      </c>
      <c r="D730" s="2958" t="s">
        <v>3061</v>
      </c>
      <c r="E730" s="2959">
        <v>29</v>
      </c>
      <c r="F730" s="2960">
        <v>1</v>
      </c>
      <c r="G730" s="2959">
        <v>103</v>
      </c>
      <c r="H730" s="2959" t="s">
        <v>3055</v>
      </c>
      <c r="I730" s="2960">
        <v>316.91000000000003</v>
      </c>
      <c r="J730" s="2960">
        <f t="shared" si="5"/>
        <v>177.39999999999998</v>
      </c>
      <c r="K730" s="2960">
        <v>0</v>
      </c>
      <c r="L730" s="2960">
        <f>75.57+63.94</f>
        <v>139.51</v>
      </c>
      <c r="M730" s="2968"/>
      <c r="N730" s="2968"/>
    </row>
    <row r="731" spans="2:14" ht="14.25">
      <c r="B731" s="2958">
        <v>166</v>
      </c>
      <c r="C731" s="2958" t="s">
        <v>3053</v>
      </c>
      <c r="D731" s="2958" t="s">
        <v>3061</v>
      </c>
      <c r="E731" s="2959">
        <v>29</v>
      </c>
      <c r="F731" s="2960">
        <v>1</v>
      </c>
      <c r="G731" s="2959">
        <v>104</v>
      </c>
      <c r="H731" s="2959" t="s">
        <v>3055</v>
      </c>
      <c r="I731" s="2960">
        <v>316.82</v>
      </c>
      <c r="J731" s="2960">
        <f t="shared" si="5"/>
        <v>177.39999999999998</v>
      </c>
      <c r="K731" s="2960">
        <v>0</v>
      </c>
      <c r="L731" s="2960">
        <f>75.57+63.85</f>
        <v>139.41999999999999</v>
      </c>
      <c r="M731" s="2968"/>
      <c r="N731" s="2968"/>
    </row>
    <row r="732" spans="2:14" ht="14.25">
      <c r="B732" s="2958">
        <v>167</v>
      </c>
      <c r="C732" s="2958" t="s">
        <v>3053</v>
      </c>
      <c r="D732" s="2958" t="s">
        <v>3061</v>
      </c>
      <c r="E732" s="2959">
        <v>29</v>
      </c>
      <c r="F732" s="2960">
        <v>1</v>
      </c>
      <c r="G732" s="2959">
        <v>105</v>
      </c>
      <c r="H732" s="2959" t="s">
        <v>3055</v>
      </c>
      <c r="I732" s="2960">
        <v>316.82</v>
      </c>
      <c r="J732" s="2960">
        <f t="shared" si="5"/>
        <v>177.39999999999998</v>
      </c>
      <c r="K732" s="2960">
        <v>0</v>
      </c>
      <c r="L732" s="2960">
        <f>75.57+63.85</f>
        <v>139.41999999999999</v>
      </c>
      <c r="M732" s="2968"/>
      <c r="N732" s="2968"/>
    </row>
    <row r="733" spans="2:14" ht="14.25">
      <c r="B733" s="2958">
        <v>168</v>
      </c>
      <c r="C733" s="2958" t="s">
        <v>3053</v>
      </c>
      <c r="D733" s="2958" t="s">
        <v>3061</v>
      </c>
      <c r="E733" s="2959">
        <v>29</v>
      </c>
      <c r="F733" s="2960">
        <v>1</v>
      </c>
      <c r="G733" s="2959">
        <v>106</v>
      </c>
      <c r="H733" s="2959" t="s">
        <v>3055</v>
      </c>
      <c r="I733" s="2960">
        <v>316.82</v>
      </c>
      <c r="J733" s="2960">
        <f t="shared" si="5"/>
        <v>177.39999999999998</v>
      </c>
      <c r="K733" s="2960">
        <v>0</v>
      </c>
      <c r="L733" s="2960">
        <f>75.57+63.85</f>
        <v>139.41999999999999</v>
      </c>
      <c r="M733" s="2968"/>
      <c r="N733" s="2968"/>
    </row>
    <row r="734" spans="2:14" ht="14.25">
      <c r="B734" s="2958">
        <v>169</v>
      </c>
      <c r="C734" s="2958" t="s">
        <v>3053</v>
      </c>
      <c r="D734" s="2958" t="s">
        <v>3061</v>
      </c>
      <c r="E734" s="2959">
        <v>29</v>
      </c>
      <c r="F734" s="2960">
        <v>1</v>
      </c>
      <c r="G734" s="2959">
        <v>107</v>
      </c>
      <c r="H734" s="2959" t="s">
        <v>3055</v>
      </c>
      <c r="I734" s="2960">
        <v>316.82</v>
      </c>
      <c r="J734" s="2960">
        <f t="shared" si="5"/>
        <v>177.39999999999998</v>
      </c>
      <c r="K734" s="2960">
        <v>0</v>
      </c>
      <c r="L734" s="2960">
        <f>75.57+63.85</f>
        <v>139.41999999999999</v>
      </c>
      <c r="M734" s="2968"/>
      <c r="N734" s="2968"/>
    </row>
    <row r="735" spans="2:14" ht="14.25">
      <c r="B735" s="2958">
        <v>170</v>
      </c>
      <c r="C735" s="2958" t="s">
        <v>3053</v>
      </c>
      <c r="D735" s="2958" t="s">
        <v>3061</v>
      </c>
      <c r="E735" s="2959">
        <v>30</v>
      </c>
      <c r="F735" s="2960">
        <v>1</v>
      </c>
      <c r="G735" s="2959">
        <v>101</v>
      </c>
      <c r="H735" s="2959" t="s">
        <v>3055</v>
      </c>
      <c r="I735" s="2960">
        <v>351.14</v>
      </c>
      <c r="J735" s="2960">
        <f t="shared" ref="J735:J742" si="6">71.12+67.99+37.69</f>
        <v>176.8</v>
      </c>
      <c r="K735" s="2960">
        <v>0</v>
      </c>
      <c r="L735" s="2960">
        <f>75.57+98.77</f>
        <v>174.33999999999997</v>
      </c>
      <c r="M735" s="2968">
        <v>0</v>
      </c>
      <c r="N735" s="2968">
        <v>0</v>
      </c>
    </row>
    <row r="736" spans="2:14" ht="14.25">
      <c r="B736" s="2958">
        <v>171</v>
      </c>
      <c r="C736" s="2958" t="s">
        <v>3053</v>
      </c>
      <c r="D736" s="2958" t="s">
        <v>3061</v>
      </c>
      <c r="E736" s="2959">
        <v>30</v>
      </c>
      <c r="F736" s="2960">
        <v>1</v>
      </c>
      <c r="G736" s="2959">
        <v>102</v>
      </c>
      <c r="H736" s="2959" t="s">
        <v>3055</v>
      </c>
      <c r="I736" s="2960">
        <v>351.14</v>
      </c>
      <c r="J736" s="2960">
        <f t="shared" si="6"/>
        <v>176.8</v>
      </c>
      <c r="K736" s="2960">
        <v>0</v>
      </c>
      <c r="L736" s="2960">
        <f>75.57+98.77</f>
        <v>174.33999999999997</v>
      </c>
      <c r="M736" s="2968"/>
      <c r="N736" s="2968"/>
    </row>
    <row r="737" spans="2:14" ht="14.25">
      <c r="B737" s="2958">
        <v>172</v>
      </c>
      <c r="C737" s="2958" t="s">
        <v>3053</v>
      </c>
      <c r="D737" s="2958" t="s">
        <v>3061</v>
      </c>
      <c r="E737" s="2959">
        <v>30</v>
      </c>
      <c r="F737" s="2960">
        <v>1</v>
      </c>
      <c r="G737" s="2959">
        <v>103</v>
      </c>
      <c r="H737" s="2959" t="s">
        <v>3055</v>
      </c>
      <c r="I737" s="2960">
        <v>350.56</v>
      </c>
      <c r="J737" s="2960">
        <f t="shared" si="6"/>
        <v>176.8</v>
      </c>
      <c r="K737" s="2960">
        <v>0</v>
      </c>
      <c r="L737" s="2960">
        <f>75.38+98.38</f>
        <v>173.76</v>
      </c>
      <c r="M737" s="2968"/>
      <c r="N737" s="2968"/>
    </row>
    <row r="738" spans="2:14" ht="14.25">
      <c r="B738" s="2958">
        <v>173</v>
      </c>
      <c r="C738" s="2958" t="s">
        <v>3053</v>
      </c>
      <c r="D738" s="2958" t="s">
        <v>3061</v>
      </c>
      <c r="E738" s="2959">
        <v>30</v>
      </c>
      <c r="F738" s="2960">
        <v>1</v>
      </c>
      <c r="G738" s="2959">
        <v>104</v>
      </c>
      <c r="H738" s="2959" t="s">
        <v>3055</v>
      </c>
      <c r="I738" s="2960">
        <v>350.56</v>
      </c>
      <c r="J738" s="2960">
        <f t="shared" si="6"/>
        <v>176.8</v>
      </c>
      <c r="K738" s="2960">
        <v>0</v>
      </c>
      <c r="L738" s="2960">
        <f>75.38+98.38</f>
        <v>173.76</v>
      </c>
      <c r="M738" s="2968"/>
      <c r="N738" s="2968"/>
    </row>
    <row r="739" spans="2:14" ht="14.25">
      <c r="B739" s="2958">
        <v>174</v>
      </c>
      <c r="C739" s="2958" t="s">
        <v>3053</v>
      </c>
      <c r="D739" s="2958" t="s">
        <v>3061</v>
      </c>
      <c r="E739" s="2959">
        <v>30</v>
      </c>
      <c r="F739" s="2960">
        <v>1</v>
      </c>
      <c r="G739" s="2959">
        <v>105</v>
      </c>
      <c r="H739" s="2959" t="s">
        <v>3055</v>
      </c>
      <c r="I739" s="2960">
        <v>350.56</v>
      </c>
      <c r="J739" s="2960">
        <f t="shared" si="6"/>
        <v>176.8</v>
      </c>
      <c r="K739" s="2960">
        <v>0</v>
      </c>
      <c r="L739" s="2960">
        <f>75.38+98.38</f>
        <v>173.76</v>
      </c>
      <c r="M739" s="2968"/>
      <c r="N739" s="2968"/>
    </row>
    <row r="740" spans="2:14" ht="14.25" hidden="1">
      <c r="B740" s="2962"/>
      <c r="C740" s="2962" t="s">
        <v>3053</v>
      </c>
      <c r="D740" s="2962" t="s">
        <v>3061</v>
      </c>
      <c r="E740" s="2963">
        <v>30</v>
      </c>
      <c r="F740" s="2964">
        <v>1</v>
      </c>
      <c r="G740" s="2963">
        <v>106</v>
      </c>
      <c r="H740" s="2963" t="s">
        <v>3056</v>
      </c>
      <c r="I740" s="2964">
        <v>350.56</v>
      </c>
      <c r="J740" s="2964">
        <f t="shared" si="6"/>
        <v>176.8</v>
      </c>
      <c r="K740" s="2964">
        <v>0</v>
      </c>
      <c r="L740" s="2964">
        <f>75.38+98.38</f>
        <v>173.76</v>
      </c>
      <c r="M740" s="2968"/>
      <c r="N740" s="2968"/>
    </row>
    <row r="741" spans="2:14" ht="14.25">
      <c r="B741" s="2958">
        <v>175</v>
      </c>
      <c r="C741" s="2958" t="s">
        <v>3053</v>
      </c>
      <c r="D741" s="2958" t="s">
        <v>3061</v>
      </c>
      <c r="E741" s="2959">
        <v>30</v>
      </c>
      <c r="F741" s="2960">
        <v>1</v>
      </c>
      <c r="G741" s="2959">
        <v>107</v>
      </c>
      <c r="H741" s="2959" t="s">
        <v>3055</v>
      </c>
      <c r="I741" s="2960">
        <v>351.28</v>
      </c>
      <c r="J741" s="2960">
        <f t="shared" si="6"/>
        <v>176.8</v>
      </c>
      <c r="K741" s="2960">
        <v>0</v>
      </c>
      <c r="L741" s="2960">
        <f>75.78+98.7</f>
        <v>174.48000000000002</v>
      </c>
      <c r="M741" s="2968"/>
      <c r="N741" s="2968"/>
    </row>
    <row r="742" spans="2:14" ht="14.25" hidden="1">
      <c r="B742" s="2962"/>
      <c r="C742" s="2962" t="s">
        <v>3053</v>
      </c>
      <c r="D742" s="2962" t="s">
        <v>3061</v>
      </c>
      <c r="E742" s="2963">
        <v>30</v>
      </c>
      <c r="F742" s="2964">
        <v>1</v>
      </c>
      <c r="G742" s="2963">
        <v>108</v>
      </c>
      <c r="H742" s="2963" t="s">
        <v>3056</v>
      </c>
      <c r="I742" s="2964">
        <v>351.1</v>
      </c>
      <c r="J742" s="2964">
        <f t="shared" si="6"/>
        <v>176.8</v>
      </c>
      <c r="K742" s="2964">
        <v>0</v>
      </c>
      <c r="L742" s="2964">
        <f>75.5+98.8</f>
        <v>174.3</v>
      </c>
      <c r="M742" s="2968"/>
      <c r="N742" s="2968"/>
    </row>
    <row r="743" spans="2:14" ht="14.25">
      <c r="B743" s="2958">
        <v>176</v>
      </c>
      <c r="C743" s="2958" t="s">
        <v>3053</v>
      </c>
      <c r="D743" s="2958" t="s">
        <v>3061</v>
      </c>
      <c r="E743" s="2959">
        <v>31</v>
      </c>
      <c r="F743" s="2960">
        <v>1</v>
      </c>
      <c r="G743" s="2959">
        <v>101</v>
      </c>
      <c r="H743" s="2959" t="s">
        <v>3055</v>
      </c>
      <c r="I743" s="2960">
        <v>351.38</v>
      </c>
      <c r="J743" s="2960">
        <f t="shared" ref="J743:J750" si="7">71.17+68.04+37.71</f>
        <v>176.92000000000002</v>
      </c>
      <c r="K743" s="2960">
        <v>0</v>
      </c>
      <c r="L743" s="2960">
        <f>75.62+98.84</f>
        <v>174.46</v>
      </c>
      <c r="M743" s="2968">
        <v>0</v>
      </c>
      <c r="N743" s="2968">
        <v>0</v>
      </c>
    </row>
    <row r="744" spans="2:14" ht="14.25" hidden="1">
      <c r="B744" s="2962"/>
      <c r="C744" s="2962" t="s">
        <v>3053</v>
      </c>
      <c r="D744" s="2962" t="s">
        <v>3061</v>
      </c>
      <c r="E744" s="2963">
        <v>31</v>
      </c>
      <c r="F744" s="2964">
        <v>1</v>
      </c>
      <c r="G744" s="2963">
        <v>102</v>
      </c>
      <c r="H744" s="2963" t="s">
        <v>3056</v>
      </c>
      <c r="I744" s="2964">
        <v>316.37</v>
      </c>
      <c r="J744" s="2964">
        <f t="shared" si="7"/>
        <v>176.92000000000002</v>
      </c>
      <c r="K744" s="2964">
        <v>0</v>
      </c>
      <c r="L744" s="2964">
        <f>75.62+63.83</f>
        <v>139.44999999999999</v>
      </c>
      <c r="M744" s="2968"/>
      <c r="N744" s="2968"/>
    </row>
    <row r="745" spans="2:14" ht="14.25">
      <c r="B745" s="2958">
        <v>177</v>
      </c>
      <c r="C745" s="2958" t="s">
        <v>3053</v>
      </c>
      <c r="D745" s="2958" t="s">
        <v>3061</v>
      </c>
      <c r="E745" s="2959">
        <v>31</v>
      </c>
      <c r="F745" s="2960">
        <v>1</v>
      </c>
      <c r="G745" s="2959">
        <v>103</v>
      </c>
      <c r="H745" s="2959" t="s">
        <v>3055</v>
      </c>
      <c r="I745" s="2960">
        <v>350.79</v>
      </c>
      <c r="J745" s="2960">
        <f t="shared" si="7"/>
        <v>176.92000000000002</v>
      </c>
      <c r="K745" s="2960">
        <v>0</v>
      </c>
      <c r="L745" s="2960">
        <f>75.42+98.45</f>
        <v>173.87</v>
      </c>
      <c r="M745" s="2968"/>
      <c r="N745" s="2968"/>
    </row>
    <row r="746" spans="2:14" ht="14.25" hidden="1">
      <c r="B746" s="2962"/>
      <c r="C746" s="2962" t="s">
        <v>3053</v>
      </c>
      <c r="D746" s="2962" t="s">
        <v>3061</v>
      </c>
      <c r="E746" s="2963">
        <v>31</v>
      </c>
      <c r="F746" s="2964">
        <v>1</v>
      </c>
      <c r="G746" s="2963">
        <v>104</v>
      </c>
      <c r="H746" s="2963" t="s">
        <v>3056</v>
      </c>
      <c r="I746" s="2964">
        <v>316.07</v>
      </c>
      <c r="J746" s="2964">
        <f t="shared" si="7"/>
        <v>176.92000000000002</v>
      </c>
      <c r="K746" s="2964">
        <v>0</v>
      </c>
      <c r="L746" s="2964">
        <f>75.42+63.73</f>
        <v>139.15</v>
      </c>
      <c r="M746" s="2968"/>
      <c r="N746" s="2968"/>
    </row>
    <row r="747" spans="2:14" ht="14.25">
      <c r="B747" s="2958">
        <v>178</v>
      </c>
      <c r="C747" s="2958" t="s">
        <v>3053</v>
      </c>
      <c r="D747" s="2958" t="s">
        <v>3061</v>
      </c>
      <c r="E747" s="2959">
        <v>31</v>
      </c>
      <c r="F747" s="2960">
        <v>1</v>
      </c>
      <c r="G747" s="2959">
        <v>105</v>
      </c>
      <c r="H747" s="2959" t="s">
        <v>3055</v>
      </c>
      <c r="I747" s="2960">
        <v>350.79</v>
      </c>
      <c r="J747" s="2960">
        <f t="shared" si="7"/>
        <v>176.92000000000002</v>
      </c>
      <c r="K747" s="2960">
        <v>0</v>
      </c>
      <c r="L747" s="2960">
        <f>75.42+98.45</f>
        <v>173.87</v>
      </c>
      <c r="M747" s="2968"/>
      <c r="N747" s="2968"/>
    </row>
    <row r="748" spans="2:14" ht="14.25">
      <c r="B748" s="2958">
        <v>179</v>
      </c>
      <c r="C748" s="2958" t="s">
        <v>3053</v>
      </c>
      <c r="D748" s="2958" t="s">
        <v>3061</v>
      </c>
      <c r="E748" s="2959">
        <v>31</v>
      </c>
      <c r="F748" s="2960">
        <v>1</v>
      </c>
      <c r="G748" s="2959">
        <v>106</v>
      </c>
      <c r="H748" s="2959" t="s">
        <v>3055</v>
      </c>
      <c r="I748" s="2960">
        <v>316.08</v>
      </c>
      <c r="J748" s="2960">
        <f t="shared" si="7"/>
        <v>176.92000000000002</v>
      </c>
      <c r="K748" s="2960">
        <v>0</v>
      </c>
      <c r="L748" s="2960">
        <f>75.42+63.74</f>
        <v>139.16</v>
      </c>
      <c r="M748" s="2968"/>
      <c r="N748" s="2968"/>
    </row>
    <row r="749" spans="2:14" ht="14.25">
      <c r="B749" s="2958">
        <v>180</v>
      </c>
      <c r="C749" s="2958" t="s">
        <v>3053</v>
      </c>
      <c r="D749" s="2958" t="s">
        <v>3061</v>
      </c>
      <c r="E749" s="2959">
        <v>31</v>
      </c>
      <c r="F749" s="2960">
        <v>1</v>
      </c>
      <c r="G749" s="2959">
        <v>107</v>
      </c>
      <c r="H749" s="2959" t="s">
        <v>3055</v>
      </c>
      <c r="I749" s="2960">
        <v>351.49</v>
      </c>
      <c r="J749" s="2960">
        <f t="shared" si="7"/>
        <v>176.92000000000002</v>
      </c>
      <c r="K749" s="2960">
        <v>0</v>
      </c>
      <c r="L749" s="2960">
        <f>75.83+98.74</f>
        <v>174.57</v>
      </c>
      <c r="M749" s="2968"/>
      <c r="N749" s="2968"/>
    </row>
    <row r="750" spans="2:14" ht="14.25" hidden="1">
      <c r="B750" s="2962"/>
      <c r="C750" s="2962" t="s">
        <v>3053</v>
      </c>
      <c r="D750" s="2962" t="s">
        <v>3061</v>
      </c>
      <c r="E750" s="2963">
        <v>31</v>
      </c>
      <c r="F750" s="2964">
        <v>1</v>
      </c>
      <c r="G750" s="2963">
        <v>108</v>
      </c>
      <c r="H750" s="2963" t="s">
        <v>3056</v>
      </c>
      <c r="I750" s="2964">
        <v>316.62</v>
      </c>
      <c r="J750" s="2964">
        <f t="shared" si="7"/>
        <v>176.92000000000002</v>
      </c>
      <c r="K750" s="2964">
        <v>0</v>
      </c>
      <c r="L750" s="2964">
        <f>75.55+64.15</f>
        <v>139.69999999999999</v>
      </c>
      <c r="M750" s="2968"/>
      <c r="N750" s="2968"/>
    </row>
    <row r="751" spans="2:14" ht="14.25">
      <c r="B751" s="2958">
        <v>181</v>
      </c>
      <c r="C751" s="2958" t="s">
        <v>3053</v>
      </c>
      <c r="D751" s="2958" t="s">
        <v>3061</v>
      </c>
      <c r="E751" s="2959">
        <v>32</v>
      </c>
      <c r="F751" s="2960">
        <v>1</v>
      </c>
      <c r="G751" s="2959">
        <v>101</v>
      </c>
      <c r="H751" s="2959" t="s">
        <v>3055</v>
      </c>
      <c r="I751" s="2960">
        <v>316.57</v>
      </c>
      <c r="J751" s="2960">
        <f t="shared" ref="J751:J758" si="8">71.21+68.08+37.74</f>
        <v>177.03</v>
      </c>
      <c r="K751" s="2960">
        <v>0</v>
      </c>
      <c r="L751" s="2960">
        <f>75.67+63.87</f>
        <v>139.54</v>
      </c>
      <c r="M751" s="2968">
        <v>0</v>
      </c>
      <c r="N751" s="2968">
        <v>0</v>
      </c>
    </row>
    <row r="752" spans="2:14" ht="14.25">
      <c r="B752" s="2958">
        <v>182</v>
      </c>
      <c r="C752" s="2958" t="s">
        <v>3053</v>
      </c>
      <c r="D752" s="2958" t="s">
        <v>3061</v>
      </c>
      <c r="E752" s="2959">
        <v>32</v>
      </c>
      <c r="F752" s="2960">
        <v>1</v>
      </c>
      <c r="G752" s="2959">
        <v>102</v>
      </c>
      <c r="H752" s="2959" t="s">
        <v>3055</v>
      </c>
      <c r="I752" s="2960">
        <v>316.57</v>
      </c>
      <c r="J752" s="2960">
        <f t="shared" si="8"/>
        <v>177.03</v>
      </c>
      <c r="K752" s="2960">
        <v>0</v>
      </c>
      <c r="L752" s="2960">
        <f>75.67+63.87</f>
        <v>139.54</v>
      </c>
      <c r="M752" s="2968"/>
      <c r="N752" s="2968"/>
    </row>
    <row r="753" spans="2:14" ht="14.25">
      <c r="B753" s="2958">
        <v>183</v>
      </c>
      <c r="C753" s="2958" t="s">
        <v>3053</v>
      </c>
      <c r="D753" s="2958" t="s">
        <v>3061</v>
      </c>
      <c r="E753" s="2959">
        <v>32</v>
      </c>
      <c r="F753" s="2960">
        <v>1</v>
      </c>
      <c r="G753" s="2959">
        <v>103</v>
      </c>
      <c r="H753" s="2959" t="s">
        <v>3055</v>
      </c>
      <c r="I753" s="2960">
        <v>316.27999999999997</v>
      </c>
      <c r="J753" s="2960">
        <f t="shared" si="8"/>
        <v>177.03</v>
      </c>
      <c r="K753" s="2960">
        <v>0</v>
      </c>
      <c r="L753" s="2960">
        <f>75.47+63.78</f>
        <v>139.25</v>
      </c>
      <c r="M753" s="2968"/>
      <c r="N753" s="2968"/>
    </row>
    <row r="754" spans="2:14" ht="14.25">
      <c r="B754" s="2958">
        <v>184</v>
      </c>
      <c r="C754" s="2958" t="s">
        <v>3053</v>
      </c>
      <c r="D754" s="2958" t="s">
        <v>3061</v>
      </c>
      <c r="E754" s="2959">
        <v>32</v>
      </c>
      <c r="F754" s="2960">
        <v>1</v>
      </c>
      <c r="G754" s="2959">
        <v>104</v>
      </c>
      <c r="H754" s="2959" t="s">
        <v>3055</v>
      </c>
      <c r="I754" s="2960">
        <v>316.27999999999997</v>
      </c>
      <c r="J754" s="2960">
        <f t="shared" si="8"/>
        <v>177.03</v>
      </c>
      <c r="K754" s="2960">
        <v>0</v>
      </c>
      <c r="L754" s="2960">
        <f>75.47+63.78</f>
        <v>139.25</v>
      </c>
      <c r="M754" s="2968"/>
      <c r="N754" s="2968"/>
    </row>
    <row r="755" spans="2:14" ht="14.25">
      <c r="B755" s="2958">
        <v>185</v>
      </c>
      <c r="C755" s="2958" t="s">
        <v>3053</v>
      </c>
      <c r="D755" s="2958" t="s">
        <v>3061</v>
      </c>
      <c r="E755" s="2959">
        <v>32</v>
      </c>
      <c r="F755" s="2960">
        <v>1</v>
      </c>
      <c r="G755" s="2959">
        <v>105</v>
      </c>
      <c r="H755" s="2959" t="s">
        <v>3055</v>
      </c>
      <c r="I755" s="2960">
        <v>316.27999999999997</v>
      </c>
      <c r="J755" s="2960">
        <f t="shared" si="8"/>
        <v>177.03</v>
      </c>
      <c r="K755" s="2960">
        <v>0</v>
      </c>
      <c r="L755" s="2960">
        <f>75.47+63.78</f>
        <v>139.25</v>
      </c>
      <c r="M755" s="2968"/>
      <c r="N755" s="2968"/>
    </row>
    <row r="756" spans="2:14" ht="14.25">
      <c r="B756" s="2958">
        <v>186</v>
      </c>
      <c r="C756" s="2958" t="s">
        <v>3053</v>
      </c>
      <c r="D756" s="2958" t="s">
        <v>3061</v>
      </c>
      <c r="E756" s="2959">
        <v>32</v>
      </c>
      <c r="F756" s="2960">
        <v>1</v>
      </c>
      <c r="G756" s="2959">
        <v>106</v>
      </c>
      <c r="H756" s="2959" t="s">
        <v>3055</v>
      </c>
      <c r="I756" s="2960">
        <v>316.27999999999997</v>
      </c>
      <c r="J756" s="2960">
        <f t="shared" si="8"/>
        <v>177.03</v>
      </c>
      <c r="K756" s="2960">
        <v>0</v>
      </c>
      <c r="L756" s="2960">
        <f>75.47+63.78</f>
        <v>139.25</v>
      </c>
      <c r="M756" s="2968"/>
      <c r="N756" s="2968"/>
    </row>
    <row r="757" spans="2:14" ht="14.25">
      <c r="B757" s="2958">
        <v>187</v>
      </c>
      <c r="C757" s="2958" t="s">
        <v>3053</v>
      </c>
      <c r="D757" s="2958" t="s">
        <v>3061</v>
      </c>
      <c r="E757" s="2959">
        <v>32</v>
      </c>
      <c r="F757" s="2960">
        <v>1</v>
      </c>
      <c r="G757" s="2959">
        <v>107</v>
      </c>
      <c r="H757" s="2959" t="s">
        <v>3055</v>
      </c>
      <c r="I757" s="2960">
        <v>317.12</v>
      </c>
      <c r="J757" s="2960">
        <f t="shared" si="8"/>
        <v>177.03</v>
      </c>
      <c r="K757" s="2960">
        <v>0</v>
      </c>
      <c r="L757" s="2960">
        <f>75.89+64.2</f>
        <v>140.09</v>
      </c>
      <c r="M757" s="2968"/>
      <c r="N757" s="2968"/>
    </row>
    <row r="758" spans="2:14" ht="14.25">
      <c r="B758" s="2958">
        <v>188</v>
      </c>
      <c r="C758" s="2958" t="s">
        <v>3053</v>
      </c>
      <c r="D758" s="2958" t="s">
        <v>3061</v>
      </c>
      <c r="E758" s="2959">
        <v>32</v>
      </c>
      <c r="F758" s="2960">
        <v>1</v>
      </c>
      <c r="G758" s="2959">
        <v>108</v>
      </c>
      <c r="H758" s="2959" t="s">
        <v>3055</v>
      </c>
      <c r="I758" s="2960">
        <v>316.83</v>
      </c>
      <c r="J758" s="2960">
        <f t="shared" si="8"/>
        <v>177.03</v>
      </c>
      <c r="K758" s="2960">
        <v>0</v>
      </c>
      <c r="L758" s="2960">
        <f>75.6+64.2</f>
        <v>139.80000000000001</v>
      </c>
      <c r="M758" s="2968"/>
      <c r="N758" s="2968"/>
    </row>
    <row r="759" spans="2:14" hidden="1">
      <c r="B759" s="2978" t="s">
        <v>3073</v>
      </c>
      <c r="I759" s="2979">
        <f t="shared" ref="I759:N759" si="9">SUM(I3:I758)</f>
        <v>162238.9100000005</v>
      </c>
      <c r="J759" s="2979">
        <f t="shared" si="9"/>
        <v>116966.57000000033</v>
      </c>
      <c r="K759">
        <f t="shared" si="9"/>
        <v>4694.4099999999971</v>
      </c>
      <c r="L759">
        <f t="shared" si="9"/>
        <v>40577.929999999986</v>
      </c>
      <c r="M759">
        <f t="shared" si="9"/>
        <v>2473.6400000000008</v>
      </c>
      <c r="N759">
        <f t="shared" si="9"/>
        <v>1224.21</v>
      </c>
    </row>
  </sheetData>
  <autoFilter ref="B2:N759">
    <filterColumn colId="6">
      <filters>
        <filter val="未售"/>
      </filters>
    </filterColumn>
    <sortState ref="B3:N759">
      <sortCondition ref="E2:E759"/>
    </sortState>
  </autoFilter>
  <phoneticPr fontId="143" type="noConversion"/>
  <conditionalFormatting sqref="H2">
    <cfRule type="expression" dxfId="595" priority="628">
      <formula>#REF!=#REF!</formula>
    </cfRule>
  </conditionalFormatting>
  <conditionalFormatting sqref="G3">
    <cfRule type="expression" dxfId="594" priority="627">
      <formula>$G5=#REF!</formula>
    </cfRule>
  </conditionalFormatting>
  <conditionalFormatting sqref="G4">
    <cfRule type="expression" dxfId="593" priority="626">
      <formula>$G6=#REF!</formula>
    </cfRule>
  </conditionalFormatting>
  <conditionalFormatting sqref="G5:G37">
    <cfRule type="expression" dxfId="592" priority="625">
      <formula>$G7=#REF!</formula>
    </cfRule>
  </conditionalFormatting>
  <conditionalFormatting sqref="G38">
    <cfRule type="expression" dxfId="591" priority="592">
      <formula>$G40=#REF!</formula>
    </cfRule>
  </conditionalFormatting>
  <conditionalFormatting sqref="G39">
    <cfRule type="expression" dxfId="590" priority="591">
      <formula>$G41=#REF!</formula>
    </cfRule>
  </conditionalFormatting>
  <conditionalFormatting sqref="G40">
    <cfRule type="expression" dxfId="589" priority="590">
      <formula>$G42=#REF!</formula>
    </cfRule>
  </conditionalFormatting>
  <conditionalFormatting sqref="G41">
    <cfRule type="expression" dxfId="588" priority="589">
      <formula>$G43=#REF!</formula>
    </cfRule>
  </conditionalFormatting>
  <conditionalFormatting sqref="G42">
    <cfRule type="expression" dxfId="587" priority="588">
      <formula>$G44=#REF!</formula>
    </cfRule>
  </conditionalFormatting>
  <conditionalFormatting sqref="G43">
    <cfRule type="expression" dxfId="586" priority="587">
      <formula>$G45=#REF!</formula>
    </cfRule>
  </conditionalFormatting>
  <conditionalFormatting sqref="G44">
    <cfRule type="expression" dxfId="585" priority="586">
      <formula>$G46=#REF!</formula>
    </cfRule>
  </conditionalFormatting>
  <conditionalFormatting sqref="G45">
    <cfRule type="expression" dxfId="584" priority="585">
      <formula>$G47=#REF!</formula>
    </cfRule>
  </conditionalFormatting>
  <conditionalFormatting sqref="G46">
    <cfRule type="expression" dxfId="583" priority="584">
      <formula>$G48=#REF!</formula>
    </cfRule>
  </conditionalFormatting>
  <conditionalFormatting sqref="G47">
    <cfRule type="expression" dxfId="582" priority="583">
      <formula>$G49=#REF!</formula>
    </cfRule>
  </conditionalFormatting>
  <conditionalFormatting sqref="G48">
    <cfRule type="expression" dxfId="581" priority="582">
      <formula>$G50=#REF!</formula>
    </cfRule>
  </conditionalFormatting>
  <conditionalFormatting sqref="G49">
    <cfRule type="expression" dxfId="580" priority="581">
      <formula>$G51=#REF!</formula>
    </cfRule>
  </conditionalFormatting>
  <conditionalFormatting sqref="G50">
    <cfRule type="expression" dxfId="579" priority="580">
      <formula>$G52=#REF!</formula>
    </cfRule>
  </conditionalFormatting>
  <conditionalFormatting sqref="G51">
    <cfRule type="expression" dxfId="578" priority="579">
      <formula>$G53=#REF!</formula>
    </cfRule>
  </conditionalFormatting>
  <conditionalFormatting sqref="G52">
    <cfRule type="expression" dxfId="577" priority="578">
      <formula>$G54=#REF!</formula>
    </cfRule>
  </conditionalFormatting>
  <conditionalFormatting sqref="G53">
    <cfRule type="expression" dxfId="576" priority="577">
      <formula>$G55=#REF!</formula>
    </cfRule>
  </conditionalFormatting>
  <conditionalFormatting sqref="G54">
    <cfRule type="expression" dxfId="575" priority="576">
      <formula>$G56=#REF!</formula>
    </cfRule>
  </conditionalFormatting>
  <conditionalFormatting sqref="G55">
    <cfRule type="expression" dxfId="574" priority="575">
      <formula>$G57=#REF!</formula>
    </cfRule>
  </conditionalFormatting>
  <conditionalFormatting sqref="G56">
    <cfRule type="expression" dxfId="573" priority="574">
      <formula>$G58=#REF!</formula>
    </cfRule>
  </conditionalFormatting>
  <conditionalFormatting sqref="G57">
    <cfRule type="expression" dxfId="572" priority="573">
      <formula>$G59=#REF!</formula>
    </cfRule>
  </conditionalFormatting>
  <conditionalFormatting sqref="G58">
    <cfRule type="expression" dxfId="571" priority="572">
      <formula>$G60=#REF!</formula>
    </cfRule>
  </conditionalFormatting>
  <conditionalFormatting sqref="G59">
    <cfRule type="expression" dxfId="570" priority="571">
      <formula>$G61=#REF!</formula>
    </cfRule>
  </conditionalFormatting>
  <conditionalFormatting sqref="G60">
    <cfRule type="expression" dxfId="569" priority="570">
      <formula>$G62=#REF!</formula>
    </cfRule>
  </conditionalFormatting>
  <conditionalFormatting sqref="G61">
    <cfRule type="expression" dxfId="568" priority="569">
      <formula>$G63=#REF!</formula>
    </cfRule>
  </conditionalFormatting>
  <conditionalFormatting sqref="G62">
    <cfRule type="expression" dxfId="567" priority="568">
      <formula>$G64=#REF!</formula>
    </cfRule>
  </conditionalFormatting>
  <conditionalFormatting sqref="G63">
    <cfRule type="expression" dxfId="566" priority="567">
      <formula>$G65=#REF!</formula>
    </cfRule>
  </conditionalFormatting>
  <conditionalFormatting sqref="G64">
    <cfRule type="expression" dxfId="565" priority="566">
      <formula>$G66=#REF!</formula>
    </cfRule>
  </conditionalFormatting>
  <conditionalFormatting sqref="G65">
    <cfRule type="expression" dxfId="564" priority="565">
      <formula>$G67=#REF!</formula>
    </cfRule>
  </conditionalFormatting>
  <conditionalFormatting sqref="G66">
    <cfRule type="expression" dxfId="563" priority="564">
      <formula>$G68=#REF!</formula>
    </cfRule>
  </conditionalFormatting>
  <conditionalFormatting sqref="G67">
    <cfRule type="expression" dxfId="562" priority="563">
      <formula>$G69=#REF!</formula>
    </cfRule>
  </conditionalFormatting>
  <conditionalFormatting sqref="G68">
    <cfRule type="expression" dxfId="561" priority="562">
      <formula>$G70=#REF!</formula>
    </cfRule>
  </conditionalFormatting>
  <conditionalFormatting sqref="G69">
    <cfRule type="expression" dxfId="560" priority="561">
      <formula>$G71=#REF!</formula>
    </cfRule>
  </conditionalFormatting>
  <conditionalFormatting sqref="G70">
    <cfRule type="expression" dxfId="559" priority="560">
      <formula>$G72=#REF!</formula>
    </cfRule>
  </conditionalFormatting>
  <conditionalFormatting sqref="G71">
    <cfRule type="expression" dxfId="558" priority="559">
      <formula>$G73=#REF!</formula>
    </cfRule>
  </conditionalFormatting>
  <conditionalFormatting sqref="G72">
    <cfRule type="expression" dxfId="557" priority="558">
      <formula>$G74=#REF!</formula>
    </cfRule>
  </conditionalFormatting>
  <conditionalFormatting sqref="G73">
    <cfRule type="expression" dxfId="556" priority="557">
      <formula>$G75=#REF!</formula>
    </cfRule>
  </conditionalFormatting>
  <conditionalFormatting sqref="G74">
    <cfRule type="expression" dxfId="555" priority="556">
      <formula>$G76=#REF!</formula>
    </cfRule>
  </conditionalFormatting>
  <conditionalFormatting sqref="G75">
    <cfRule type="expression" dxfId="554" priority="555">
      <formula>$G77=#REF!</formula>
    </cfRule>
  </conditionalFormatting>
  <conditionalFormatting sqref="G76">
    <cfRule type="expression" dxfId="553" priority="554">
      <formula>$G78=#REF!</formula>
    </cfRule>
  </conditionalFormatting>
  <conditionalFormatting sqref="G77">
    <cfRule type="expression" dxfId="552" priority="553">
      <formula>$G79=#REF!</formula>
    </cfRule>
  </conditionalFormatting>
  <conditionalFormatting sqref="G78">
    <cfRule type="expression" dxfId="551" priority="552">
      <formula>$G80=#REF!</formula>
    </cfRule>
  </conditionalFormatting>
  <conditionalFormatting sqref="G79">
    <cfRule type="expression" dxfId="550" priority="551">
      <formula>$G81=#REF!</formula>
    </cfRule>
  </conditionalFormatting>
  <conditionalFormatting sqref="G80">
    <cfRule type="expression" dxfId="549" priority="550">
      <formula>$G82=#REF!</formula>
    </cfRule>
  </conditionalFormatting>
  <conditionalFormatting sqref="G81">
    <cfRule type="expression" dxfId="548" priority="549">
      <formula>$G83=#REF!</formula>
    </cfRule>
  </conditionalFormatting>
  <conditionalFormatting sqref="G82">
    <cfRule type="expression" dxfId="547" priority="548">
      <formula>$G84=#REF!</formula>
    </cfRule>
  </conditionalFormatting>
  <conditionalFormatting sqref="G83">
    <cfRule type="expression" dxfId="546" priority="547">
      <formula>$G85=#REF!</formula>
    </cfRule>
  </conditionalFormatting>
  <conditionalFormatting sqref="G84">
    <cfRule type="expression" dxfId="545" priority="546">
      <formula>$G86=#REF!</formula>
    </cfRule>
  </conditionalFormatting>
  <conditionalFormatting sqref="G85">
    <cfRule type="expression" dxfId="544" priority="545">
      <formula>$G87=#REF!</formula>
    </cfRule>
  </conditionalFormatting>
  <conditionalFormatting sqref="G86">
    <cfRule type="expression" dxfId="543" priority="544">
      <formula>$G88=#REF!</formula>
    </cfRule>
  </conditionalFormatting>
  <conditionalFormatting sqref="G87">
    <cfRule type="expression" dxfId="542" priority="543">
      <formula>$G89=#REF!</formula>
    </cfRule>
  </conditionalFormatting>
  <conditionalFormatting sqref="G88">
    <cfRule type="expression" dxfId="541" priority="542">
      <formula>$G90=#REF!</formula>
    </cfRule>
  </conditionalFormatting>
  <conditionalFormatting sqref="G89">
    <cfRule type="expression" dxfId="540" priority="541">
      <formula>$G91=#REF!</formula>
    </cfRule>
  </conditionalFormatting>
  <conditionalFormatting sqref="G90">
    <cfRule type="expression" dxfId="539" priority="540">
      <formula>$G92=#REF!</formula>
    </cfRule>
  </conditionalFormatting>
  <conditionalFormatting sqref="G91">
    <cfRule type="expression" dxfId="538" priority="539">
      <formula>$G93=#REF!</formula>
    </cfRule>
  </conditionalFormatting>
  <conditionalFormatting sqref="G92">
    <cfRule type="expression" dxfId="537" priority="538">
      <formula>$G94=#REF!</formula>
    </cfRule>
  </conditionalFormatting>
  <conditionalFormatting sqref="G93">
    <cfRule type="expression" dxfId="536" priority="537">
      <formula>$G95=#REF!</formula>
    </cfRule>
  </conditionalFormatting>
  <conditionalFormatting sqref="G94">
    <cfRule type="expression" dxfId="535" priority="536">
      <formula>$G96=#REF!</formula>
    </cfRule>
  </conditionalFormatting>
  <conditionalFormatting sqref="G95">
    <cfRule type="expression" dxfId="534" priority="535">
      <formula>$G97=#REF!</formula>
    </cfRule>
  </conditionalFormatting>
  <conditionalFormatting sqref="G96">
    <cfRule type="expression" dxfId="533" priority="534">
      <formula>$G98=#REF!</formula>
    </cfRule>
  </conditionalFormatting>
  <conditionalFormatting sqref="G97">
    <cfRule type="expression" dxfId="532" priority="533">
      <formula>$G99=#REF!</formula>
    </cfRule>
  </conditionalFormatting>
  <conditionalFormatting sqref="G98">
    <cfRule type="expression" dxfId="531" priority="532">
      <formula>$G100=#REF!</formula>
    </cfRule>
  </conditionalFormatting>
  <conditionalFormatting sqref="G99">
    <cfRule type="expression" dxfId="530" priority="531">
      <formula>$G101=#REF!</formula>
    </cfRule>
  </conditionalFormatting>
  <conditionalFormatting sqref="G100">
    <cfRule type="expression" dxfId="529" priority="530">
      <formula>$G102=#REF!</formula>
    </cfRule>
  </conditionalFormatting>
  <conditionalFormatting sqref="G101">
    <cfRule type="expression" dxfId="528" priority="529">
      <formula>$G103=#REF!</formula>
    </cfRule>
  </conditionalFormatting>
  <conditionalFormatting sqref="G102">
    <cfRule type="expression" dxfId="527" priority="528">
      <formula>$G104=#REF!</formula>
    </cfRule>
  </conditionalFormatting>
  <conditionalFormatting sqref="G103">
    <cfRule type="expression" dxfId="526" priority="527">
      <formula>$G105=#REF!</formula>
    </cfRule>
  </conditionalFormatting>
  <conditionalFormatting sqref="G104">
    <cfRule type="expression" dxfId="525" priority="526">
      <formula>$G106=#REF!</formula>
    </cfRule>
  </conditionalFormatting>
  <conditionalFormatting sqref="G105">
    <cfRule type="expression" dxfId="524" priority="525">
      <formula>$G107=#REF!</formula>
    </cfRule>
  </conditionalFormatting>
  <conditionalFormatting sqref="G106">
    <cfRule type="expression" dxfId="523" priority="524">
      <formula>$G108=#REF!</formula>
    </cfRule>
  </conditionalFormatting>
  <conditionalFormatting sqref="G107">
    <cfRule type="expression" dxfId="522" priority="523">
      <formula>$G109=#REF!</formula>
    </cfRule>
  </conditionalFormatting>
  <conditionalFormatting sqref="G108">
    <cfRule type="expression" dxfId="521" priority="522">
      <formula>$G110=#REF!</formula>
    </cfRule>
  </conditionalFormatting>
  <conditionalFormatting sqref="G109">
    <cfRule type="expression" dxfId="520" priority="521">
      <formula>$G111=#REF!</formula>
    </cfRule>
  </conditionalFormatting>
  <conditionalFormatting sqref="G110">
    <cfRule type="expression" dxfId="519" priority="520">
      <formula>$G112=#REF!</formula>
    </cfRule>
  </conditionalFormatting>
  <conditionalFormatting sqref="G111">
    <cfRule type="expression" dxfId="518" priority="519">
      <formula>$G113=#REF!</formula>
    </cfRule>
  </conditionalFormatting>
  <conditionalFormatting sqref="G112">
    <cfRule type="expression" dxfId="517" priority="518">
      <formula>$G114=#REF!</formula>
    </cfRule>
  </conditionalFormatting>
  <conditionalFormatting sqref="G113">
    <cfRule type="expression" dxfId="516" priority="517">
      <formula>$G115=#REF!</formula>
    </cfRule>
  </conditionalFormatting>
  <conditionalFormatting sqref="G114">
    <cfRule type="expression" dxfId="515" priority="516">
      <formula>$G116=#REF!</formula>
    </cfRule>
  </conditionalFormatting>
  <conditionalFormatting sqref="G115">
    <cfRule type="expression" dxfId="514" priority="515">
      <formula>$G117=#REF!</formula>
    </cfRule>
  </conditionalFormatting>
  <conditionalFormatting sqref="G116">
    <cfRule type="expression" dxfId="513" priority="514">
      <formula>$G118=#REF!</formula>
    </cfRule>
  </conditionalFormatting>
  <conditionalFormatting sqref="G117">
    <cfRule type="expression" dxfId="512" priority="513">
      <formula>$G119=#REF!</formula>
    </cfRule>
  </conditionalFormatting>
  <conditionalFormatting sqref="G118">
    <cfRule type="expression" dxfId="511" priority="512">
      <formula>$G120=#REF!</formula>
    </cfRule>
  </conditionalFormatting>
  <conditionalFormatting sqref="G119">
    <cfRule type="expression" dxfId="510" priority="511">
      <formula>$G121=#REF!</formula>
    </cfRule>
  </conditionalFormatting>
  <conditionalFormatting sqref="G120">
    <cfRule type="expression" dxfId="509" priority="510">
      <formula>$G122=#REF!</formula>
    </cfRule>
  </conditionalFormatting>
  <conditionalFormatting sqref="G121">
    <cfRule type="expression" dxfId="508" priority="509">
      <formula>$G123=#REF!</formula>
    </cfRule>
  </conditionalFormatting>
  <conditionalFormatting sqref="G122">
    <cfRule type="expression" dxfId="507" priority="508">
      <formula>$G124=#REF!</formula>
    </cfRule>
  </conditionalFormatting>
  <conditionalFormatting sqref="G123">
    <cfRule type="expression" dxfId="506" priority="507">
      <formula>$G125=#REF!</formula>
    </cfRule>
  </conditionalFormatting>
  <conditionalFormatting sqref="G124">
    <cfRule type="expression" dxfId="505" priority="506">
      <formula>$G126=#REF!</formula>
    </cfRule>
  </conditionalFormatting>
  <conditionalFormatting sqref="G125">
    <cfRule type="expression" dxfId="504" priority="505">
      <formula>$G127=#REF!</formula>
    </cfRule>
  </conditionalFormatting>
  <conditionalFormatting sqref="G126">
    <cfRule type="expression" dxfId="503" priority="504">
      <formula>$G128=#REF!</formula>
    </cfRule>
  </conditionalFormatting>
  <conditionalFormatting sqref="G127">
    <cfRule type="expression" dxfId="502" priority="503">
      <formula>$G129=#REF!</formula>
    </cfRule>
  </conditionalFormatting>
  <conditionalFormatting sqref="G128">
    <cfRule type="expression" dxfId="501" priority="502">
      <formula>$G130=#REF!</formula>
    </cfRule>
  </conditionalFormatting>
  <conditionalFormatting sqref="G129">
    <cfRule type="expression" dxfId="500" priority="501">
      <formula>$G131=#REF!</formula>
    </cfRule>
  </conditionalFormatting>
  <conditionalFormatting sqref="G130">
    <cfRule type="expression" dxfId="499" priority="500">
      <formula>$G132=#REF!</formula>
    </cfRule>
  </conditionalFormatting>
  <conditionalFormatting sqref="G131">
    <cfRule type="expression" dxfId="498" priority="499">
      <formula>$G133=#REF!</formula>
    </cfRule>
  </conditionalFormatting>
  <conditionalFormatting sqref="G132">
    <cfRule type="expression" dxfId="497" priority="498">
      <formula>$G134=#REF!</formula>
    </cfRule>
  </conditionalFormatting>
  <conditionalFormatting sqref="G133">
    <cfRule type="expression" dxfId="496" priority="497">
      <formula>$G135=#REF!</formula>
    </cfRule>
  </conditionalFormatting>
  <conditionalFormatting sqref="G134">
    <cfRule type="expression" dxfId="495" priority="496">
      <formula>$G136=#REF!</formula>
    </cfRule>
  </conditionalFormatting>
  <conditionalFormatting sqref="G135">
    <cfRule type="expression" dxfId="494" priority="495">
      <formula>$G137=#REF!</formula>
    </cfRule>
  </conditionalFormatting>
  <conditionalFormatting sqref="G136">
    <cfRule type="expression" dxfId="493" priority="494">
      <formula>$G138=#REF!</formula>
    </cfRule>
  </conditionalFormatting>
  <conditionalFormatting sqref="G137">
    <cfRule type="expression" dxfId="492" priority="493">
      <formula>$G139=#REF!</formula>
    </cfRule>
  </conditionalFormatting>
  <conditionalFormatting sqref="G138">
    <cfRule type="expression" dxfId="491" priority="492">
      <formula>$G140=#REF!</formula>
    </cfRule>
  </conditionalFormatting>
  <conditionalFormatting sqref="G139">
    <cfRule type="expression" dxfId="490" priority="491">
      <formula>$G141=#REF!</formula>
    </cfRule>
  </conditionalFormatting>
  <conditionalFormatting sqref="G140">
    <cfRule type="expression" dxfId="489" priority="490">
      <formula>$G142=#REF!</formula>
    </cfRule>
  </conditionalFormatting>
  <conditionalFormatting sqref="G141">
    <cfRule type="expression" dxfId="488" priority="489">
      <formula>$G143=#REF!</formula>
    </cfRule>
  </conditionalFormatting>
  <conditionalFormatting sqref="G142">
    <cfRule type="expression" dxfId="487" priority="488">
      <formula>$G144=#REF!</formula>
    </cfRule>
  </conditionalFormatting>
  <conditionalFormatting sqref="G143">
    <cfRule type="expression" dxfId="486" priority="487">
      <formula>$G145=#REF!</formula>
    </cfRule>
  </conditionalFormatting>
  <conditionalFormatting sqref="G144">
    <cfRule type="expression" dxfId="485" priority="486">
      <formula>$G146=#REF!</formula>
    </cfRule>
  </conditionalFormatting>
  <conditionalFormatting sqref="G145">
    <cfRule type="expression" dxfId="484" priority="485">
      <formula>$G147=#REF!</formula>
    </cfRule>
  </conditionalFormatting>
  <conditionalFormatting sqref="G146">
    <cfRule type="expression" dxfId="483" priority="484">
      <formula>$G148=#REF!</formula>
    </cfRule>
  </conditionalFormatting>
  <conditionalFormatting sqref="G147">
    <cfRule type="expression" dxfId="482" priority="483">
      <formula>$G149=#REF!</formula>
    </cfRule>
  </conditionalFormatting>
  <conditionalFormatting sqref="G148">
    <cfRule type="expression" dxfId="481" priority="482">
      <formula>$G150=#REF!</formula>
    </cfRule>
  </conditionalFormatting>
  <conditionalFormatting sqref="G149">
    <cfRule type="expression" dxfId="480" priority="481">
      <formula>$G151=#REF!</formula>
    </cfRule>
  </conditionalFormatting>
  <conditionalFormatting sqref="G150">
    <cfRule type="expression" dxfId="479" priority="480">
      <formula>$G152=#REF!</formula>
    </cfRule>
  </conditionalFormatting>
  <conditionalFormatting sqref="G151">
    <cfRule type="expression" dxfId="478" priority="479">
      <formula>$G153=#REF!</formula>
    </cfRule>
  </conditionalFormatting>
  <conditionalFormatting sqref="G152">
    <cfRule type="expression" dxfId="477" priority="478">
      <formula>$G154=#REF!</formula>
    </cfRule>
  </conditionalFormatting>
  <conditionalFormatting sqref="G153">
    <cfRule type="expression" dxfId="476" priority="477">
      <formula>$G155=#REF!</formula>
    </cfRule>
  </conditionalFormatting>
  <conditionalFormatting sqref="G154">
    <cfRule type="expression" dxfId="475" priority="476">
      <formula>$G156=#REF!</formula>
    </cfRule>
  </conditionalFormatting>
  <conditionalFormatting sqref="G155">
    <cfRule type="expression" dxfId="474" priority="475">
      <formula>$G157=#REF!</formula>
    </cfRule>
  </conditionalFormatting>
  <conditionalFormatting sqref="G156">
    <cfRule type="expression" dxfId="473" priority="474">
      <formula>$G158=#REF!</formula>
    </cfRule>
  </conditionalFormatting>
  <conditionalFormatting sqref="G157">
    <cfRule type="expression" dxfId="472" priority="473">
      <formula>$G159=#REF!</formula>
    </cfRule>
  </conditionalFormatting>
  <conditionalFormatting sqref="G158">
    <cfRule type="expression" dxfId="471" priority="472">
      <formula>$G160=#REF!</formula>
    </cfRule>
  </conditionalFormatting>
  <conditionalFormatting sqref="G159">
    <cfRule type="expression" dxfId="470" priority="471">
      <formula>$G161=#REF!</formula>
    </cfRule>
  </conditionalFormatting>
  <conditionalFormatting sqref="G160">
    <cfRule type="expression" dxfId="469" priority="470">
      <formula>$G162=#REF!</formula>
    </cfRule>
  </conditionalFormatting>
  <conditionalFormatting sqref="G161">
    <cfRule type="expression" dxfId="468" priority="469">
      <formula>$G163=#REF!</formula>
    </cfRule>
  </conditionalFormatting>
  <conditionalFormatting sqref="G162">
    <cfRule type="expression" dxfId="467" priority="468">
      <formula>$G164=#REF!</formula>
    </cfRule>
  </conditionalFormatting>
  <conditionalFormatting sqref="G163">
    <cfRule type="expression" dxfId="466" priority="467">
      <formula>$G165=#REF!</formula>
    </cfRule>
  </conditionalFormatting>
  <conditionalFormatting sqref="G164">
    <cfRule type="expression" dxfId="465" priority="466">
      <formula>$G166=#REF!</formula>
    </cfRule>
  </conditionalFormatting>
  <conditionalFormatting sqref="G165">
    <cfRule type="expression" dxfId="464" priority="465">
      <formula>$G167=#REF!</formula>
    </cfRule>
  </conditionalFormatting>
  <conditionalFormatting sqref="G166">
    <cfRule type="expression" dxfId="463" priority="464">
      <formula>$G168=#REF!</formula>
    </cfRule>
  </conditionalFormatting>
  <conditionalFormatting sqref="G167">
    <cfRule type="expression" dxfId="462" priority="463">
      <formula>$G169=#REF!</formula>
    </cfRule>
  </conditionalFormatting>
  <conditionalFormatting sqref="G168">
    <cfRule type="expression" dxfId="461" priority="462">
      <formula>$G170=#REF!</formula>
    </cfRule>
  </conditionalFormatting>
  <conditionalFormatting sqref="G169">
    <cfRule type="expression" dxfId="460" priority="461">
      <formula>$G171=#REF!</formula>
    </cfRule>
  </conditionalFormatting>
  <conditionalFormatting sqref="G170">
    <cfRule type="expression" dxfId="459" priority="460">
      <formula>$G172=#REF!</formula>
    </cfRule>
  </conditionalFormatting>
  <conditionalFormatting sqref="G171">
    <cfRule type="expression" dxfId="458" priority="459">
      <formula>$G173=#REF!</formula>
    </cfRule>
  </conditionalFormatting>
  <conditionalFormatting sqref="G172">
    <cfRule type="expression" dxfId="457" priority="458">
      <formula>$G174=#REF!</formula>
    </cfRule>
  </conditionalFormatting>
  <conditionalFormatting sqref="G173">
    <cfRule type="expression" dxfId="456" priority="457">
      <formula>$G175=#REF!</formula>
    </cfRule>
  </conditionalFormatting>
  <conditionalFormatting sqref="G174">
    <cfRule type="expression" dxfId="455" priority="456">
      <formula>$G176=#REF!</formula>
    </cfRule>
  </conditionalFormatting>
  <conditionalFormatting sqref="G175">
    <cfRule type="expression" dxfId="454" priority="455">
      <formula>$G177=#REF!</formula>
    </cfRule>
  </conditionalFormatting>
  <conditionalFormatting sqref="G176">
    <cfRule type="expression" dxfId="453" priority="454">
      <formula>$G178=#REF!</formula>
    </cfRule>
  </conditionalFormatting>
  <conditionalFormatting sqref="G177">
    <cfRule type="expression" dxfId="452" priority="453">
      <formula>$G179=#REF!</formula>
    </cfRule>
  </conditionalFormatting>
  <conditionalFormatting sqref="G178">
    <cfRule type="expression" dxfId="451" priority="452">
      <formula>$G180=#REF!</formula>
    </cfRule>
  </conditionalFormatting>
  <conditionalFormatting sqref="G179">
    <cfRule type="expression" dxfId="450" priority="451">
      <formula>$G181=#REF!</formula>
    </cfRule>
  </conditionalFormatting>
  <conditionalFormatting sqref="G180">
    <cfRule type="expression" dxfId="449" priority="450">
      <formula>$G182=#REF!</formula>
    </cfRule>
  </conditionalFormatting>
  <conditionalFormatting sqref="G181">
    <cfRule type="expression" dxfId="448" priority="449">
      <formula>$G183=#REF!</formula>
    </cfRule>
  </conditionalFormatting>
  <conditionalFormatting sqref="G182">
    <cfRule type="expression" dxfId="447" priority="448">
      <formula>$G184=#REF!</formula>
    </cfRule>
  </conditionalFormatting>
  <conditionalFormatting sqref="G183">
    <cfRule type="expression" dxfId="446" priority="447">
      <formula>$G185=#REF!</formula>
    </cfRule>
  </conditionalFormatting>
  <conditionalFormatting sqref="G184">
    <cfRule type="expression" dxfId="445" priority="446">
      <formula>$G186=#REF!</formula>
    </cfRule>
  </conditionalFormatting>
  <conditionalFormatting sqref="G185">
    <cfRule type="expression" dxfId="444" priority="445">
      <formula>$G187=#REF!</formula>
    </cfRule>
  </conditionalFormatting>
  <conditionalFormatting sqref="G186">
    <cfRule type="expression" dxfId="443" priority="444">
      <formula>$G188=#REF!</formula>
    </cfRule>
  </conditionalFormatting>
  <conditionalFormatting sqref="G187">
    <cfRule type="expression" dxfId="442" priority="443">
      <formula>$G189=#REF!</formula>
    </cfRule>
  </conditionalFormatting>
  <conditionalFormatting sqref="G188">
    <cfRule type="expression" dxfId="441" priority="442">
      <formula>$G190=#REF!</formula>
    </cfRule>
  </conditionalFormatting>
  <conditionalFormatting sqref="G189">
    <cfRule type="expression" dxfId="440" priority="441">
      <formula>$G191=#REF!</formula>
    </cfRule>
  </conditionalFormatting>
  <conditionalFormatting sqref="G190">
    <cfRule type="expression" dxfId="439" priority="440">
      <formula>$G192=#REF!</formula>
    </cfRule>
  </conditionalFormatting>
  <conditionalFormatting sqref="G234">
    <cfRule type="expression" dxfId="438" priority="396">
      <formula>$G236=#REF!</formula>
    </cfRule>
  </conditionalFormatting>
  <conditionalFormatting sqref="G191">
    <cfRule type="expression" dxfId="437" priority="439">
      <formula>$G193=#REF!</formula>
    </cfRule>
  </conditionalFormatting>
  <conditionalFormatting sqref="G192">
    <cfRule type="expression" dxfId="436" priority="438">
      <formula>$G194=#REF!</formula>
    </cfRule>
  </conditionalFormatting>
  <conditionalFormatting sqref="G193">
    <cfRule type="expression" dxfId="435" priority="437">
      <formula>$G195=#REF!</formula>
    </cfRule>
  </conditionalFormatting>
  <conditionalFormatting sqref="G194">
    <cfRule type="expression" dxfId="434" priority="436">
      <formula>$G196=#REF!</formula>
    </cfRule>
  </conditionalFormatting>
  <conditionalFormatting sqref="G195">
    <cfRule type="expression" dxfId="433" priority="435">
      <formula>$G197=#REF!</formula>
    </cfRule>
  </conditionalFormatting>
  <conditionalFormatting sqref="G196">
    <cfRule type="expression" dxfId="432" priority="434">
      <formula>$G198=#REF!</formula>
    </cfRule>
  </conditionalFormatting>
  <conditionalFormatting sqref="G197">
    <cfRule type="expression" dxfId="431" priority="433">
      <formula>$G199=#REF!</formula>
    </cfRule>
  </conditionalFormatting>
  <conditionalFormatting sqref="G198">
    <cfRule type="expression" dxfId="430" priority="432">
      <formula>$G200=#REF!</formula>
    </cfRule>
  </conditionalFormatting>
  <conditionalFormatting sqref="G199">
    <cfRule type="expression" dxfId="429" priority="431">
      <formula>$G201=#REF!</formula>
    </cfRule>
  </conditionalFormatting>
  <conditionalFormatting sqref="G200">
    <cfRule type="expression" dxfId="428" priority="430">
      <formula>$G202=#REF!</formula>
    </cfRule>
  </conditionalFormatting>
  <conditionalFormatting sqref="G201">
    <cfRule type="expression" dxfId="427" priority="429">
      <formula>$G203=#REF!</formula>
    </cfRule>
  </conditionalFormatting>
  <conditionalFormatting sqref="G202">
    <cfRule type="expression" dxfId="426" priority="428">
      <formula>$G204=#REF!</formula>
    </cfRule>
  </conditionalFormatting>
  <conditionalFormatting sqref="G203">
    <cfRule type="expression" dxfId="425" priority="427">
      <formula>$G205=#REF!</formula>
    </cfRule>
  </conditionalFormatting>
  <conditionalFormatting sqref="G204">
    <cfRule type="expression" dxfId="424" priority="426">
      <formula>$G206=#REF!</formula>
    </cfRule>
  </conditionalFormatting>
  <conditionalFormatting sqref="G205">
    <cfRule type="expression" dxfId="423" priority="425">
      <formula>$G207=#REF!</formula>
    </cfRule>
  </conditionalFormatting>
  <conditionalFormatting sqref="G206">
    <cfRule type="expression" dxfId="422" priority="424">
      <formula>$G208=#REF!</formula>
    </cfRule>
  </conditionalFormatting>
  <conditionalFormatting sqref="G207">
    <cfRule type="expression" dxfId="421" priority="423">
      <formula>$G209=#REF!</formula>
    </cfRule>
  </conditionalFormatting>
  <conditionalFormatting sqref="G208">
    <cfRule type="expression" dxfId="420" priority="422">
      <formula>$G210=#REF!</formula>
    </cfRule>
  </conditionalFormatting>
  <conditionalFormatting sqref="G209">
    <cfRule type="expression" dxfId="419" priority="421">
      <formula>$G211=#REF!</formula>
    </cfRule>
  </conditionalFormatting>
  <conditionalFormatting sqref="G210">
    <cfRule type="expression" dxfId="418" priority="420">
      <formula>$G212=#REF!</formula>
    </cfRule>
  </conditionalFormatting>
  <conditionalFormatting sqref="G211">
    <cfRule type="expression" dxfId="417" priority="419">
      <formula>$G213=#REF!</formula>
    </cfRule>
  </conditionalFormatting>
  <conditionalFormatting sqref="G212">
    <cfRule type="expression" dxfId="416" priority="418">
      <formula>$G214=#REF!</formula>
    </cfRule>
  </conditionalFormatting>
  <conditionalFormatting sqref="G213">
    <cfRule type="expression" dxfId="415" priority="417">
      <formula>$G215=#REF!</formula>
    </cfRule>
  </conditionalFormatting>
  <conditionalFormatting sqref="G214">
    <cfRule type="expression" dxfId="414" priority="416">
      <formula>$G216=#REF!</formula>
    </cfRule>
  </conditionalFormatting>
  <conditionalFormatting sqref="G215">
    <cfRule type="expression" dxfId="413" priority="415">
      <formula>$G217=#REF!</formula>
    </cfRule>
  </conditionalFormatting>
  <conditionalFormatting sqref="G216">
    <cfRule type="expression" dxfId="412" priority="414">
      <formula>$G218=#REF!</formula>
    </cfRule>
  </conditionalFormatting>
  <conditionalFormatting sqref="G217">
    <cfRule type="expression" dxfId="411" priority="413">
      <formula>$G219=#REF!</formula>
    </cfRule>
  </conditionalFormatting>
  <conditionalFormatting sqref="G218">
    <cfRule type="expression" dxfId="410" priority="412">
      <formula>$G220=#REF!</formula>
    </cfRule>
  </conditionalFormatting>
  <conditionalFormatting sqref="G219">
    <cfRule type="expression" dxfId="409" priority="411">
      <formula>$G221=#REF!</formula>
    </cfRule>
  </conditionalFormatting>
  <conditionalFormatting sqref="G220">
    <cfRule type="expression" dxfId="408" priority="410">
      <formula>$G222=#REF!</formula>
    </cfRule>
  </conditionalFormatting>
  <conditionalFormatting sqref="G221">
    <cfRule type="expression" dxfId="407" priority="409">
      <formula>$G223=#REF!</formula>
    </cfRule>
  </conditionalFormatting>
  <conditionalFormatting sqref="G222">
    <cfRule type="expression" dxfId="406" priority="408">
      <formula>$G224=#REF!</formula>
    </cfRule>
  </conditionalFormatting>
  <conditionalFormatting sqref="G223">
    <cfRule type="expression" dxfId="405" priority="407">
      <formula>$G225=#REF!</formula>
    </cfRule>
  </conditionalFormatting>
  <conditionalFormatting sqref="G224">
    <cfRule type="expression" dxfId="404" priority="406">
      <formula>$G226=#REF!</formula>
    </cfRule>
  </conditionalFormatting>
  <conditionalFormatting sqref="G225">
    <cfRule type="expression" dxfId="403" priority="405">
      <formula>$G227=#REF!</formula>
    </cfRule>
  </conditionalFormatting>
  <conditionalFormatting sqref="G226">
    <cfRule type="expression" dxfId="402" priority="404">
      <formula>$G228=#REF!</formula>
    </cfRule>
  </conditionalFormatting>
  <conditionalFormatting sqref="G227">
    <cfRule type="expression" dxfId="401" priority="403">
      <formula>$G229=#REF!</formula>
    </cfRule>
  </conditionalFormatting>
  <conditionalFormatting sqref="G228">
    <cfRule type="expression" dxfId="400" priority="402">
      <formula>$G230=#REF!</formula>
    </cfRule>
  </conditionalFormatting>
  <conditionalFormatting sqref="G229">
    <cfRule type="expression" dxfId="399" priority="401">
      <formula>$G231=#REF!</formula>
    </cfRule>
  </conditionalFormatting>
  <conditionalFormatting sqref="G230">
    <cfRule type="expression" dxfId="398" priority="400">
      <formula>$G232=#REF!</formula>
    </cfRule>
  </conditionalFormatting>
  <conditionalFormatting sqref="G231">
    <cfRule type="expression" dxfId="397" priority="399">
      <formula>$G233=#REF!</formula>
    </cfRule>
  </conditionalFormatting>
  <conditionalFormatting sqref="G232">
    <cfRule type="expression" dxfId="396" priority="398">
      <formula>$G234=#REF!</formula>
    </cfRule>
  </conditionalFormatting>
  <conditionalFormatting sqref="G233">
    <cfRule type="expression" dxfId="395" priority="397">
      <formula>$G235=#REF!</formula>
    </cfRule>
  </conditionalFormatting>
  <conditionalFormatting sqref="G278">
    <cfRule type="expression" dxfId="394" priority="352">
      <formula>$G280=#REF!</formula>
    </cfRule>
  </conditionalFormatting>
  <conditionalFormatting sqref="G235">
    <cfRule type="expression" dxfId="393" priority="395">
      <formula>$G237=#REF!</formula>
    </cfRule>
  </conditionalFormatting>
  <conditionalFormatting sqref="G236">
    <cfRule type="expression" dxfId="392" priority="394">
      <formula>$G238=#REF!</formula>
    </cfRule>
  </conditionalFormatting>
  <conditionalFormatting sqref="G237">
    <cfRule type="expression" dxfId="391" priority="393">
      <formula>$G239=#REF!</formula>
    </cfRule>
  </conditionalFormatting>
  <conditionalFormatting sqref="G238">
    <cfRule type="expression" dxfId="390" priority="392">
      <formula>$G240=#REF!</formula>
    </cfRule>
  </conditionalFormatting>
  <conditionalFormatting sqref="G239">
    <cfRule type="expression" dxfId="389" priority="391">
      <formula>$G241=#REF!</formula>
    </cfRule>
  </conditionalFormatting>
  <conditionalFormatting sqref="G240">
    <cfRule type="expression" dxfId="388" priority="390">
      <formula>$G242=#REF!</formula>
    </cfRule>
  </conditionalFormatting>
  <conditionalFormatting sqref="G241">
    <cfRule type="expression" dxfId="387" priority="389">
      <formula>$G243=#REF!</formula>
    </cfRule>
  </conditionalFormatting>
  <conditionalFormatting sqref="G242">
    <cfRule type="expression" dxfId="386" priority="388">
      <formula>$G244=#REF!</formula>
    </cfRule>
  </conditionalFormatting>
  <conditionalFormatting sqref="G243">
    <cfRule type="expression" dxfId="385" priority="387">
      <formula>$G245=#REF!</formula>
    </cfRule>
  </conditionalFormatting>
  <conditionalFormatting sqref="G244">
    <cfRule type="expression" dxfId="384" priority="386">
      <formula>$G246=#REF!</formula>
    </cfRule>
  </conditionalFormatting>
  <conditionalFormatting sqref="G245">
    <cfRule type="expression" dxfId="383" priority="385">
      <formula>$G247=#REF!</formula>
    </cfRule>
  </conditionalFormatting>
  <conditionalFormatting sqref="G246">
    <cfRule type="expression" dxfId="382" priority="384">
      <formula>$G248=#REF!</formula>
    </cfRule>
  </conditionalFormatting>
  <conditionalFormatting sqref="G247">
    <cfRule type="expression" dxfId="381" priority="383">
      <formula>$G249=#REF!</formula>
    </cfRule>
  </conditionalFormatting>
  <conditionalFormatting sqref="G248">
    <cfRule type="expression" dxfId="380" priority="382">
      <formula>$G250=#REF!</formula>
    </cfRule>
  </conditionalFormatting>
  <conditionalFormatting sqref="G249">
    <cfRule type="expression" dxfId="379" priority="381">
      <formula>$G251=#REF!</formula>
    </cfRule>
  </conditionalFormatting>
  <conditionalFormatting sqref="G250">
    <cfRule type="expression" dxfId="378" priority="380">
      <formula>$G252=#REF!</formula>
    </cfRule>
  </conditionalFormatting>
  <conditionalFormatting sqref="G251">
    <cfRule type="expression" dxfId="377" priority="379">
      <formula>$G253=#REF!</formula>
    </cfRule>
  </conditionalFormatting>
  <conditionalFormatting sqref="G252">
    <cfRule type="expression" dxfId="376" priority="378">
      <formula>$G254=#REF!</formula>
    </cfRule>
  </conditionalFormatting>
  <conditionalFormatting sqref="G253">
    <cfRule type="expression" dxfId="375" priority="377">
      <formula>$G255=#REF!</formula>
    </cfRule>
  </conditionalFormatting>
  <conditionalFormatting sqref="G254">
    <cfRule type="expression" dxfId="374" priority="376">
      <formula>$G256=#REF!</formula>
    </cfRule>
  </conditionalFormatting>
  <conditionalFormatting sqref="G255">
    <cfRule type="expression" dxfId="373" priority="375">
      <formula>$G257=#REF!</formula>
    </cfRule>
  </conditionalFormatting>
  <conditionalFormatting sqref="G256">
    <cfRule type="expression" dxfId="372" priority="374">
      <formula>$G258=#REF!</formula>
    </cfRule>
  </conditionalFormatting>
  <conditionalFormatting sqref="G257">
    <cfRule type="expression" dxfId="371" priority="373">
      <formula>$G259=#REF!</formula>
    </cfRule>
  </conditionalFormatting>
  <conditionalFormatting sqref="G258">
    <cfRule type="expression" dxfId="370" priority="372">
      <formula>$G260=#REF!</formula>
    </cfRule>
  </conditionalFormatting>
  <conditionalFormatting sqref="G259">
    <cfRule type="expression" dxfId="369" priority="371">
      <formula>$G261=#REF!</formula>
    </cfRule>
  </conditionalFormatting>
  <conditionalFormatting sqref="G260">
    <cfRule type="expression" dxfId="368" priority="370">
      <formula>$G262=#REF!</formula>
    </cfRule>
  </conditionalFormatting>
  <conditionalFormatting sqref="G261">
    <cfRule type="expression" dxfId="367" priority="369">
      <formula>$G263=#REF!</formula>
    </cfRule>
  </conditionalFormatting>
  <conditionalFormatting sqref="G262">
    <cfRule type="expression" dxfId="366" priority="368">
      <formula>$G264=#REF!</formula>
    </cfRule>
  </conditionalFormatting>
  <conditionalFormatting sqref="G263">
    <cfRule type="expression" dxfId="365" priority="367">
      <formula>$G265=#REF!</formula>
    </cfRule>
  </conditionalFormatting>
  <conditionalFormatting sqref="G264">
    <cfRule type="expression" dxfId="364" priority="366">
      <formula>$G266=#REF!</formula>
    </cfRule>
  </conditionalFormatting>
  <conditionalFormatting sqref="G265">
    <cfRule type="expression" dxfId="363" priority="365">
      <formula>$G267=#REF!</formula>
    </cfRule>
  </conditionalFormatting>
  <conditionalFormatting sqref="G266">
    <cfRule type="expression" dxfId="362" priority="364">
      <formula>$G268=#REF!</formula>
    </cfRule>
  </conditionalFormatting>
  <conditionalFormatting sqref="G267">
    <cfRule type="expression" dxfId="361" priority="363">
      <formula>$G269=#REF!</formula>
    </cfRule>
  </conditionalFormatting>
  <conditionalFormatting sqref="G268">
    <cfRule type="expression" dxfId="360" priority="362">
      <formula>$G270=#REF!</formula>
    </cfRule>
  </conditionalFormatting>
  <conditionalFormatting sqref="G269">
    <cfRule type="expression" dxfId="359" priority="361">
      <formula>$G271=#REF!</formula>
    </cfRule>
  </conditionalFormatting>
  <conditionalFormatting sqref="G270">
    <cfRule type="expression" dxfId="358" priority="360">
      <formula>$G272=#REF!</formula>
    </cfRule>
  </conditionalFormatting>
  <conditionalFormatting sqref="G271">
    <cfRule type="expression" dxfId="357" priority="359">
      <formula>$G273=#REF!</formula>
    </cfRule>
  </conditionalFormatting>
  <conditionalFormatting sqref="G272">
    <cfRule type="expression" dxfId="356" priority="358">
      <formula>$G274=#REF!</formula>
    </cfRule>
  </conditionalFormatting>
  <conditionalFormatting sqref="G273">
    <cfRule type="expression" dxfId="355" priority="357">
      <formula>$G275=#REF!</formula>
    </cfRule>
  </conditionalFormatting>
  <conditionalFormatting sqref="G274">
    <cfRule type="expression" dxfId="354" priority="356">
      <formula>$G276=#REF!</formula>
    </cfRule>
  </conditionalFormatting>
  <conditionalFormatting sqref="G275">
    <cfRule type="expression" dxfId="353" priority="355">
      <formula>$G277=#REF!</formula>
    </cfRule>
  </conditionalFormatting>
  <conditionalFormatting sqref="G276">
    <cfRule type="expression" dxfId="352" priority="354">
      <formula>$G278=#REF!</formula>
    </cfRule>
  </conditionalFormatting>
  <conditionalFormatting sqref="G277">
    <cfRule type="expression" dxfId="351" priority="353">
      <formula>$G279=#REF!</formula>
    </cfRule>
  </conditionalFormatting>
  <conditionalFormatting sqref="G279">
    <cfRule type="expression" dxfId="350" priority="351">
      <formula>$G281=#REF!</formula>
    </cfRule>
  </conditionalFormatting>
  <conditionalFormatting sqref="G280">
    <cfRule type="expression" dxfId="349" priority="350">
      <formula>$G282=#REF!</formula>
    </cfRule>
  </conditionalFormatting>
  <conditionalFormatting sqref="G281">
    <cfRule type="expression" dxfId="348" priority="349">
      <formula>$G283=#REF!</formula>
    </cfRule>
  </conditionalFormatting>
  <conditionalFormatting sqref="G282">
    <cfRule type="expression" dxfId="347" priority="348">
      <formula>$G284=#REF!</formula>
    </cfRule>
  </conditionalFormatting>
  <conditionalFormatting sqref="G283">
    <cfRule type="expression" dxfId="346" priority="347">
      <formula>$G285=#REF!</formula>
    </cfRule>
  </conditionalFormatting>
  <conditionalFormatting sqref="G284">
    <cfRule type="expression" dxfId="345" priority="346">
      <formula>$G286=#REF!</formula>
    </cfRule>
  </conditionalFormatting>
  <conditionalFormatting sqref="G285">
    <cfRule type="expression" dxfId="344" priority="345">
      <formula>$G287=#REF!</formula>
    </cfRule>
  </conditionalFormatting>
  <conditionalFormatting sqref="G286">
    <cfRule type="expression" dxfId="343" priority="344">
      <formula>$G288=#REF!</formula>
    </cfRule>
  </conditionalFormatting>
  <conditionalFormatting sqref="G287">
    <cfRule type="expression" dxfId="342" priority="343">
      <formula>$G289=#REF!</formula>
    </cfRule>
  </conditionalFormatting>
  <conditionalFormatting sqref="G288">
    <cfRule type="expression" dxfId="341" priority="342">
      <formula>$G290=#REF!</formula>
    </cfRule>
  </conditionalFormatting>
  <conditionalFormatting sqref="G289">
    <cfRule type="expression" dxfId="340" priority="341">
      <formula>$G291=#REF!</formula>
    </cfRule>
  </conditionalFormatting>
  <conditionalFormatting sqref="G290">
    <cfRule type="expression" dxfId="339" priority="340">
      <formula>$G292=#REF!</formula>
    </cfRule>
  </conditionalFormatting>
  <conditionalFormatting sqref="G291">
    <cfRule type="expression" dxfId="338" priority="339">
      <formula>$G293=#REF!</formula>
    </cfRule>
  </conditionalFormatting>
  <conditionalFormatting sqref="G292">
    <cfRule type="expression" dxfId="337" priority="338">
      <formula>$G294=#REF!</formula>
    </cfRule>
  </conditionalFormatting>
  <conditionalFormatting sqref="G293">
    <cfRule type="expression" dxfId="336" priority="337">
      <formula>$G295=#REF!</formula>
    </cfRule>
  </conditionalFormatting>
  <conditionalFormatting sqref="G294">
    <cfRule type="expression" dxfId="335" priority="336">
      <formula>$G296=#REF!</formula>
    </cfRule>
  </conditionalFormatting>
  <conditionalFormatting sqref="G295">
    <cfRule type="expression" dxfId="334" priority="335">
      <formula>$G297=#REF!</formula>
    </cfRule>
  </conditionalFormatting>
  <conditionalFormatting sqref="G296">
    <cfRule type="expression" dxfId="333" priority="334">
      <formula>$G298=#REF!</formula>
    </cfRule>
  </conditionalFormatting>
  <conditionalFormatting sqref="G297">
    <cfRule type="expression" dxfId="332" priority="333">
      <formula>$G299=#REF!</formula>
    </cfRule>
  </conditionalFormatting>
  <conditionalFormatting sqref="G298">
    <cfRule type="expression" dxfId="331" priority="332">
      <formula>$G300=#REF!</formula>
    </cfRule>
  </conditionalFormatting>
  <conditionalFormatting sqref="G299">
    <cfRule type="expression" dxfId="330" priority="331">
      <formula>$G301=#REF!</formula>
    </cfRule>
  </conditionalFormatting>
  <conditionalFormatting sqref="G300">
    <cfRule type="expression" dxfId="329" priority="330">
      <formula>$G302=#REF!</formula>
    </cfRule>
  </conditionalFormatting>
  <conditionalFormatting sqref="G301">
    <cfRule type="expression" dxfId="328" priority="329">
      <formula>$G303=#REF!</formula>
    </cfRule>
  </conditionalFormatting>
  <conditionalFormatting sqref="G302">
    <cfRule type="expression" dxfId="327" priority="328">
      <formula>$G304=#REF!</formula>
    </cfRule>
  </conditionalFormatting>
  <conditionalFormatting sqref="G303">
    <cfRule type="expression" dxfId="326" priority="327">
      <formula>$G305=#REF!</formula>
    </cfRule>
  </conditionalFormatting>
  <conditionalFormatting sqref="G304">
    <cfRule type="expression" dxfId="325" priority="326">
      <formula>$G306=#REF!</formula>
    </cfRule>
  </conditionalFormatting>
  <conditionalFormatting sqref="G305">
    <cfRule type="expression" dxfId="324" priority="325">
      <formula>$G307=#REF!</formula>
    </cfRule>
  </conditionalFormatting>
  <conditionalFormatting sqref="G306">
    <cfRule type="expression" dxfId="323" priority="324">
      <formula>$G308=#REF!</formula>
    </cfRule>
  </conditionalFormatting>
  <conditionalFormatting sqref="G307">
    <cfRule type="expression" dxfId="322" priority="323">
      <formula>$G309=#REF!</formula>
    </cfRule>
  </conditionalFormatting>
  <conditionalFormatting sqref="G308">
    <cfRule type="expression" dxfId="321" priority="322">
      <formula>$G310=#REF!</formula>
    </cfRule>
  </conditionalFormatting>
  <conditionalFormatting sqref="G309">
    <cfRule type="expression" dxfId="320" priority="321">
      <formula>$G311=#REF!</formula>
    </cfRule>
  </conditionalFormatting>
  <conditionalFormatting sqref="G310">
    <cfRule type="expression" dxfId="319" priority="320">
      <formula>$G312=#REF!</formula>
    </cfRule>
  </conditionalFormatting>
  <conditionalFormatting sqref="G311">
    <cfRule type="expression" dxfId="318" priority="319">
      <formula>$G313=#REF!</formula>
    </cfRule>
  </conditionalFormatting>
  <conditionalFormatting sqref="G312">
    <cfRule type="expression" dxfId="317" priority="318">
      <formula>$G314=#REF!</formula>
    </cfRule>
  </conditionalFormatting>
  <conditionalFormatting sqref="G313">
    <cfRule type="expression" dxfId="316" priority="317">
      <formula>$G315=#REF!</formula>
    </cfRule>
  </conditionalFormatting>
  <conditionalFormatting sqref="G314">
    <cfRule type="expression" dxfId="315" priority="316">
      <formula>$G316=#REF!</formula>
    </cfRule>
  </conditionalFormatting>
  <conditionalFormatting sqref="G315">
    <cfRule type="expression" dxfId="314" priority="315">
      <formula>$G317=#REF!</formula>
    </cfRule>
  </conditionalFormatting>
  <conditionalFormatting sqref="G316">
    <cfRule type="expression" dxfId="313" priority="314">
      <formula>$G318=#REF!</formula>
    </cfRule>
  </conditionalFormatting>
  <conditionalFormatting sqref="G317">
    <cfRule type="expression" dxfId="312" priority="313">
      <formula>$G319=#REF!</formula>
    </cfRule>
  </conditionalFormatting>
  <conditionalFormatting sqref="G318">
    <cfRule type="expression" dxfId="311" priority="312">
      <formula>$G320=#REF!</formula>
    </cfRule>
  </conditionalFormatting>
  <conditionalFormatting sqref="G319">
    <cfRule type="expression" dxfId="310" priority="311">
      <formula>$G321=#REF!</formula>
    </cfRule>
  </conditionalFormatting>
  <conditionalFormatting sqref="G320">
    <cfRule type="expression" dxfId="309" priority="310">
      <formula>$G322=#REF!</formula>
    </cfRule>
  </conditionalFormatting>
  <conditionalFormatting sqref="G321">
    <cfRule type="expression" dxfId="308" priority="309">
      <formula>$G323=#REF!</formula>
    </cfRule>
  </conditionalFormatting>
  <conditionalFormatting sqref="G322">
    <cfRule type="expression" dxfId="307" priority="308">
      <formula>$G324=#REF!</formula>
    </cfRule>
  </conditionalFormatting>
  <conditionalFormatting sqref="G323">
    <cfRule type="expression" dxfId="306" priority="307">
      <formula>$G325=#REF!</formula>
    </cfRule>
  </conditionalFormatting>
  <conditionalFormatting sqref="G324">
    <cfRule type="expression" dxfId="305" priority="306">
      <formula>$G326=#REF!</formula>
    </cfRule>
  </conditionalFormatting>
  <conditionalFormatting sqref="G325">
    <cfRule type="expression" dxfId="304" priority="305">
      <formula>$G327=#REF!</formula>
    </cfRule>
  </conditionalFormatting>
  <conditionalFormatting sqref="G326">
    <cfRule type="expression" dxfId="303" priority="304">
      <formula>$G328=#REF!</formula>
    </cfRule>
  </conditionalFormatting>
  <conditionalFormatting sqref="G327">
    <cfRule type="expression" dxfId="302" priority="303">
      <formula>$G329=#REF!</formula>
    </cfRule>
  </conditionalFormatting>
  <conditionalFormatting sqref="G328">
    <cfRule type="expression" dxfId="301" priority="302">
      <formula>$G330=#REF!</formula>
    </cfRule>
  </conditionalFormatting>
  <conditionalFormatting sqref="G329">
    <cfRule type="expression" dxfId="300" priority="301">
      <formula>$G331=#REF!</formula>
    </cfRule>
  </conditionalFormatting>
  <conditionalFormatting sqref="G330">
    <cfRule type="expression" dxfId="299" priority="300">
      <formula>$G332=#REF!</formula>
    </cfRule>
  </conditionalFormatting>
  <conditionalFormatting sqref="G331">
    <cfRule type="expression" dxfId="298" priority="299">
      <formula>$G333=#REF!</formula>
    </cfRule>
  </conditionalFormatting>
  <conditionalFormatting sqref="G332">
    <cfRule type="expression" dxfId="297" priority="298">
      <formula>$G334=#REF!</formula>
    </cfRule>
  </conditionalFormatting>
  <conditionalFormatting sqref="G333">
    <cfRule type="expression" dxfId="296" priority="297">
      <formula>$G335=#REF!</formula>
    </cfRule>
  </conditionalFormatting>
  <conditionalFormatting sqref="G334">
    <cfRule type="expression" dxfId="295" priority="296">
      <formula>$G336=#REF!</formula>
    </cfRule>
  </conditionalFormatting>
  <conditionalFormatting sqref="G335">
    <cfRule type="expression" dxfId="294" priority="295">
      <formula>$G337=#REF!</formula>
    </cfRule>
  </conditionalFormatting>
  <conditionalFormatting sqref="G336">
    <cfRule type="expression" dxfId="293" priority="294">
      <formula>$G338=#REF!</formula>
    </cfRule>
  </conditionalFormatting>
  <conditionalFormatting sqref="G337">
    <cfRule type="expression" dxfId="292" priority="293">
      <formula>$G339=#REF!</formula>
    </cfRule>
  </conditionalFormatting>
  <conditionalFormatting sqref="G338">
    <cfRule type="expression" dxfId="291" priority="292">
      <formula>$G340=#REF!</formula>
    </cfRule>
  </conditionalFormatting>
  <conditionalFormatting sqref="G339">
    <cfRule type="expression" dxfId="290" priority="291">
      <formula>$G341=#REF!</formula>
    </cfRule>
  </conditionalFormatting>
  <conditionalFormatting sqref="G340">
    <cfRule type="expression" dxfId="289" priority="290">
      <formula>$G342=#REF!</formula>
    </cfRule>
  </conditionalFormatting>
  <conditionalFormatting sqref="G341">
    <cfRule type="expression" dxfId="288" priority="289">
      <formula>$G343=#REF!</formula>
    </cfRule>
  </conditionalFormatting>
  <conditionalFormatting sqref="G342">
    <cfRule type="expression" dxfId="287" priority="288">
      <formula>$G344=#REF!</formula>
    </cfRule>
  </conditionalFormatting>
  <conditionalFormatting sqref="G343">
    <cfRule type="expression" dxfId="286" priority="287">
      <formula>$G345=#REF!</formula>
    </cfRule>
  </conditionalFormatting>
  <conditionalFormatting sqref="G344">
    <cfRule type="expression" dxfId="285" priority="286">
      <formula>$G346=#REF!</formula>
    </cfRule>
  </conditionalFormatting>
  <conditionalFormatting sqref="G345">
    <cfRule type="expression" dxfId="284" priority="285">
      <formula>$G347=#REF!</formula>
    </cfRule>
  </conditionalFormatting>
  <conditionalFormatting sqref="G346">
    <cfRule type="expression" dxfId="283" priority="284">
      <formula>$G348=#REF!</formula>
    </cfRule>
  </conditionalFormatting>
  <conditionalFormatting sqref="G347">
    <cfRule type="expression" dxfId="282" priority="283">
      <formula>$G349=#REF!</formula>
    </cfRule>
  </conditionalFormatting>
  <conditionalFormatting sqref="G348">
    <cfRule type="expression" dxfId="281" priority="282">
      <formula>$G350=#REF!</formula>
    </cfRule>
  </conditionalFormatting>
  <conditionalFormatting sqref="G349">
    <cfRule type="expression" dxfId="280" priority="281">
      <formula>$G351=#REF!</formula>
    </cfRule>
  </conditionalFormatting>
  <conditionalFormatting sqref="G350">
    <cfRule type="expression" dxfId="279" priority="280">
      <formula>$G352=#REF!</formula>
    </cfRule>
  </conditionalFormatting>
  <conditionalFormatting sqref="G351">
    <cfRule type="expression" dxfId="278" priority="279">
      <formula>$G353=#REF!</formula>
    </cfRule>
  </conditionalFormatting>
  <conditionalFormatting sqref="G352">
    <cfRule type="expression" dxfId="277" priority="278">
      <formula>$G354=#REF!</formula>
    </cfRule>
  </conditionalFormatting>
  <conditionalFormatting sqref="G353">
    <cfRule type="expression" dxfId="276" priority="277">
      <formula>$G355=#REF!</formula>
    </cfRule>
  </conditionalFormatting>
  <conditionalFormatting sqref="G354">
    <cfRule type="expression" dxfId="275" priority="276">
      <formula>$G356=#REF!</formula>
    </cfRule>
  </conditionalFormatting>
  <conditionalFormatting sqref="G355">
    <cfRule type="expression" dxfId="274" priority="275">
      <formula>$G357=#REF!</formula>
    </cfRule>
  </conditionalFormatting>
  <conditionalFormatting sqref="G356">
    <cfRule type="expression" dxfId="273" priority="274">
      <formula>$G358=#REF!</formula>
    </cfRule>
  </conditionalFormatting>
  <conditionalFormatting sqref="G357">
    <cfRule type="expression" dxfId="272" priority="273">
      <formula>$G359=#REF!</formula>
    </cfRule>
  </conditionalFormatting>
  <conditionalFormatting sqref="G358">
    <cfRule type="expression" dxfId="271" priority="272">
      <formula>$G360=#REF!</formula>
    </cfRule>
  </conditionalFormatting>
  <conditionalFormatting sqref="G359">
    <cfRule type="expression" dxfId="270" priority="271">
      <formula>$G361=#REF!</formula>
    </cfRule>
  </conditionalFormatting>
  <conditionalFormatting sqref="G360">
    <cfRule type="expression" dxfId="269" priority="270">
      <formula>$G362=#REF!</formula>
    </cfRule>
  </conditionalFormatting>
  <conditionalFormatting sqref="G361">
    <cfRule type="expression" dxfId="268" priority="269">
      <formula>$G363=#REF!</formula>
    </cfRule>
  </conditionalFormatting>
  <conditionalFormatting sqref="G362">
    <cfRule type="expression" dxfId="267" priority="268">
      <formula>$G364=#REF!</formula>
    </cfRule>
  </conditionalFormatting>
  <conditionalFormatting sqref="G363">
    <cfRule type="expression" dxfId="266" priority="267">
      <formula>$G365=#REF!</formula>
    </cfRule>
  </conditionalFormatting>
  <conditionalFormatting sqref="G364">
    <cfRule type="expression" dxfId="265" priority="266">
      <formula>$G366=#REF!</formula>
    </cfRule>
  </conditionalFormatting>
  <conditionalFormatting sqref="G365">
    <cfRule type="expression" dxfId="264" priority="265">
      <formula>$G367=#REF!</formula>
    </cfRule>
  </conditionalFormatting>
  <conditionalFormatting sqref="G366">
    <cfRule type="expression" dxfId="263" priority="264">
      <formula>$G368=#REF!</formula>
    </cfRule>
  </conditionalFormatting>
  <conditionalFormatting sqref="G367">
    <cfRule type="expression" dxfId="262" priority="263">
      <formula>$G369=#REF!</formula>
    </cfRule>
  </conditionalFormatting>
  <conditionalFormatting sqref="G368">
    <cfRule type="expression" dxfId="261" priority="262">
      <formula>$G370=#REF!</formula>
    </cfRule>
  </conditionalFormatting>
  <conditionalFormatting sqref="G369">
    <cfRule type="expression" dxfId="260" priority="261">
      <formula>$G371=#REF!</formula>
    </cfRule>
  </conditionalFormatting>
  <conditionalFormatting sqref="G370">
    <cfRule type="expression" dxfId="259" priority="260">
      <formula>$G372=#REF!</formula>
    </cfRule>
  </conditionalFormatting>
  <conditionalFormatting sqref="G371">
    <cfRule type="expression" dxfId="258" priority="259">
      <formula>$G373=#REF!</formula>
    </cfRule>
  </conditionalFormatting>
  <conditionalFormatting sqref="G372">
    <cfRule type="expression" dxfId="257" priority="258">
      <formula>$G374=#REF!</formula>
    </cfRule>
  </conditionalFormatting>
  <conditionalFormatting sqref="G373">
    <cfRule type="expression" dxfId="256" priority="257">
      <formula>$G375=#REF!</formula>
    </cfRule>
  </conditionalFormatting>
  <conditionalFormatting sqref="G374">
    <cfRule type="expression" dxfId="255" priority="256">
      <formula>$G376=#REF!</formula>
    </cfRule>
  </conditionalFormatting>
  <conditionalFormatting sqref="G375">
    <cfRule type="expression" dxfId="254" priority="255">
      <formula>$G377=#REF!</formula>
    </cfRule>
  </conditionalFormatting>
  <conditionalFormatting sqref="G376">
    <cfRule type="expression" dxfId="253" priority="254">
      <formula>$G378=#REF!</formula>
    </cfRule>
  </conditionalFormatting>
  <conditionalFormatting sqref="G377">
    <cfRule type="expression" dxfId="252" priority="253">
      <formula>$G379=#REF!</formula>
    </cfRule>
  </conditionalFormatting>
  <conditionalFormatting sqref="G378">
    <cfRule type="expression" dxfId="251" priority="252">
      <formula>$G380=#REF!</formula>
    </cfRule>
  </conditionalFormatting>
  <conditionalFormatting sqref="G379">
    <cfRule type="expression" dxfId="250" priority="251">
      <formula>$G381=#REF!</formula>
    </cfRule>
  </conditionalFormatting>
  <conditionalFormatting sqref="G380">
    <cfRule type="expression" dxfId="249" priority="250">
      <formula>$G382=#REF!</formula>
    </cfRule>
  </conditionalFormatting>
  <conditionalFormatting sqref="G424">
    <cfRule type="expression" dxfId="248" priority="206">
      <formula>$G426=#REF!</formula>
    </cfRule>
  </conditionalFormatting>
  <conditionalFormatting sqref="G381">
    <cfRule type="expression" dxfId="247" priority="249">
      <formula>$G383=#REF!</formula>
    </cfRule>
  </conditionalFormatting>
  <conditionalFormatting sqref="G382">
    <cfRule type="expression" dxfId="246" priority="248">
      <formula>$G384=#REF!</formula>
    </cfRule>
  </conditionalFormatting>
  <conditionalFormatting sqref="G383">
    <cfRule type="expression" dxfId="245" priority="247">
      <formula>$G385=#REF!</formula>
    </cfRule>
  </conditionalFormatting>
  <conditionalFormatting sqref="G384">
    <cfRule type="expression" dxfId="244" priority="246">
      <formula>$G386=#REF!</formula>
    </cfRule>
  </conditionalFormatting>
  <conditionalFormatting sqref="G385">
    <cfRule type="expression" dxfId="243" priority="245">
      <formula>$G387=#REF!</formula>
    </cfRule>
  </conditionalFormatting>
  <conditionalFormatting sqref="G386">
    <cfRule type="expression" dxfId="242" priority="244">
      <formula>$G388=#REF!</formula>
    </cfRule>
  </conditionalFormatting>
  <conditionalFormatting sqref="G387">
    <cfRule type="expression" dxfId="241" priority="243">
      <formula>$G389=#REF!</formula>
    </cfRule>
  </conditionalFormatting>
  <conditionalFormatting sqref="G388">
    <cfRule type="expression" dxfId="240" priority="242">
      <formula>$G390=#REF!</formula>
    </cfRule>
  </conditionalFormatting>
  <conditionalFormatting sqref="G389">
    <cfRule type="expression" dxfId="239" priority="241">
      <formula>$G391=#REF!</formula>
    </cfRule>
  </conditionalFormatting>
  <conditionalFormatting sqref="G390">
    <cfRule type="expression" dxfId="238" priority="240">
      <formula>$G392=#REF!</formula>
    </cfRule>
  </conditionalFormatting>
  <conditionalFormatting sqref="G391">
    <cfRule type="expression" dxfId="237" priority="239">
      <formula>$G393=#REF!</formula>
    </cfRule>
  </conditionalFormatting>
  <conditionalFormatting sqref="G392">
    <cfRule type="expression" dxfId="236" priority="238">
      <formula>$G394=#REF!</formula>
    </cfRule>
  </conditionalFormatting>
  <conditionalFormatting sqref="G393">
    <cfRule type="expression" dxfId="235" priority="237">
      <formula>$G395=#REF!</formula>
    </cfRule>
  </conditionalFormatting>
  <conditionalFormatting sqref="G394">
    <cfRule type="expression" dxfId="234" priority="236">
      <formula>$G396=#REF!</formula>
    </cfRule>
  </conditionalFormatting>
  <conditionalFormatting sqref="G395">
    <cfRule type="expression" dxfId="233" priority="235">
      <formula>$G397=#REF!</formula>
    </cfRule>
  </conditionalFormatting>
  <conditionalFormatting sqref="G396">
    <cfRule type="expression" dxfId="232" priority="234">
      <formula>$G398=#REF!</formula>
    </cfRule>
  </conditionalFormatting>
  <conditionalFormatting sqref="G397">
    <cfRule type="expression" dxfId="231" priority="233">
      <formula>$G399=#REF!</formula>
    </cfRule>
  </conditionalFormatting>
  <conditionalFormatting sqref="G398">
    <cfRule type="expression" dxfId="230" priority="232">
      <formula>$G400=#REF!</formula>
    </cfRule>
  </conditionalFormatting>
  <conditionalFormatting sqref="G399">
    <cfRule type="expression" dxfId="229" priority="231">
      <formula>$G401=#REF!</formula>
    </cfRule>
  </conditionalFormatting>
  <conditionalFormatting sqref="G400">
    <cfRule type="expression" dxfId="228" priority="230">
      <formula>$G402=#REF!</formula>
    </cfRule>
  </conditionalFormatting>
  <conditionalFormatting sqref="G401">
    <cfRule type="expression" dxfId="227" priority="229">
      <formula>$G403=#REF!</formula>
    </cfRule>
  </conditionalFormatting>
  <conditionalFormatting sqref="G402">
    <cfRule type="expression" dxfId="226" priority="228">
      <formula>$G404=#REF!</formula>
    </cfRule>
  </conditionalFormatting>
  <conditionalFormatting sqref="G403">
    <cfRule type="expression" dxfId="225" priority="227">
      <formula>$G405=#REF!</formula>
    </cfRule>
  </conditionalFormatting>
  <conditionalFormatting sqref="G404">
    <cfRule type="expression" dxfId="224" priority="226">
      <formula>$G406=#REF!</formula>
    </cfRule>
  </conditionalFormatting>
  <conditionalFormatting sqref="G405">
    <cfRule type="expression" dxfId="223" priority="225">
      <formula>$G407=#REF!</formula>
    </cfRule>
  </conditionalFormatting>
  <conditionalFormatting sqref="G406">
    <cfRule type="expression" dxfId="222" priority="224">
      <formula>$G408=#REF!</formula>
    </cfRule>
  </conditionalFormatting>
  <conditionalFormatting sqref="G407">
    <cfRule type="expression" dxfId="221" priority="223">
      <formula>$G409=#REF!</formula>
    </cfRule>
  </conditionalFormatting>
  <conditionalFormatting sqref="G408">
    <cfRule type="expression" dxfId="220" priority="222">
      <formula>$G410=#REF!</formula>
    </cfRule>
  </conditionalFormatting>
  <conditionalFormatting sqref="G409">
    <cfRule type="expression" dxfId="219" priority="221">
      <formula>$G411=#REF!</formula>
    </cfRule>
  </conditionalFormatting>
  <conditionalFormatting sqref="G410">
    <cfRule type="expression" dxfId="218" priority="220">
      <formula>$G412=#REF!</formula>
    </cfRule>
  </conditionalFormatting>
  <conditionalFormatting sqref="G411">
    <cfRule type="expression" dxfId="217" priority="219">
      <formula>$G413=#REF!</formula>
    </cfRule>
  </conditionalFormatting>
  <conditionalFormatting sqref="G412">
    <cfRule type="expression" dxfId="216" priority="218">
      <formula>$G414=#REF!</formula>
    </cfRule>
  </conditionalFormatting>
  <conditionalFormatting sqref="G413">
    <cfRule type="expression" dxfId="215" priority="217">
      <formula>$G415=#REF!</formula>
    </cfRule>
  </conditionalFormatting>
  <conditionalFormatting sqref="G414">
    <cfRule type="expression" dxfId="214" priority="216">
      <formula>$G416=#REF!</formula>
    </cfRule>
  </conditionalFormatting>
  <conditionalFormatting sqref="G415">
    <cfRule type="expression" dxfId="213" priority="215">
      <formula>$G417=#REF!</formula>
    </cfRule>
  </conditionalFormatting>
  <conditionalFormatting sqref="G416">
    <cfRule type="expression" dxfId="212" priority="214">
      <formula>$G418=#REF!</formula>
    </cfRule>
  </conditionalFormatting>
  <conditionalFormatting sqref="G417">
    <cfRule type="expression" dxfId="211" priority="213">
      <formula>$G419=#REF!</formula>
    </cfRule>
  </conditionalFormatting>
  <conditionalFormatting sqref="G418">
    <cfRule type="expression" dxfId="210" priority="212">
      <formula>$G420=#REF!</formula>
    </cfRule>
  </conditionalFormatting>
  <conditionalFormatting sqref="G419">
    <cfRule type="expression" dxfId="209" priority="211">
      <formula>$G421=#REF!</formula>
    </cfRule>
  </conditionalFormatting>
  <conditionalFormatting sqref="G420">
    <cfRule type="expression" dxfId="208" priority="210">
      <formula>$G422=#REF!</formula>
    </cfRule>
  </conditionalFormatting>
  <conditionalFormatting sqref="G421">
    <cfRule type="expression" dxfId="207" priority="209">
      <formula>$G423=#REF!</formula>
    </cfRule>
  </conditionalFormatting>
  <conditionalFormatting sqref="G422">
    <cfRule type="expression" dxfId="206" priority="208">
      <formula>$G424=#REF!</formula>
    </cfRule>
  </conditionalFormatting>
  <conditionalFormatting sqref="G423">
    <cfRule type="expression" dxfId="205" priority="207">
      <formula>$G425=#REF!</formula>
    </cfRule>
  </conditionalFormatting>
  <conditionalFormatting sqref="G468">
    <cfRule type="expression" dxfId="204" priority="162">
      <formula>$G470=#REF!</formula>
    </cfRule>
  </conditionalFormatting>
  <conditionalFormatting sqref="G425">
    <cfRule type="expression" dxfId="203" priority="205">
      <formula>$G427=#REF!</formula>
    </cfRule>
  </conditionalFormatting>
  <conditionalFormatting sqref="G426">
    <cfRule type="expression" dxfId="202" priority="204">
      <formula>$G428=#REF!</formula>
    </cfRule>
  </conditionalFormatting>
  <conditionalFormatting sqref="G427">
    <cfRule type="expression" dxfId="201" priority="203">
      <formula>$G429=#REF!</formula>
    </cfRule>
  </conditionalFormatting>
  <conditionalFormatting sqref="G428">
    <cfRule type="expression" dxfId="200" priority="202">
      <formula>$G430=#REF!</formula>
    </cfRule>
  </conditionalFormatting>
  <conditionalFormatting sqref="G429">
    <cfRule type="expression" dxfId="199" priority="201">
      <formula>$G431=#REF!</formula>
    </cfRule>
  </conditionalFormatting>
  <conditionalFormatting sqref="G430">
    <cfRule type="expression" dxfId="198" priority="200">
      <formula>$G432=#REF!</formula>
    </cfRule>
  </conditionalFormatting>
  <conditionalFormatting sqref="G431">
    <cfRule type="expression" dxfId="197" priority="199">
      <formula>$G433=#REF!</formula>
    </cfRule>
  </conditionalFormatting>
  <conditionalFormatting sqref="G432">
    <cfRule type="expression" dxfId="196" priority="198">
      <formula>$G434=#REF!</formula>
    </cfRule>
  </conditionalFormatting>
  <conditionalFormatting sqref="G433">
    <cfRule type="expression" dxfId="195" priority="197">
      <formula>$G435=#REF!</formula>
    </cfRule>
  </conditionalFormatting>
  <conditionalFormatting sqref="G434">
    <cfRule type="expression" dxfId="194" priority="196">
      <formula>$G436=#REF!</formula>
    </cfRule>
  </conditionalFormatting>
  <conditionalFormatting sqref="G435">
    <cfRule type="expression" dxfId="193" priority="195">
      <formula>$G437=#REF!</formula>
    </cfRule>
  </conditionalFormatting>
  <conditionalFormatting sqref="G436">
    <cfRule type="expression" dxfId="192" priority="194">
      <formula>$G438=#REF!</formula>
    </cfRule>
  </conditionalFormatting>
  <conditionalFormatting sqref="G437">
    <cfRule type="expression" dxfId="191" priority="193">
      <formula>$G439=#REF!</formula>
    </cfRule>
  </conditionalFormatting>
  <conditionalFormatting sqref="G438">
    <cfRule type="expression" dxfId="190" priority="192">
      <formula>$G440=#REF!</formula>
    </cfRule>
  </conditionalFormatting>
  <conditionalFormatting sqref="G439">
    <cfRule type="expression" dxfId="189" priority="191">
      <formula>$G441=#REF!</formula>
    </cfRule>
  </conditionalFormatting>
  <conditionalFormatting sqref="G440">
    <cfRule type="expression" dxfId="188" priority="190">
      <formula>$G442=#REF!</formula>
    </cfRule>
  </conditionalFormatting>
  <conditionalFormatting sqref="G441">
    <cfRule type="expression" dxfId="187" priority="189">
      <formula>$G443=#REF!</formula>
    </cfRule>
  </conditionalFormatting>
  <conditionalFormatting sqref="G442">
    <cfRule type="expression" dxfId="186" priority="188">
      <formula>$G444=#REF!</formula>
    </cfRule>
  </conditionalFormatting>
  <conditionalFormatting sqref="G443">
    <cfRule type="expression" dxfId="185" priority="187">
      <formula>$G445=#REF!</formula>
    </cfRule>
  </conditionalFormatting>
  <conditionalFormatting sqref="G444">
    <cfRule type="expression" dxfId="184" priority="186">
      <formula>$G446=#REF!</formula>
    </cfRule>
  </conditionalFormatting>
  <conditionalFormatting sqref="G445">
    <cfRule type="expression" dxfId="183" priority="185">
      <formula>$G447=#REF!</formula>
    </cfRule>
  </conditionalFormatting>
  <conditionalFormatting sqref="G446">
    <cfRule type="expression" dxfId="182" priority="184">
      <formula>$G448=#REF!</formula>
    </cfRule>
  </conditionalFormatting>
  <conditionalFormatting sqref="G447">
    <cfRule type="expression" dxfId="181" priority="183">
      <formula>$G449=#REF!</formula>
    </cfRule>
  </conditionalFormatting>
  <conditionalFormatting sqref="G448">
    <cfRule type="expression" dxfId="180" priority="182">
      <formula>$G450=#REF!</formula>
    </cfRule>
  </conditionalFormatting>
  <conditionalFormatting sqref="G449">
    <cfRule type="expression" dxfId="179" priority="181">
      <formula>$G451=#REF!</formula>
    </cfRule>
  </conditionalFormatting>
  <conditionalFormatting sqref="G450">
    <cfRule type="expression" dxfId="178" priority="180">
      <formula>$G452=#REF!</formula>
    </cfRule>
  </conditionalFormatting>
  <conditionalFormatting sqref="G451">
    <cfRule type="expression" dxfId="177" priority="179">
      <formula>$G453=#REF!</formula>
    </cfRule>
  </conditionalFormatting>
  <conditionalFormatting sqref="G452">
    <cfRule type="expression" dxfId="176" priority="178">
      <formula>$G454=#REF!</formula>
    </cfRule>
  </conditionalFormatting>
  <conditionalFormatting sqref="G453">
    <cfRule type="expression" dxfId="175" priority="177">
      <formula>$G455=#REF!</formula>
    </cfRule>
  </conditionalFormatting>
  <conditionalFormatting sqref="G454">
    <cfRule type="expression" dxfId="174" priority="176">
      <formula>$G456=#REF!</formula>
    </cfRule>
  </conditionalFormatting>
  <conditionalFormatting sqref="G455">
    <cfRule type="expression" dxfId="173" priority="175">
      <formula>$G457=#REF!</formula>
    </cfRule>
  </conditionalFormatting>
  <conditionalFormatting sqref="G456">
    <cfRule type="expression" dxfId="172" priority="174">
      <formula>$G458=#REF!</formula>
    </cfRule>
  </conditionalFormatting>
  <conditionalFormatting sqref="G457">
    <cfRule type="expression" dxfId="171" priority="173">
      <formula>$G459=#REF!</formula>
    </cfRule>
  </conditionalFormatting>
  <conditionalFormatting sqref="G458">
    <cfRule type="expression" dxfId="170" priority="172">
      <formula>$G460=#REF!</formula>
    </cfRule>
  </conditionalFormatting>
  <conditionalFormatting sqref="G459">
    <cfRule type="expression" dxfId="169" priority="171">
      <formula>$G461=#REF!</formula>
    </cfRule>
  </conditionalFormatting>
  <conditionalFormatting sqref="G460">
    <cfRule type="expression" dxfId="168" priority="170">
      <formula>$G462=#REF!</formula>
    </cfRule>
  </conditionalFormatting>
  <conditionalFormatting sqref="G461">
    <cfRule type="expression" dxfId="167" priority="169">
      <formula>$G463=#REF!</formula>
    </cfRule>
  </conditionalFormatting>
  <conditionalFormatting sqref="G462">
    <cfRule type="expression" dxfId="166" priority="168">
      <formula>$G464=#REF!</formula>
    </cfRule>
  </conditionalFormatting>
  <conditionalFormatting sqref="G463">
    <cfRule type="expression" dxfId="165" priority="167">
      <formula>$G465=#REF!</formula>
    </cfRule>
  </conditionalFormatting>
  <conditionalFormatting sqref="G464">
    <cfRule type="expression" dxfId="164" priority="166">
      <formula>$G466=#REF!</formula>
    </cfRule>
  </conditionalFormatting>
  <conditionalFormatting sqref="G465">
    <cfRule type="expression" dxfId="163" priority="165">
      <formula>$G467=#REF!</formula>
    </cfRule>
  </conditionalFormatting>
  <conditionalFormatting sqref="G466">
    <cfRule type="expression" dxfId="162" priority="164">
      <formula>$G468=#REF!</formula>
    </cfRule>
  </conditionalFormatting>
  <conditionalFormatting sqref="G467">
    <cfRule type="expression" dxfId="161" priority="163">
      <formula>$G469=#REF!</formula>
    </cfRule>
  </conditionalFormatting>
  <conditionalFormatting sqref="G512">
    <cfRule type="expression" dxfId="160" priority="118">
      <formula>$G514=#REF!</formula>
    </cfRule>
  </conditionalFormatting>
  <conditionalFormatting sqref="G469">
    <cfRule type="expression" dxfId="159" priority="161">
      <formula>$G471=#REF!</formula>
    </cfRule>
  </conditionalFormatting>
  <conditionalFormatting sqref="G470">
    <cfRule type="expression" dxfId="158" priority="160">
      <formula>$G472=#REF!</formula>
    </cfRule>
  </conditionalFormatting>
  <conditionalFormatting sqref="G471">
    <cfRule type="expression" dxfId="157" priority="159">
      <formula>$G473=#REF!</formula>
    </cfRule>
  </conditionalFormatting>
  <conditionalFormatting sqref="G472">
    <cfRule type="expression" dxfId="156" priority="158">
      <formula>$G474=#REF!</formula>
    </cfRule>
  </conditionalFormatting>
  <conditionalFormatting sqref="G473">
    <cfRule type="expression" dxfId="155" priority="157">
      <formula>$G475=#REF!</formula>
    </cfRule>
  </conditionalFormatting>
  <conditionalFormatting sqref="G474">
    <cfRule type="expression" dxfId="154" priority="156">
      <formula>$G476=#REF!</formula>
    </cfRule>
  </conditionalFormatting>
  <conditionalFormatting sqref="G475">
    <cfRule type="expression" dxfId="153" priority="155">
      <formula>$G477=#REF!</formula>
    </cfRule>
  </conditionalFormatting>
  <conditionalFormatting sqref="G476">
    <cfRule type="expression" dxfId="152" priority="154">
      <formula>$G478=#REF!</formula>
    </cfRule>
  </conditionalFormatting>
  <conditionalFormatting sqref="G477">
    <cfRule type="expression" dxfId="151" priority="153">
      <formula>$G479=#REF!</formula>
    </cfRule>
  </conditionalFormatting>
  <conditionalFormatting sqref="G478">
    <cfRule type="expression" dxfId="150" priority="152">
      <formula>$G480=#REF!</formula>
    </cfRule>
  </conditionalFormatting>
  <conditionalFormatting sqref="G479">
    <cfRule type="expression" dxfId="149" priority="151">
      <formula>$G481=#REF!</formula>
    </cfRule>
  </conditionalFormatting>
  <conditionalFormatting sqref="G480">
    <cfRule type="expression" dxfId="148" priority="150">
      <formula>$G482=#REF!</formula>
    </cfRule>
  </conditionalFormatting>
  <conditionalFormatting sqref="G481">
    <cfRule type="expression" dxfId="147" priority="149">
      <formula>$G483=#REF!</formula>
    </cfRule>
  </conditionalFormatting>
  <conditionalFormatting sqref="G482">
    <cfRule type="expression" dxfId="146" priority="148">
      <formula>$G484=#REF!</formula>
    </cfRule>
  </conditionalFormatting>
  <conditionalFormatting sqref="G483">
    <cfRule type="expression" dxfId="145" priority="147">
      <formula>$G485=#REF!</formula>
    </cfRule>
  </conditionalFormatting>
  <conditionalFormatting sqref="G484">
    <cfRule type="expression" dxfId="144" priority="146">
      <formula>$G486=#REF!</formula>
    </cfRule>
  </conditionalFormatting>
  <conditionalFormatting sqref="G485">
    <cfRule type="expression" dxfId="143" priority="145">
      <formula>$G487=#REF!</formula>
    </cfRule>
  </conditionalFormatting>
  <conditionalFormatting sqref="G486">
    <cfRule type="expression" dxfId="142" priority="144">
      <formula>$G488=#REF!</formula>
    </cfRule>
  </conditionalFormatting>
  <conditionalFormatting sqref="G487">
    <cfRule type="expression" dxfId="141" priority="143">
      <formula>$G489=#REF!</formula>
    </cfRule>
  </conditionalFormatting>
  <conditionalFormatting sqref="G488">
    <cfRule type="expression" dxfId="140" priority="142">
      <formula>$G490=#REF!</formula>
    </cfRule>
  </conditionalFormatting>
  <conditionalFormatting sqref="G489">
    <cfRule type="expression" dxfId="139" priority="141">
      <formula>$G491=#REF!</formula>
    </cfRule>
  </conditionalFormatting>
  <conditionalFormatting sqref="G490">
    <cfRule type="expression" dxfId="138" priority="140">
      <formula>$G492=#REF!</formula>
    </cfRule>
  </conditionalFormatting>
  <conditionalFormatting sqref="G491">
    <cfRule type="expression" dxfId="137" priority="139">
      <formula>$G493=#REF!</formula>
    </cfRule>
  </conditionalFormatting>
  <conditionalFormatting sqref="G492">
    <cfRule type="expression" dxfId="136" priority="138">
      <formula>$G494=#REF!</formula>
    </cfRule>
  </conditionalFormatting>
  <conditionalFormatting sqref="G493">
    <cfRule type="expression" dxfId="135" priority="137">
      <formula>$G495=#REF!</formula>
    </cfRule>
  </conditionalFormatting>
  <conditionalFormatting sqref="G494">
    <cfRule type="expression" dxfId="134" priority="136">
      <formula>$G496=#REF!</formula>
    </cfRule>
  </conditionalFormatting>
  <conditionalFormatting sqref="G495">
    <cfRule type="expression" dxfId="133" priority="135">
      <formula>$G497=#REF!</formula>
    </cfRule>
  </conditionalFormatting>
  <conditionalFormatting sqref="G496">
    <cfRule type="expression" dxfId="132" priority="134">
      <formula>$G498=#REF!</formula>
    </cfRule>
  </conditionalFormatting>
  <conditionalFormatting sqref="G497">
    <cfRule type="expression" dxfId="131" priority="133">
      <formula>$G499=#REF!</formula>
    </cfRule>
  </conditionalFormatting>
  <conditionalFormatting sqref="G498">
    <cfRule type="expression" dxfId="130" priority="132">
      <formula>$G500=#REF!</formula>
    </cfRule>
  </conditionalFormatting>
  <conditionalFormatting sqref="G499">
    <cfRule type="expression" dxfId="129" priority="131">
      <formula>$G501=#REF!</formula>
    </cfRule>
  </conditionalFormatting>
  <conditionalFormatting sqref="G500">
    <cfRule type="expression" dxfId="128" priority="130">
      <formula>$G502=#REF!</formula>
    </cfRule>
  </conditionalFormatting>
  <conditionalFormatting sqref="G501">
    <cfRule type="expression" dxfId="127" priority="129">
      <formula>$G503=#REF!</formula>
    </cfRule>
  </conditionalFormatting>
  <conditionalFormatting sqref="G502">
    <cfRule type="expression" dxfId="126" priority="128">
      <formula>$G504=#REF!</formula>
    </cfRule>
  </conditionalFormatting>
  <conditionalFormatting sqref="G503">
    <cfRule type="expression" dxfId="125" priority="127">
      <formula>$G505=#REF!</formula>
    </cfRule>
  </conditionalFormatting>
  <conditionalFormatting sqref="G504">
    <cfRule type="expression" dxfId="124" priority="126">
      <formula>$G506=#REF!</formula>
    </cfRule>
  </conditionalFormatting>
  <conditionalFormatting sqref="G505">
    <cfRule type="expression" dxfId="123" priority="125">
      <formula>$G507=#REF!</formula>
    </cfRule>
  </conditionalFormatting>
  <conditionalFormatting sqref="G506">
    <cfRule type="expression" dxfId="122" priority="124">
      <formula>$G508=#REF!</formula>
    </cfRule>
  </conditionalFormatting>
  <conditionalFormatting sqref="G507">
    <cfRule type="expression" dxfId="121" priority="123">
      <formula>$G509=#REF!</formula>
    </cfRule>
  </conditionalFormatting>
  <conditionalFormatting sqref="G508">
    <cfRule type="expression" dxfId="120" priority="122">
      <formula>$G510=#REF!</formula>
    </cfRule>
  </conditionalFormatting>
  <conditionalFormatting sqref="G509">
    <cfRule type="expression" dxfId="119" priority="121">
      <formula>$G511=#REF!</formula>
    </cfRule>
  </conditionalFormatting>
  <conditionalFormatting sqref="G510">
    <cfRule type="expression" dxfId="118" priority="120">
      <formula>$G512=#REF!</formula>
    </cfRule>
  </conditionalFormatting>
  <conditionalFormatting sqref="G511">
    <cfRule type="expression" dxfId="117" priority="119">
      <formula>$G513=#REF!</formula>
    </cfRule>
  </conditionalFormatting>
  <conditionalFormatting sqref="G513">
    <cfRule type="expression" dxfId="116" priority="117">
      <formula>$H515=#REF!</formula>
    </cfRule>
  </conditionalFormatting>
  <conditionalFormatting sqref="G514">
    <cfRule type="expression" dxfId="115" priority="116">
      <formula>$H516=#REF!</formula>
    </cfRule>
  </conditionalFormatting>
  <conditionalFormatting sqref="G515">
    <cfRule type="expression" dxfId="114" priority="115">
      <formula>$H517=#REF!</formula>
    </cfRule>
  </conditionalFormatting>
  <conditionalFormatting sqref="G516">
    <cfRule type="expression" dxfId="113" priority="114">
      <formula>$H518=#REF!</formula>
    </cfRule>
  </conditionalFormatting>
  <conditionalFormatting sqref="G517">
    <cfRule type="expression" dxfId="112" priority="113">
      <formula>$H519=#REF!</formula>
    </cfRule>
  </conditionalFormatting>
  <conditionalFormatting sqref="G518">
    <cfRule type="expression" dxfId="111" priority="112">
      <formula>$H520=#REF!</formula>
    </cfRule>
  </conditionalFormatting>
  <conditionalFormatting sqref="G519">
    <cfRule type="expression" dxfId="110" priority="111">
      <formula>$H521=#REF!</formula>
    </cfRule>
  </conditionalFormatting>
  <conditionalFormatting sqref="G520">
    <cfRule type="expression" dxfId="109" priority="110">
      <formula>$H522=#REF!</formula>
    </cfRule>
  </conditionalFormatting>
  <conditionalFormatting sqref="G521">
    <cfRule type="expression" dxfId="108" priority="109">
      <formula>$H523=#REF!</formula>
    </cfRule>
  </conditionalFormatting>
  <conditionalFormatting sqref="G522">
    <cfRule type="expression" dxfId="107" priority="108">
      <formula>$H524=#REF!</formula>
    </cfRule>
  </conditionalFormatting>
  <conditionalFormatting sqref="G523">
    <cfRule type="expression" dxfId="106" priority="107">
      <formula>$H525=#REF!</formula>
    </cfRule>
  </conditionalFormatting>
  <conditionalFormatting sqref="G524">
    <cfRule type="expression" dxfId="105" priority="106">
      <formula>$H526=#REF!</formula>
    </cfRule>
  </conditionalFormatting>
  <conditionalFormatting sqref="G525">
    <cfRule type="expression" dxfId="104" priority="105">
      <formula>$H527=#REF!</formula>
    </cfRule>
  </conditionalFormatting>
  <conditionalFormatting sqref="G526">
    <cfRule type="expression" dxfId="103" priority="104">
      <formula>$H528=#REF!</formula>
    </cfRule>
  </conditionalFormatting>
  <conditionalFormatting sqref="G527">
    <cfRule type="expression" dxfId="102" priority="103">
      <formula>$H529=#REF!</formula>
    </cfRule>
  </conditionalFormatting>
  <conditionalFormatting sqref="G528">
    <cfRule type="expression" dxfId="101" priority="102">
      <formula>$H530=#REF!</formula>
    </cfRule>
  </conditionalFormatting>
  <conditionalFormatting sqref="G529">
    <cfRule type="expression" dxfId="100" priority="101">
      <formula>$H531=#REF!</formula>
    </cfRule>
  </conditionalFormatting>
  <conditionalFormatting sqref="G530">
    <cfRule type="expression" dxfId="99" priority="100">
      <formula>$H532=#REF!</formula>
    </cfRule>
  </conditionalFormatting>
  <conditionalFormatting sqref="G531">
    <cfRule type="expression" dxfId="98" priority="99">
      <formula>$H533=#REF!</formula>
    </cfRule>
  </conditionalFormatting>
  <conditionalFormatting sqref="G532">
    <cfRule type="expression" dxfId="97" priority="98">
      <formula>$H534=#REF!</formula>
    </cfRule>
  </conditionalFormatting>
  <conditionalFormatting sqref="G533">
    <cfRule type="expression" dxfId="96" priority="97">
      <formula>$H535=#REF!</formula>
    </cfRule>
  </conditionalFormatting>
  <conditionalFormatting sqref="G534">
    <cfRule type="expression" dxfId="95" priority="96">
      <formula>$H536=#REF!</formula>
    </cfRule>
  </conditionalFormatting>
  <conditionalFormatting sqref="G535">
    <cfRule type="expression" dxfId="94" priority="95">
      <formula>$H537=#REF!</formula>
    </cfRule>
  </conditionalFormatting>
  <conditionalFormatting sqref="G536">
    <cfRule type="expression" dxfId="93" priority="94">
      <formula>$H538=#REF!</formula>
    </cfRule>
  </conditionalFormatting>
  <conditionalFormatting sqref="G537">
    <cfRule type="expression" dxfId="92" priority="93">
      <formula>$H539=#REF!</formula>
    </cfRule>
  </conditionalFormatting>
  <conditionalFormatting sqref="G538">
    <cfRule type="expression" dxfId="91" priority="92">
      <formula>$H540=#REF!</formula>
    </cfRule>
  </conditionalFormatting>
  <conditionalFormatting sqref="G539">
    <cfRule type="expression" dxfId="90" priority="91">
      <formula>$H541=#REF!</formula>
    </cfRule>
  </conditionalFormatting>
  <conditionalFormatting sqref="G540">
    <cfRule type="expression" dxfId="89" priority="90">
      <formula>$H542=#REF!</formula>
    </cfRule>
  </conditionalFormatting>
  <conditionalFormatting sqref="G541">
    <cfRule type="expression" dxfId="88" priority="89">
      <formula>$H543=#REF!</formula>
    </cfRule>
  </conditionalFormatting>
  <conditionalFormatting sqref="G542">
    <cfRule type="expression" dxfId="87" priority="88">
      <formula>$H544=#REF!</formula>
    </cfRule>
  </conditionalFormatting>
  <conditionalFormatting sqref="G543">
    <cfRule type="expression" dxfId="86" priority="87">
      <formula>$H545=#REF!</formula>
    </cfRule>
  </conditionalFormatting>
  <conditionalFormatting sqref="G544">
    <cfRule type="expression" dxfId="85" priority="86">
      <formula>$H546=#REF!</formula>
    </cfRule>
  </conditionalFormatting>
  <conditionalFormatting sqref="G570">
    <cfRule type="expression" dxfId="84" priority="18">
      <formula>$H572=#REF!</formula>
    </cfRule>
  </conditionalFormatting>
  <conditionalFormatting sqref="G571">
    <cfRule type="expression" dxfId="83" priority="17">
      <formula>$H573=#REF!</formula>
    </cfRule>
  </conditionalFormatting>
  <conditionalFormatting sqref="G529">
    <cfRule type="expression" dxfId="82" priority="85">
      <formula>$H531=#REF!</formula>
    </cfRule>
  </conditionalFormatting>
  <conditionalFormatting sqref="G530">
    <cfRule type="expression" dxfId="81" priority="84">
      <formula>$H532=#REF!</formula>
    </cfRule>
  </conditionalFormatting>
  <conditionalFormatting sqref="G531">
    <cfRule type="expression" dxfId="80" priority="83">
      <formula>$H533=#REF!</formula>
    </cfRule>
  </conditionalFormatting>
  <conditionalFormatting sqref="G532">
    <cfRule type="expression" dxfId="79" priority="82">
      <formula>$H534=#REF!</formula>
    </cfRule>
  </conditionalFormatting>
  <conditionalFormatting sqref="G533">
    <cfRule type="expression" dxfId="78" priority="81">
      <formula>$H535=#REF!</formula>
    </cfRule>
  </conditionalFormatting>
  <conditionalFormatting sqref="G534">
    <cfRule type="expression" dxfId="77" priority="80">
      <formula>$H536=#REF!</formula>
    </cfRule>
  </conditionalFormatting>
  <conditionalFormatting sqref="G535">
    <cfRule type="expression" dxfId="76" priority="79">
      <formula>$H537=#REF!</formula>
    </cfRule>
  </conditionalFormatting>
  <conditionalFormatting sqref="G536">
    <cfRule type="expression" dxfId="75" priority="78">
      <formula>$H538=#REF!</formula>
    </cfRule>
  </conditionalFormatting>
  <conditionalFormatting sqref="G537">
    <cfRule type="expression" dxfId="74" priority="77">
      <formula>$H539=#REF!</formula>
    </cfRule>
  </conditionalFormatting>
  <conditionalFormatting sqref="G538">
    <cfRule type="expression" dxfId="73" priority="76">
      <formula>$H540=#REF!</formula>
    </cfRule>
  </conditionalFormatting>
  <conditionalFormatting sqref="G539">
    <cfRule type="expression" dxfId="72" priority="75">
      <formula>$H541=#REF!</formula>
    </cfRule>
  </conditionalFormatting>
  <conditionalFormatting sqref="G540">
    <cfRule type="expression" dxfId="71" priority="74">
      <formula>$H542=#REF!</formula>
    </cfRule>
  </conditionalFormatting>
  <conditionalFormatting sqref="G541">
    <cfRule type="expression" dxfId="70" priority="73">
      <formula>$H543=#REF!</formula>
    </cfRule>
  </conditionalFormatting>
  <conditionalFormatting sqref="G542">
    <cfRule type="expression" dxfId="69" priority="72">
      <formula>$H544=#REF!</formula>
    </cfRule>
  </conditionalFormatting>
  <conditionalFormatting sqref="G543">
    <cfRule type="expression" dxfId="68" priority="71">
      <formula>$H545=#REF!</formula>
    </cfRule>
  </conditionalFormatting>
  <conditionalFormatting sqref="G544">
    <cfRule type="expression" dxfId="67" priority="70">
      <formula>$H546=#REF!</formula>
    </cfRule>
  </conditionalFormatting>
  <conditionalFormatting sqref="G545">
    <cfRule type="expression" dxfId="66" priority="69">
      <formula>$H547=#REF!</formula>
    </cfRule>
  </conditionalFormatting>
  <conditionalFormatting sqref="G546">
    <cfRule type="expression" dxfId="65" priority="68">
      <formula>$H548=#REF!</formula>
    </cfRule>
  </conditionalFormatting>
  <conditionalFormatting sqref="G547">
    <cfRule type="expression" dxfId="64" priority="67">
      <formula>$H549=#REF!</formula>
    </cfRule>
  </conditionalFormatting>
  <conditionalFormatting sqref="G548">
    <cfRule type="expression" dxfId="63" priority="66">
      <formula>$H550=#REF!</formula>
    </cfRule>
  </conditionalFormatting>
  <conditionalFormatting sqref="G549">
    <cfRule type="expression" dxfId="62" priority="65">
      <formula>$H551=#REF!</formula>
    </cfRule>
  </conditionalFormatting>
  <conditionalFormatting sqref="G550">
    <cfRule type="expression" dxfId="61" priority="64">
      <formula>$H552=#REF!</formula>
    </cfRule>
  </conditionalFormatting>
  <conditionalFormatting sqref="G551">
    <cfRule type="expression" dxfId="60" priority="63">
      <formula>$H553=#REF!</formula>
    </cfRule>
  </conditionalFormatting>
  <conditionalFormatting sqref="G552">
    <cfRule type="expression" dxfId="59" priority="62">
      <formula>$H554=#REF!</formula>
    </cfRule>
  </conditionalFormatting>
  <conditionalFormatting sqref="G553">
    <cfRule type="expression" dxfId="58" priority="61">
      <formula>$H555=#REF!</formula>
    </cfRule>
  </conditionalFormatting>
  <conditionalFormatting sqref="G554">
    <cfRule type="expression" dxfId="57" priority="60">
      <formula>$H556=#REF!</formula>
    </cfRule>
  </conditionalFormatting>
  <conditionalFormatting sqref="G555">
    <cfRule type="expression" dxfId="56" priority="59">
      <formula>$H557=#REF!</formula>
    </cfRule>
  </conditionalFormatting>
  <conditionalFormatting sqref="G556">
    <cfRule type="expression" dxfId="55" priority="58">
      <formula>$H558=#REF!</formula>
    </cfRule>
  </conditionalFormatting>
  <conditionalFormatting sqref="G557">
    <cfRule type="expression" dxfId="54" priority="57">
      <formula>$H559=#REF!</formula>
    </cfRule>
  </conditionalFormatting>
  <conditionalFormatting sqref="G558">
    <cfRule type="expression" dxfId="53" priority="56">
      <formula>$H560=#REF!</formula>
    </cfRule>
  </conditionalFormatting>
  <conditionalFormatting sqref="G559">
    <cfRule type="expression" dxfId="52" priority="55">
      <formula>$H561=#REF!</formula>
    </cfRule>
  </conditionalFormatting>
  <conditionalFormatting sqref="G560">
    <cfRule type="expression" dxfId="51" priority="54">
      <formula>$H562=#REF!</formula>
    </cfRule>
  </conditionalFormatting>
  <conditionalFormatting sqref="G561">
    <cfRule type="expression" dxfId="50" priority="53">
      <formula>$H563=#REF!</formula>
    </cfRule>
  </conditionalFormatting>
  <conditionalFormatting sqref="G562">
    <cfRule type="expression" dxfId="49" priority="52">
      <formula>$H564=#REF!</formula>
    </cfRule>
  </conditionalFormatting>
  <conditionalFormatting sqref="G563">
    <cfRule type="expression" dxfId="48" priority="51">
      <formula>$H565=#REF!</formula>
    </cfRule>
  </conditionalFormatting>
  <conditionalFormatting sqref="G564">
    <cfRule type="expression" dxfId="47" priority="50">
      <formula>$H566=#REF!</formula>
    </cfRule>
  </conditionalFormatting>
  <conditionalFormatting sqref="G565">
    <cfRule type="expression" dxfId="46" priority="49">
      <formula>$H567=#REF!</formula>
    </cfRule>
  </conditionalFormatting>
  <conditionalFormatting sqref="G566">
    <cfRule type="expression" dxfId="45" priority="48">
      <formula>$H568=#REF!</formula>
    </cfRule>
  </conditionalFormatting>
  <conditionalFormatting sqref="G567">
    <cfRule type="expression" dxfId="44" priority="47">
      <formula>$H569=#REF!</formula>
    </cfRule>
  </conditionalFormatting>
  <conditionalFormatting sqref="G568">
    <cfRule type="expression" dxfId="43" priority="46">
      <formula>$H570=#REF!</formula>
    </cfRule>
  </conditionalFormatting>
  <conditionalFormatting sqref="G569">
    <cfRule type="expression" dxfId="42" priority="45">
      <formula>$H571=#REF!</formula>
    </cfRule>
  </conditionalFormatting>
  <conditionalFormatting sqref="G570">
    <cfRule type="expression" dxfId="41" priority="44">
      <formula>$H572=#REF!</formula>
    </cfRule>
  </conditionalFormatting>
  <conditionalFormatting sqref="G571">
    <cfRule type="expression" dxfId="40" priority="43">
      <formula>$H573=#REF!</formula>
    </cfRule>
  </conditionalFormatting>
  <conditionalFormatting sqref="G572">
    <cfRule type="expression" dxfId="39" priority="42">
      <formula>$H574=#REF!</formula>
    </cfRule>
  </conditionalFormatting>
  <conditionalFormatting sqref="G561">
    <cfRule type="expression" dxfId="38" priority="41">
      <formula>$H563=#REF!</formula>
    </cfRule>
  </conditionalFormatting>
  <conditionalFormatting sqref="G562">
    <cfRule type="expression" dxfId="37" priority="40">
      <formula>$H564=#REF!</formula>
    </cfRule>
  </conditionalFormatting>
  <conditionalFormatting sqref="G563">
    <cfRule type="expression" dxfId="36" priority="39">
      <formula>$H565=#REF!</formula>
    </cfRule>
  </conditionalFormatting>
  <conditionalFormatting sqref="G564">
    <cfRule type="expression" dxfId="35" priority="38">
      <formula>$H566=#REF!</formula>
    </cfRule>
  </conditionalFormatting>
  <conditionalFormatting sqref="G565">
    <cfRule type="expression" dxfId="34" priority="37">
      <formula>$H567=#REF!</formula>
    </cfRule>
  </conditionalFormatting>
  <conditionalFormatting sqref="G566">
    <cfRule type="expression" dxfId="33" priority="36">
      <formula>$H568=#REF!</formula>
    </cfRule>
  </conditionalFormatting>
  <conditionalFormatting sqref="G567">
    <cfRule type="expression" dxfId="32" priority="35">
      <formula>$H569=#REF!</formula>
    </cfRule>
  </conditionalFormatting>
  <conditionalFormatting sqref="G568">
    <cfRule type="expression" dxfId="31" priority="34">
      <formula>$H570=#REF!</formula>
    </cfRule>
  </conditionalFormatting>
  <conditionalFormatting sqref="G569">
    <cfRule type="expression" dxfId="30" priority="33">
      <formula>$H571=#REF!</formula>
    </cfRule>
  </conditionalFormatting>
  <conditionalFormatting sqref="G570">
    <cfRule type="expression" dxfId="29" priority="32">
      <formula>$H572=#REF!</formula>
    </cfRule>
  </conditionalFormatting>
  <conditionalFormatting sqref="G571">
    <cfRule type="expression" dxfId="28" priority="31">
      <formula>$H573=#REF!</formula>
    </cfRule>
  </conditionalFormatting>
  <conditionalFormatting sqref="G572">
    <cfRule type="expression" dxfId="27" priority="30">
      <formula>$H574=#REF!</formula>
    </cfRule>
  </conditionalFormatting>
  <conditionalFormatting sqref="G559">
    <cfRule type="expression" dxfId="26" priority="29">
      <formula>$H561=#REF!</formula>
    </cfRule>
  </conditionalFormatting>
  <conditionalFormatting sqref="G560">
    <cfRule type="expression" dxfId="25" priority="28">
      <formula>$H562=#REF!</formula>
    </cfRule>
  </conditionalFormatting>
  <conditionalFormatting sqref="G561">
    <cfRule type="expression" dxfId="24" priority="27">
      <formula>$H563=#REF!</formula>
    </cfRule>
  </conditionalFormatting>
  <conditionalFormatting sqref="G562">
    <cfRule type="expression" dxfId="23" priority="26">
      <formula>$H564=#REF!</formula>
    </cfRule>
  </conditionalFormatting>
  <conditionalFormatting sqref="G563">
    <cfRule type="expression" dxfId="22" priority="25">
      <formula>$H565=#REF!</formula>
    </cfRule>
  </conditionalFormatting>
  <conditionalFormatting sqref="G564">
    <cfRule type="expression" dxfId="21" priority="24">
      <formula>$H566=#REF!</formula>
    </cfRule>
  </conditionalFormatting>
  <conditionalFormatting sqref="G565">
    <cfRule type="expression" dxfId="20" priority="23">
      <formula>$H567=#REF!</formula>
    </cfRule>
  </conditionalFormatting>
  <conditionalFormatting sqref="G566">
    <cfRule type="expression" dxfId="19" priority="22">
      <formula>$H568=#REF!</formula>
    </cfRule>
  </conditionalFormatting>
  <conditionalFormatting sqref="G567">
    <cfRule type="expression" dxfId="18" priority="21">
      <formula>$H569=#REF!</formula>
    </cfRule>
  </conditionalFormatting>
  <conditionalFormatting sqref="G568">
    <cfRule type="expression" dxfId="17" priority="20">
      <formula>$H570=#REF!</formula>
    </cfRule>
  </conditionalFormatting>
  <conditionalFormatting sqref="G569">
    <cfRule type="expression" dxfId="16" priority="19">
      <formula>$H571=#REF!</formula>
    </cfRule>
  </conditionalFormatting>
  <conditionalFormatting sqref="G572">
    <cfRule type="expression" dxfId="15" priority="16">
      <formula>$H574=#REF!</formula>
    </cfRule>
  </conditionalFormatting>
  <conditionalFormatting sqref="G559">
    <cfRule type="expression" dxfId="14" priority="15">
      <formula>$H561=#REF!</formula>
    </cfRule>
  </conditionalFormatting>
  <conditionalFormatting sqref="G560">
    <cfRule type="expression" dxfId="13" priority="14">
      <formula>$H562=#REF!</formula>
    </cfRule>
  </conditionalFormatting>
  <conditionalFormatting sqref="G561">
    <cfRule type="expression" dxfId="12" priority="13">
      <formula>$H563=#REF!</formula>
    </cfRule>
  </conditionalFormatting>
  <conditionalFormatting sqref="G562">
    <cfRule type="expression" dxfId="11" priority="12">
      <formula>$H564=#REF!</formula>
    </cfRule>
  </conditionalFormatting>
  <conditionalFormatting sqref="G563">
    <cfRule type="expression" dxfId="10" priority="11">
      <formula>$H565=#REF!</formula>
    </cfRule>
  </conditionalFormatting>
  <conditionalFormatting sqref="G564">
    <cfRule type="expression" dxfId="9" priority="10">
      <formula>$H566=#REF!</formula>
    </cfRule>
  </conditionalFormatting>
  <conditionalFormatting sqref="G565">
    <cfRule type="expression" dxfId="8" priority="9">
      <formula>$H567=#REF!</formula>
    </cfRule>
  </conditionalFormatting>
  <conditionalFormatting sqref="G566">
    <cfRule type="expression" dxfId="7" priority="8">
      <formula>$H568=#REF!</formula>
    </cfRule>
  </conditionalFormatting>
  <conditionalFormatting sqref="G567">
    <cfRule type="expression" dxfId="6" priority="7">
      <formula>$H569=#REF!</formula>
    </cfRule>
  </conditionalFormatting>
  <conditionalFormatting sqref="G568">
    <cfRule type="expression" dxfId="5" priority="6">
      <formula>$H570=#REF!</formula>
    </cfRule>
  </conditionalFormatting>
  <conditionalFormatting sqref="G569">
    <cfRule type="expression" dxfId="4" priority="5">
      <formula>$H571=#REF!</formula>
    </cfRule>
  </conditionalFormatting>
  <conditionalFormatting sqref="G570">
    <cfRule type="expression" dxfId="3" priority="4">
      <formula>$H572=#REF!</formula>
    </cfRule>
  </conditionalFormatting>
  <conditionalFormatting sqref="G571">
    <cfRule type="expression" dxfId="2" priority="3">
      <formula>$H573=#REF!</formula>
    </cfRule>
  </conditionalFormatting>
  <conditionalFormatting sqref="G572">
    <cfRule type="expression" dxfId="1" priority="2">
      <formula>$H574=#REF!</formula>
    </cfRule>
  </conditionalFormatting>
  <conditionalFormatting sqref="G573:G758">
    <cfRule type="expression" dxfId="0" priority="1">
      <formula>#REF!=#REF!</formula>
    </cfRule>
  </conditionalFormatting>
  <dataValidations count="1">
    <dataValidation type="list" allowBlank="1" showInputMessage="1" showErrorMessage="1" sqref="D2:D18 D145:D190 D573:D640 D739:D758">
      <formula1>"合院,商墅,车位"</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7:J29"/>
  <sheetViews>
    <sheetView workbookViewId="0">
      <selection activeCell="M34" sqref="M34"/>
    </sheetView>
  </sheetViews>
  <sheetFormatPr defaultRowHeight="13.5"/>
  <sheetData>
    <row r="27" spans="10:10">
      <c r="J27" s="2978"/>
    </row>
    <row r="28" spans="10:10">
      <c r="J28" s="2978"/>
    </row>
    <row r="29" spans="10:10">
      <c r="J29" s="2978"/>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28" t="str">
        <f>IF(项目基本情况!B9="房地产市场价值","估价结果一览表","结果表-2")</f>
        <v>结果表-2</v>
      </c>
      <c r="B1" s="3028"/>
      <c r="C1" s="3028"/>
      <c r="D1" s="3028"/>
      <c r="E1" s="3028"/>
      <c r="F1" s="3028"/>
      <c r="G1" s="3028"/>
      <c r="H1" s="3028"/>
      <c r="I1" s="3028"/>
    </row>
    <row r="2" spans="1:9" ht="30" customHeight="1" thickTop="1">
      <c r="A2" s="3029" t="s">
        <v>1633</v>
      </c>
      <c r="B2" s="3029" t="s">
        <v>1634</v>
      </c>
      <c r="C2" s="3029" t="s">
        <v>1635</v>
      </c>
      <c r="D2" s="3029" t="str">
        <f>结果表!D116</f>
        <v>出让国有建设用地使用权价值</v>
      </c>
      <c r="E2" s="3029"/>
      <c r="F2" s="3029" t="str">
        <f>结果表!F116</f>
        <v>在建建筑物价值</v>
      </c>
      <c r="G2" s="3029"/>
      <c r="H2" s="3029" t="str">
        <f>IF(项目基本情况!B9="房地产市场价值","房地产市场价值","房地产价值")</f>
        <v>房地产价值</v>
      </c>
      <c r="I2" s="3029"/>
    </row>
    <row r="3" spans="1:9" ht="15">
      <c r="A3" s="3030"/>
      <c r="B3" s="3030"/>
      <c r="C3" s="3030"/>
      <c r="D3" s="1043" t="s">
        <v>1630</v>
      </c>
      <c r="E3" s="1043" t="s">
        <v>1636</v>
      </c>
      <c r="F3" s="1043" t="s">
        <v>1630</v>
      </c>
      <c r="G3" s="1043" t="s">
        <v>1631</v>
      </c>
      <c r="H3" s="1043" t="s">
        <v>1630</v>
      </c>
      <c r="I3" s="1043" t="s">
        <v>1631</v>
      </c>
    </row>
    <row r="4" spans="1:9" ht="45">
      <c r="A4" s="1971" t="str">
        <f>项目基本情况!S2</f>
        <v>安徽省庐阳区合淮路以西、市十九中学以南出让国有建设用地使用权及在建建筑物房地产</v>
      </c>
      <c r="B4" s="1043">
        <f>项目基本情况!C17</f>
        <v>167325.31000000003</v>
      </c>
      <c r="C4" s="1043">
        <f>项目基本情况!C18</f>
        <v>63529.08</v>
      </c>
      <c r="D4" s="1043">
        <f ca="1">结果表!D118</f>
        <v>166920</v>
      </c>
      <c r="E4" s="1043">
        <f ca="1">结果表!E118</f>
        <v>9976</v>
      </c>
      <c r="F4" s="1043">
        <f ca="1">结果表!F118</f>
        <v>36641</v>
      </c>
      <c r="G4" s="1043">
        <f ca="1">结果表!G118</f>
        <v>2190</v>
      </c>
      <c r="H4" s="1043">
        <f ca="1">结果表!H118</f>
        <v>203561</v>
      </c>
      <c r="I4" s="1043">
        <f ca="1">结果表!I118</f>
        <v>12166</v>
      </c>
    </row>
    <row r="5" spans="1:9" ht="30" customHeight="1">
      <c r="A5" s="3030" t="s">
        <v>1632</v>
      </c>
      <c r="B5" s="3030"/>
      <c r="C5" s="3030"/>
      <c r="D5" s="3031" t="str">
        <f ca="1">结果表!D119</f>
        <v>壹拾陆亿陆仟玖佰贰拾万元整</v>
      </c>
      <c r="E5" s="3031"/>
      <c r="F5" s="3031" t="str">
        <f ca="1">结果表!F119</f>
        <v>叁亿陆仟陆佰肆拾壹万元整</v>
      </c>
      <c r="G5" s="3031"/>
      <c r="H5" s="3031" t="str">
        <f ca="1">结果表!H119</f>
        <v>贰拾亿叁仟伍佰陆拾壹万元整</v>
      </c>
      <c r="I5" s="3031"/>
    </row>
    <row r="6" spans="1:9" ht="15.75">
      <c r="A6" s="3032" t="str">
        <f>结果表!A120</f>
        <v>估价师知悉的法定优先受偿款</v>
      </c>
      <c r="B6" s="3032"/>
      <c r="C6" s="3032"/>
      <c r="D6" s="3032">
        <f>结果表!D120</f>
        <v>0</v>
      </c>
      <c r="E6" s="3032"/>
      <c r="F6" s="3032"/>
      <c r="G6" s="3032"/>
      <c r="H6" s="3032"/>
      <c r="I6" s="3032"/>
    </row>
    <row r="7" spans="1:9" ht="15">
      <c r="A7" s="3030" t="s">
        <v>1632</v>
      </c>
      <c r="B7" s="3030"/>
      <c r="C7" s="3030"/>
      <c r="D7" s="3033" t="str">
        <f>结果表!D121</f>
        <v>零元整</v>
      </c>
      <c r="E7" s="3034"/>
      <c r="F7" s="3034"/>
      <c r="G7" s="3034"/>
      <c r="H7" s="3034"/>
      <c r="I7" s="3035"/>
    </row>
    <row r="8" spans="1:9" ht="15.75">
      <c r="A8" s="3032" t="str">
        <f>结果表!A122</f>
        <v>房地产抵押价值</v>
      </c>
      <c r="B8" s="3032"/>
      <c r="C8" s="3032"/>
      <c r="D8" s="3032">
        <f ca="1">结果表!D122</f>
        <v>203561</v>
      </c>
      <c r="E8" s="3032"/>
      <c r="F8" s="3032"/>
      <c r="G8" s="3032"/>
      <c r="H8" s="3032"/>
      <c r="I8" s="3032"/>
    </row>
    <row r="9" spans="1:9" ht="15">
      <c r="A9" s="3030" t="s">
        <v>1632</v>
      </c>
      <c r="B9" s="3030"/>
      <c r="C9" s="3030"/>
      <c r="D9" s="3031" t="str">
        <f ca="1">结果表!D123</f>
        <v>贰拾亿叁仟伍佰陆拾壹万元整</v>
      </c>
      <c r="E9" s="3031"/>
      <c r="F9" s="3031"/>
      <c r="G9" s="3031"/>
      <c r="H9" s="3031"/>
      <c r="I9" s="3031"/>
    </row>
    <row r="10" spans="1:9" ht="15.75">
      <c r="A10" s="3032" t="str">
        <f>结果表!A124</f>
        <v/>
      </c>
      <c r="B10" s="3032"/>
      <c r="C10" s="3032"/>
      <c r="D10" s="3032" t="str">
        <f>结果表!D124</f>
        <v>——</v>
      </c>
      <c r="E10" s="3032"/>
      <c r="F10" s="3032"/>
      <c r="G10" s="3032"/>
      <c r="H10" s="3032"/>
      <c r="I10" s="3032"/>
    </row>
    <row r="11" spans="1:9" ht="15">
      <c r="A11" s="3030" t="s">
        <v>1632</v>
      </c>
      <c r="B11" s="3030"/>
      <c r="C11" s="3030"/>
      <c r="D11" s="3031" t="e">
        <f>结果表!D125</f>
        <v>#VALUE!</v>
      </c>
      <c r="E11" s="3031"/>
      <c r="F11" s="3031"/>
      <c r="G11" s="3031"/>
      <c r="H11" s="3031"/>
      <c r="I11" s="3031"/>
    </row>
    <row r="12" spans="1:9" ht="15.75">
      <c r="A12" s="3032" t="str">
        <f>结果表!A126</f>
        <v/>
      </c>
      <c r="B12" s="3032"/>
      <c r="C12" s="3032"/>
      <c r="D12" s="3032" t="str">
        <f>结果表!D126</f>
        <v>——</v>
      </c>
      <c r="E12" s="3032"/>
      <c r="F12" s="3032"/>
      <c r="G12" s="3032"/>
      <c r="H12" s="3032"/>
      <c r="I12" s="3032"/>
    </row>
    <row r="13" spans="1:9" ht="15.75" thickBot="1">
      <c r="A13" s="3036" t="s">
        <v>1632</v>
      </c>
      <c r="B13" s="3036"/>
      <c r="C13" s="3036"/>
      <c r="D13" s="3037" t="e">
        <f>结果表!D127</f>
        <v>#VALUE!</v>
      </c>
      <c r="E13" s="3037"/>
      <c r="F13" s="3037"/>
      <c r="G13" s="3037"/>
      <c r="H13" s="3037"/>
      <c r="I13" s="3037"/>
    </row>
    <row r="14" spans="1:9" ht="15" thickTop="1">
      <c r="A14" s="3038" t="s">
        <v>1637</v>
      </c>
      <c r="B14" s="3038"/>
      <c r="C14" s="3038"/>
      <c r="D14" s="3038"/>
      <c r="E14" s="3038"/>
      <c r="F14" s="3038"/>
      <c r="G14" s="3038"/>
      <c r="H14" s="3038"/>
      <c r="I14" s="3038"/>
    </row>
    <row r="16" spans="1:9" ht="18.75">
      <c r="A16" s="1972" t="s">
        <v>1620</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41"/>
  <sheetViews>
    <sheetView topLeftCell="A3" workbookViewId="0">
      <selection activeCell="B36" sqref="B5:B36"/>
    </sheetView>
  </sheetViews>
  <sheetFormatPr defaultRowHeight="13.5"/>
  <cols>
    <col min="2" max="2" width="17.125" customWidth="1"/>
    <col min="3" max="3" width="12.875" customWidth="1"/>
    <col min="4" max="4" width="24.375" customWidth="1"/>
    <col min="5" max="5" width="12.625" customWidth="1"/>
    <col min="6" max="6" width="12" customWidth="1"/>
  </cols>
  <sheetData>
    <row r="4" spans="2:6">
      <c r="B4" s="3000" t="s">
        <v>3307</v>
      </c>
      <c r="C4" s="3000" t="s">
        <v>3113</v>
      </c>
      <c r="D4" s="3000" t="s">
        <v>3114</v>
      </c>
      <c r="E4" s="3000" t="s">
        <v>3153</v>
      </c>
    </row>
    <row r="5" spans="2:6">
      <c r="B5" t="s">
        <v>3115</v>
      </c>
      <c r="C5">
        <f>8761.5-2662.6</f>
        <v>6098.9</v>
      </c>
      <c r="D5" s="2978" t="s">
        <v>3157</v>
      </c>
      <c r="E5" s="2991">
        <v>0.6</v>
      </c>
    </row>
    <row r="6" spans="2:6">
      <c r="B6" t="s">
        <v>3116</v>
      </c>
      <c r="C6">
        <v>4385.1100000000006</v>
      </c>
      <c r="D6" s="2978" t="s">
        <v>3157</v>
      </c>
      <c r="E6" s="2991">
        <v>0.6</v>
      </c>
    </row>
    <row r="7" spans="2:6">
      <c r="B7" t="s">
        <v>3117</v>
      </c>
      <c r="C7">
        <v>9325.51</v>
      </c>
      <c r="D7" s="2978" t="s">
        <v>3157</v>
      </c>
      <c r="E7" s="2991">
        <v>0.6</v>
      </c>
    </row>
    <row r="8" spans="2:6">
      <c r="B8" t="s">
        <v>3118</v>
      </c>
      <c r="C8">
        <v>8924.7100000000009</v>
      </c>
      <c r="D8" s="2978" t="s">
        <v>3157</v>
      </c>
      <c r="E8" s="2991">
        <v>0.6</v>
      </c>
    </row>
    <row r="9" spans="2:6">
      <c r="B9" t="s">
        <v>3119</v>
      </c>
      <c r="C9">
        <v>4409.78</v>
      </c>
      <c r="D9" s="2978" t="s">
        <v>3157</v>
      </c>
      <c r="E9" s="2991">
        <v>0.6</v>
      </c>
    </row>
    <row r="10" spans="2:6">
      <c r="B10" t="s">
        <v>3120</v>
      </c>
      <c r="C10">
        <v>4455.2199000000001</v>
      </c>
      <c r="D10" s="2978" t="s">
        <v>3157</v>
      </c>
      <c r="E10" s="2991">
        <v>0.6</v>
      </c>
    </row>
    <row r="11" spans="2:6">
      <c r="B11" t="s">
        <v>3121</v>
      </c>
      <c r="C11">
        <f>7890-5027.4</f>
        <v>2862.6000000000004</v>
      </c>
      <c r="D11" s="2978" t="s">
        <v>3157</v>
      </c>
      <c r="E11" s="2991">
        <v>0.6</v>
      </c>
    </row>
    <row r="12" spans="2:6">
      <c r="B12" t="s">
        <v>3122</v>
      </c>
      <c r="C12">
        <f>7475.87-6253.44</f>
        <v>1222.4300000000003</v>
      </c>
      <c r="D12" s="2978" t="s">
        <v>3157</v>
      </c>
      <c r="E12" s="2991">
        <v>0.6</v>
      </c>
    </row>
    <row r="13" spans="2:6">
      <c r="B13" t="s">
        <v>3123</v>
      </c>
      <c r="C13">
        <v>4508.12</v>
      </c>
      <c r="D13" s="2978" t="s">
        <v>3160</v>
      </c>
      <c r="E13" s="2991">
        <v>0.25</v>
      </c>
    </row>
    <row r="14" spans="2:6">
      <c r="B14" t="s">
        <v>3124</v>
      </c>
      <c r="C14">
        <v>7666</v>
      </c>
      <c r="D14" s="2978" t="s">
        <v>3161</v>
      </c>
      <c r="E14" s="2991">
        <v>0.2</v>
      </c>
    </row>
    <row r="15" spans="2:6">
      <c r="B15" t="s">
        <v>3125</v>
      </c>
      <c r="C15">
        <v>8927.27</v>
      </c>
      <c r="D15" s="2978" t="s">
        <v>3158</v>
      </c>
      <c r="E15" s="2991">
        <v>0.45</v>
      </c>
      <c r="F15" s="3010"/>
    </row>
    <row r="16" spans="2:6">
      <c r="B16" t="s">
        <v>3126</v>
      </c>
      <c r="C16">
        <v>8927.27</v>
      </c>
      <c r="D16" s="2978" t="s">
        <v>3159</v>
      </c>
      <c r="E16" s="2991">
        <v>0.4</v>
      </c>
    </row>
    <row r="17" spans="2:5">
      <c r="B17" t="s">
        <v>3127</v>
      </c>
      <c r="C17">
        <v>6622.01</v>
      </c>
      <c r="D17" s="2978" t="s">
        <v>3162</v>
      </c>
      <c r="E17" s="2991">
        <v>0.3</v>
      </c>
    </row>
    <row r="18" spans="2:5">
      <c r="B18" t="s">
        <v>3128</v>
      </c>
      <c r="C18">
        <v>7083.1299999999992</v>
      </c>
      <c r="D18" s="2978" t="s">
        <v>3163</v>
      </c>
      <c r="E18" s="2991">
        <v>0.25</v>
      </c>
    </row>
    <row r="19" spans="2:5">
      <c r="B19" t="s">
        <v>3129</v>
      </c>
      <c r="C19">
        <f>7673.49-5574.48</f>
        <v>2099.0100000000002</v>
      </c>
      <c r="D19" s="2992" t="s">
        <v>3154</v>
      </c>
      <c r="E19" s="2991">
        <v>0.7</v>
      </c>
    </row>
    <row r="20" spans="2:5">
      <c r="B20" t="s">
        <v>3130</v>
      </c>
      <c r="C20">
        <f>5790.65-1146.43</f>
        <v>4644.2199999999993</v>
      </c>
      <c r="D20" s="2992" t="s">
        <v>3154</v>
      </c>
      <c r="E20" s="2991">
        <v>0.7</v>
      </c>
    </row>
    <row r="21" spans="2:5">
      <c r="B21" t="s">
        <v>3131</v>
      </c>
      <c r="C21">
        <f>6412.31-3959.98</f>
        <v>2452.3300000000004</v>
      </c>
      <c r="D21" s="2992" t="s">
        <v>3154</v>
      </c>
      <c r="E21" s="2991">
        <v>0.7</v>
      </c>
    </row>
    <row r="22" spans="2:5">
      <c r="B22" t="s">
        <v>3132</v>
      </c>
      <c r="C22">
        <f>4323.19-3332.54</f>
        <v>990.64999999999964</v>
      </c>
      <c r="D22" s="2992" t="s">
        <v>3154</v>
      </c>
      <c r="E22" s="2991">
        <v>0.7</v>
      </c>
    </row>
    <row r="23" spans="2:5">
      <c r="B23" t="s">
        <v>3133</v>
      </c>
      <c r="C23">
        <f>5685.8-1358.94</f>
        <v>4326.8600000000006</v>
      </c>
      <c r="D23" s="2992" t="s">
        <v>3154</v>
      </c>
      <c r="E23" s="2991">
        <v>0.7</v>
      </c>
    </row>
    <row r="24" spans="2:5">
      <c r="B24" t="s">
        <v>3134</v>
      </c>
      <c r="C24">
        <f>5685.8-778.15</f>
        <v>4907.6500000000005</v>
      </c>
      <c r="D24" s="2992" t="s">
        <v>3154</v>
      </c>
      <c r="E24" s="2991">
        <v>0.7</v>
      </c>
    </row>
    <row r="25" spans="2:5">
      <c r="B25" t="s">
        <v>3135</v>
      </c>
      <c r="C25">
        <v>7967.67</v>
      </c>
      <c r="D25" s="2992" t="s">
        <v>3154</v>
      </c>
      <c r="E25" s="2991">
        <v>0.7</v>
      </c>
    </row>
    <row r="26" spans="2:5">
      <c r="B26" t="s">
        <v>3136</v>
      </c>
      <c r="C26">
        <v>788.02</v>
      </c>
      <c r="D26" s="2992" t="s">
        <v>3155</v>
      </c>
      <c r="E26" s="2991">
        <v>0.75</v>
      </c>
    </row>
    <row r="27" spans="2:5">
      <c r="B27" t="s">
        <v>3137</v>
      </c>
      <c r="C27">
        <v>826.38</v>
      </c>
      <c r="D27" s="2992" t="s">
        <v>3155</v>
      </c>
      <c r="E27" s="2991">
        <v>0.75</v>
      </c>
    </row>
    <row r="28" spans="2:5">
      <c r="B28" t="s">
        <v>3138</v>
      </c>
      <c r="C28">
        <v>2461.83</v>
      </c>
      <c r="D28" s="2992" t="s">
        <v>3155</v>
      </c>
      <c r="E28" s="2991">
        <v>0.75</v>
      </c>
    </row>
    <row r="29" spans="2:5">
      <c r="B29" t="s">
        <v>3139</v>
      </c>
      <c r="C29">
        <f>2346.24-391.04</f>
        <v>1955.1999999999998</v>
      </c>
      <c r="D29" s="2992" t="s">
        <v>3155</v>
      </c>
      <c r="E29" s="2991">
        <v>0.75</v>
      </c>
    </row>
    <row r="30" spans="2:5">
      <c r="B30" t="s">
        <v>3140</v>
      </c>
      <c r="C30">
        <v>3382.64</v>
      </c>
      <c r="D30" s="2992" t="s">
        <v>3155</v>
      </c>
      <c r="E30" s="2991">
        <v>0.75</v>
      </c>
    </row>
    <row r="31" spans="2:5">
      <c r="B31" t="s">
        <v>3141</v>
      </c>
      <c r="C31">
        <v>1968.22</v>
      </c>
      <c r="D31" s="2992" t="s">
        <v>3155</v>
      </c>
      <c r="E31" s="2991">
        <v>0.75</v>
      </c>
    </row>
    <row r="32" spans="2:5">
      <c r="B32" t="s">
        <v>3142</v>
      </c>
      <c r="C32">
        <f>636.85-316.41</f>
        <v>320.44</v>
      </c>
      <c r="D32" s="2992" t="s">
        <v>3155</v>
      </c>
      <c r="E32" s="2991">
        <v>0.75</v>
      </c>
    </row>
    <row r="33" spans="2:5">
      <c r="B33" t="s">
        <v>3143</v>
      </c>
      <c r="C33">
        <v>2210.5100000000002</v>
      </c>
      <c r="D33" s="2992" t="s">
        <v>3155</v>
      </c>
      <c r="E33" s="2991">
        <v>0.75</v>
      </c>
    </row>
    <row r="34" spans="2:5">
      <c r="B34" t="s">
        <v>3144</v>
      </c>
      <c r="C34">
        <f>2806.9-701.66</f>
        <v>2105.2400000000002</v>
      </c>
      <c r="D34" s="2992" t="s">
        <v>3155</v>
      </c>
      <c r="E34" s="2991">
        <v>0.75</v>
      </c>
    </row>
    <row r="35" spans="2:5">
      <c r="B35" t="s">
        <v>3145</v>
      </c>
      <c r="C35">
        <f>2669.59-949.06</f>
        <v>1720.5300000000002</v>
      </c>
      <c r="D35" s="2992" t="s">
        <v>3155</v>
      </c>
      <c r="E35" s="2991">
        <v>0.75</v>
      </c>
    </row>
    <row r="36" spans="2:5">
      <c r="B36" t="s">
        <v>3146</v>
      </c>
      <c r="C36">
        <v>2532.21</v>
      </c>
      <c r="D36" s="2992" t="s">
        <v>3155</v>
      </c>
      <c r="E36" s="2991">
        <v>0.75</v>
      </c>
    </row>
    <row r="37" spans="2:5" ht="18" customHeight="1">
      <c r="B37" t="s">
        <v>3147</v>
      </c>
      <c r="C37">
        <v>0</v>
      </c>
      <c r="D37" s="2992" t="s">
        <v>3156</v>
      </c>
      <c r="E37" s="2991">
        <v>0</v>
      </c>
    </row>
    <row r="38" spans="2:5" ht="14.25">
      <c r="B38" t="s">
        <v>3148</v>
      </c>
      <c r="C38">
        <v>0</v>
      </c>
      <c r="D38" s="2978" t="s">
        <v>3150</v>
      </c>
      <c r="E38" s="2991">
        <v>0.2</v>
      </c>
    </row>
    <row r="39" spans="2:5" ht="14.25">
      <c r="B39" t="s">
        <v>3149</v>
      </c>
      <c r="C39">
        <v>0</v>
      </c>
      <c r="D39" s="2978" t="s">
        <v>3151</v>
      </c>
      <c r="E39" s="2991">
        <v>1</v>
      </c>
    </row>
    <row r="40" spans="2:5">
      <c r="B40" t="s">
        <v>48</v>
      </c>
      <c r="C40">
        <v>47946.897900000004</v>
      </c>
      <c r="D40" s="2978" t="s">
        <v>3152</v>
      </c>
      <c r="E40" s="2991">
        <v>0.8</v>
      </c>
    </row>
    <row r="41" spans="2:5">
      <c r="B41" s="2978" t="s">
        <v>3164</v>
      </c>
      <c r="C41">
        <f>SUM(C5:C40)</f>
        <v>181024.56780000002</v>
      </c>
      <c r="E41" s="2990">
        <f>ROUND((C5*E5+C6*E6+C7*E7+C8*E8+C9*E9+C10*E10+C11*E11+C12*E12+C13*E13+C14*E14+C15*E15+C16*E16+C17*E17+C18*E18+C19*E19+C20*E20+C21*E21+C22*E22+C23*E23+C24*E24+C25*E25+C26*E26+C27*E27+C28*E28+C29*E29+C30*E30+C31*E31+C32*E32+C33*E33+C34*E34+C35*E35+C36*E36+C37*E37+C38*E38+C39*E39+C40*E40)/C41,4)</f>
        <v>0.61729999999999996</v>
      </c>
    </row>
  </sheetData>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53"/>
  <sheetViews>
    <sheetView workbookViewId="0">
      <selection activeCell="H11" sqref="H11"/>
    </sheetView>
  </sheetViews>
  <sheetFormatPr defaultRowHeight="13.5"/>
  <cols>
    <col min="2" max="2" width="22.25" customWidth="1"/>
    <col min="8" max="8" width="29.875" customWidth="1"/>
    <col min="9" max="9" width="16.25" customWidth="1"/>
    <col min="10" max="10" width="14.5" customWidth="1"/>
    <col min="11" max="11" width="11.875" customWidth="1"/>
  </cols>
  <sheetData>
    <row r="3" spans="1:12" ht="31.5" customHeight="1">
      <c r="A3" s="3"/>
      <c r="B3" s="3" t="s">
        <v>3165</v>
      </c>
      <c r="C3" s="3" t="s">
        <v>3166</v>
      </c>
      <c r="D3" s="3" t="s">
        <v>3167</v>
      </c>
      <c r="E3" s="3" t="s">
        <v>3168</v>
      </c>
      <c r="F3" s="3" t="s">
        <v>3169</v>
      </c>
      <c r="G3" s="3" t="s">
        <v>3170</v>
      </c>
      <c r="H3" s="3" t="s">
        <v>3171</v>
      </c>
      <c r="I3" s="3" t="s">
        <v>3172</v>
      </c>
      <c r="J3" s="3" t="s">
        <v>3173</v>
      </c>
      <c r="K3" s="3" t="s">
        <v>3174</v>
      </c>
      <c r="L3" s="3" t="s">
        <v>3175</v>
      </c>
    </row>
    <row r="4" spans="1:12">
      <c r="B4" s="1633" t="s">
        <v>3176</v>
      </c>
      <c r="C4" s="1633" t="s">
        <v>3177</v>
      </c>
      <c r="D4" s="1633" t="s">
        <v>3178</v>
      </c>
      <c r="E4" s="1633" t="s">
        <v>3179</v>
      </c>
      <c r="F4" s="1633" t="s">
        <v>3180</v>
      </c>
      <c r="G4" s="1633">
        <v>20149.3</v>
      </c>
      <c r="H4" s="1633" t="s">
        <v>3181</v>
      </c>
      <c r="I4" s="1633" t="s">
        <v>3182</v>
      </c>
      <c r="J4" s="1633">
        <v>435</v>
      </c>
      <c r="K4" s="1633">
        <v>3262.51</v>
      </c>
      <c r="L4" s="1633">
        <v>0</v>
      </c>
    </row>
    <row r="5" spans="1:12">
      <c r="B5" s="1633" t="s">
        <v>3183</v>
      </c>
      <c r="C5" s="1633" t="s">
        <v>3177</v>
      </c>
      <c r="D5" s="1633" t="s">
        <v>3184</v>
      </c>
      <c r="E5" s="1633" t="s">
        <v>3179</v>
      </c>
      <c r="F5" s="1633" t="s">
        <v>3180</v>
      </c>
      <c r="G5" s="1633">
        <v>134516.5</v>
      </c>
      <c r="H5" s="1633" t="s">
        <v>3185</v>
      </c>
      <c r="I5" s="1633" t="s">
        <v>3186</v>
      </c>
      <c r="J5" s="1633">
        <v>761</v>
      </c>
      <c r="K5" s="1633">
        <v>4120.93</v>
      </c>
      <c r="L5" s="1633">
        <v>0.79</v>
      </c>
    </row>
    <row r="6" spans="1:12">
      <c r="A6" s="2999" t="s">
        <v>3304</v>
      </c>
      <c r="B6" s="2998" t="s">
        <v>3187</v>
      </c>
      <c r="C6" s="2998" t="s">
        <v>3177</v>
      </c>
      <c r="D6" s="2998" t="s">
        <v>3184</v>
      </c>
      <c r="E6" s="2998" t="s">
        <v>3179</v>
      </c>
      <c r="F6" s="2998" t="s">
        <v>3188</v>
      </c>
      <c r="G6" s="2998">
        <v>106360</v>
      </c>
      <c r="H6" s="2998" t="s">
        <v>3189</v>
      </c>
      <c r="I6" s="2998" t="s">
        <v>3190</v>
      </c>
      <c r="J6" s="2998">
        <v>1209.98</v>
      </c>
      <c r="K6" s="2998">
        <v>9074.84</v>
      </c>
      <c r="L6" s="2998">
        <v>152.08000000000001</v>
      </c>
    </row>
    <row r="7" spans="1:12">
      <c r="A7" s="2999" t="s">
        <v>3305</v>
      </c>
      <c r="B7" s="2998" t="s">
        <v>3191</v>
      </c>
      <c r="C7" s="2998" t="s">
        <v>3177</v>
      </c>
      <c r="D7" s="2998" t="s">
        <v>3178</v>
      </c>
      <c r="E7" s="2998" t="s">
        <v>3179</v>
      </c>
      <c r="F7" s="2998" t="s">
        <v>3188</v>
      </c>
      <c r="G7" s="2998">
        <v>92220</v>
      </c>
      <c r="H7" s="2998" t="s">
        <v>3192</v>
      </c>
      <c r="I7" s="2998" t="s">
        <v>3190</v>
      </c>
      <c r="J7" s="2998">
        <v>1290.18</v>
      </c>
      <c r="K7" s="2998">
        <v>10009.969999999999</v>
      </c>
      <c r="L7" s="2998">
        <v>168.79</v>
      </c>
    </row>
    <row r="8" spans="1:12">
      <c r="B8" s="1633" t="s">
        <v>3193</v>
      </c>
      <c r="C8" s="1633" t="s">
        <v>3177</v>
      </c>
      <c r="D8" s="1633" t="s">
        <v>3178</v>
      </c>
      <c r="E8" s="1633" t="s">
        <v>3179</v>
      </c>
      <c r="F8" s="1633" t="s">
        <v>3180</v>
      </c>
      <c r="G8" s="1633">
        <v>35606.67</v>
      </c>
      <c r="H8" s="1633" t="s">
        <v>3194</v>
      </c>
      <c r="I8" s="1633" t="s">
        <v>3195</v>
      </c>
      <c r="J8" s="1633">
        <v>420</v>
      </c>
      <c r="K8" s="1633">
        <v>3500</v>
      </c>
      <c r="L8" s="1633">
        <v>0</v>
      </c>
    </row>
    <row r="9" spans="1:12">
      <c r="B9" s="1633" t="s">
        <v>3196</v>
      </c>
      <c r="C9" s="1633" t="s">
        <v>3177</v>
      </c>
      <c r="D9" s="1633" t="s">
        <v>3178</v>
      </c>
      <c r="E9" s="1633" t="s">
        <v>3179</v>
      </c>
      <c r="F9" s="1633" t="s">
        <v>3180</v>
      </c>
      <c r="G9" s="1633">
        <v>420</v>
      </c>
      <c r="H9" s="1633" t="s">
        <v>3197</v>
      </c>
      <c r="I9" s="1633" t="s">
        <v>3198</v>
      </c>
      <c r="J9" s="1633">
        <v>1061.1600000000001</v>
      </c>
      <c r="K9" s="1633">
        <v>4547.8900000000003</v>
      </c>
      <c r="L9" s="1633">
        <v>0.11</v>
      </c>
    </row>
    <row r="10" spans="1:12">
      <c r="B10" s="1633" t="s">
        <v>3199</v>
      </c>
      <c r="C10" s="1633" t="s">
        <v>3177</v>
      </c>
      <c r="D10" s="1633" t="s">
        <v>3184</v>
      </c>
      <c r="E10" s="1633" t="s">
        <v>3179</v>
      </c>
      <c r="F10" s="1633" t="s">
        <v>3188</v>
      </c>
      <c r="G10" s="1633">
        <v>18733.330000000002</v>
      </c>
      <c r="H10" s="1633" t="s">
        <v>3200</v>
      </c>
      <c r="I10" s="1633" t="s">
        <v>3201</v>
      </c>
      <c r="J10" s="1633">
        <v>2595.73</v>
      </c>
      <c r="K10" s="1633">
        <v>12978.64</v>
      </c>
      <c r="L10" s="1633">
        <v>464.29</v>
      </c>
    </row>
    <row r="11" spans="1:12">
      <c r="A11" s="2999" t="s">
        <v>3306</v>
      </c>
      <c r="B11" s="2998" t="s">
        <v>3202</v>
      </c>
      <c r="C11" s="2998" t="s">
        <v>3177</v>
      </c>
      <c r="D11" s="2998" t="s">
        <v>3178</v>
      </c>
      <c r="E11" s="2998" t="s">
        <v>3179</v>
      </c>
      <c r="F11" s="2998" t="s">
        <v>3188</v>
      </c>
      <c r="G11" s="2998">
        <v>22552.67</v>
      </c>
      <c r="H11" s="2998" t="s">
        <v>3203</v>
      </c>
      <c r="I11" s="2998" t="s">
        <v>3204</v>
      </c>
      <c r="J11" s="2998">
        <v>1625.82</v>
      </c>
      <c r="K11" s="2998">
        <v>9754.94</v>
      </c>
      <c r="L11" s="2998">
        <v>170.97</v>
      </c>
    </row>
    <row r="12" spans="1:12">
      <c r="B12" s="1633" t="s">
        <v>3205</v>
      </c>
      <c r="C12" s="1633" t="s">
        <v>3177</v>
      </c>
      <c r="D12" s="1633" t="s">
        <v>3178</v>
      </c>
      <c r="E12" s="1633" t="s">
        <v>3179</v>
      </c>
      <c r="F12" s="1633" t="s">
        <v>3188</v>
      </c>
      <c r="G12" s="1633">
        <v>58080</v>
      </c>
      <c r="H12" s="1633" t="s">
        <v>3206</v>
      </c>
      <c r="I12" s="1633" t="s">
        <v>3207</v>
      </c>
      <c r="J12" s="1633">
        <v>2220.96</v>
      </c>
      <c r="K12" s="1633">
        <v>13881</v>
      </c>
      <c r="L12" s="1633">
        <v>236.51</v>
      </c>
    </row>
    <row r="13" spans="1:12">
      <c r="B13" s="1633" t="s">
        <v>3208</v>
      </c>
      <c r="C13" s="1633" t="s">
        <v>3177</v>
      </c>
      <c r="D13" s="1633" t="s">
        <v>3178</v>
      </c>
      <c r="E13" s="1633" t="s">
        <v>3179</v>
      </c>
      <c r="F13" s="1633" t="s">
        <v>3188</v>
      </c>
      <c r="G13" s="1633">
        <v>36993.33</v>
      </c>
      <c r="H13" s="1633" t="s">
        <v>3209</v>
      </c>
      <c r="I13" s="1633" t="s">
        <v>3207</v>
      </c>
      <c r="J13" s="1633">
        <v>2085.96</v>
      </c>
      <c r="K13" s="1633">
        <v>14222.45</v>
      </c>
      <c r="L13" s="1633">
        <v>247.66</v>
      </c>
    </row>
    <row r="14" spans="1:12">
      <c r="B14" s="1633" t="s">
        <v>3210</v>
      </c>
      <c r="C14" s="1633" t="s">
        <v>3177</v>
      </c>
      <c r="D14" s="1633" t="s">
        <v>3178</v>
      </c>
      <c r="E14" s="1633" t="s">
        <v>3179</v>
      </c>
      <c r="F14" s="1633" t="s">
        <v>3188</v>
      </c>
      <c r="G14" s="1633">
        <v>41526.67</v>
      </c>
      <c r="H14" s="1633" t="s">
        <v>3209</v>
      </c>
      <c r="I14" s="1633" t="s">
        <v>3207</v>
      </c>
      <c r="J14" s="1633">
        <v>1200.03</v>
      </c>
      <c r="K14" s="1633">
        <v>8182.03</v>
      </c>
      <c r="L14" s="1633">
        <v>106.87</v>
      </c>
    </row>
    <row r="15" spans="1:12">
      <c r="B15" s="1633" t="s">
        <v>3211</v>
      </c>
      <c r="C15" s="1633" t="s">
        <v>3177</v>
      </c>
      <c r="D15" s="1633" t="s">
        <v>3178</v>
      </c>
      <c r="E15" s="1633" t="s">
        <v>3179</v>
      </c>
      <c r="F15" s="1633" t="s">
        <v>3188</v>
      </c>
      <c r="G15" s="1633">
        <v>21473.33</v>
      </c>
      <c r="H15" s="1633" t="s">
        <v>3194</v>
      </c>
      <c r="I15" s="1633" t="s">
        <v>3212</v>
      </c>
      <c r="J15" s="1633">
        <v>1668</v>
      </c>
      <c r="K15" s="1633">
        <v>13900</v>
      </c>
      <c r="L15" s="1633">
        <v>89.55</v>
      </c>
    </row>
    <row r="16" spans="1:12">
      <c r="B16" s="1633" t="s">
        <v>3213</v>
      </c>
      <c r="C16" s="1633" t="s">
        <v>3177</v>
      </c>
      <c r="D16" s="1633" t="s">
        <v>3178</v>
      </c>
      <c r="E16" s="1633" t="s">
        <v>3179</v>
      </c>
      <c r="F16" s="1633" t="s">
        <v>3180</v>
      </c>
      <c r="G16" s="1633">
        <v>83090.820000000007</v>
      </c>
      <c r="H16" s="1633" t="s">
        <v>3214</v>
      </c>
      <c r="I16" s="1633" t="s">
        <v>3215</v>
      </c>
      <c r="J16" s="1633">
        <v>1674.92</v>
      </c>
      <c r="K16" s="1633">
        <v>16749.150000000001</v>
      </c>
      <c r="L16" s="1633">
        <v>318.75</v>
      </c>
    </row>
    <row r="17" spans="2:12">
      <c r="B17" s="1633" t="s">
        <v>3216</v>
      </c>
      <c r="C17" s="1633" t="s">
        <v>3177</v>
      </c>
      <c r="D17" s="1633" t="s">
        <v>3184</v>
      </c>
      <c r="E17" s="1633" t="s">
        <v>3179</v>
      </c>
      <c r="F17" s="1633" t="s">
        <v>3180</v>
      </c>
      <c r="G17" s="1633">
        <v>14974.08</v>
      </c>
      <c r="H17" s="1633" t="s">
        <v>3217</v>
      </c>
      <c r="I17" s="1633" t="s">
        <v>3215</v>
      </c>
      <c r="J17" s="1633">
        <v>2079.9</v>
      </c>
      <c r="K17" s="1633">
        <v>11142.29</v>
      </c>
      <c r="L17" s="1633">
        <v>300</v>
      </c>
    </row>
    <row r="18" spans="2:12">
      <c r="B18" s="1633" t="s">
        <v>3218</v>
      </c>
      <c r="C18" s="1633" t="s">
        <v>3177</v>
      </c>
      <c r="D18" s="1633" t="s">
        <v>3184</v>
      </c>
      <c r="E18" s="1633" t="s">
        <v>3179</v>
      </c>
      <c r="F18" s="1633" t="s">
        <v>3180</v>
      </c>
      <c r="G18" s="1633">
        <v>25961.3</v>
      </c>
      <c r="H18" s="1633" t="s">
        <v>3219</v>
      </c>
      <c r="I18" s="1633" t="s">
        <v>3215</v>
      </c>
      <c r="J18" s="1633">
        <v>2419.88</v>
      </c>
      <c r="K18" s="1633">
        <v>18149.09</v>
      </c>
      <c r="L18" s="1633">
        <v>266.67</v>
      </c>
    </row>
    <row r="19" spans="2:12">
      <c r="B19" s="1633" t="s">
        <v>3220</v>
      </c>
      <c r="C19" s="1633" t="s">
        <v>3177</v>
      </c>
      <c r="D19" s="1633" t="s">
        <v>3178</v>
      </c>
      <c r="E19" s="1633" t="s">
        <v>3179</v>
      </c>
      <c r="F19" s="1633" t="s">
        <v>3188</v>
      </c>
      <c r="G19" s="1633">
        <v>37904.85</v>
      </c>
      <c r="H19" s="1633">
        <v>3.5</v>
      </c>
      <c r="I19" s="1633" t="s">
        <v>3221</v>
      </c>
      <c r="J19" s="1633">
        <v>2017.33</v>
      </c>
      <c r="K19" s="1633">
        <v>8645.7000000000007</v>
      </c>
      <c r="L19" s="1633">
        <v>112.79</v>
      </c>
    </row>
    <row r="20" spans="2:12">
      <c r="B20" s="1633" t="s">
        <v>3222</v>
      </c>
      <c r="C20" s="1633" t="s">
        <v>3177</v>
      </c>
      <c r="D20" s="1633" t="s">
        <v>3178</v>
      </c>
      <c r="E20" s="1633" t="s">
        <v>3179</v>
      </c>
      <c r="F20" s="1633" t="s">
        <v>3188</v>
      </c>
      <c r="G20" s="1633">
        <v>10026.67</v>
      </c>
      <c r="H20" s="1633" t="s">
        <v>3223</v>
      </c>
      <c r="I20" s="1633" t="s">
        <v>3224</v>
      </c>
      <c r="J20" s="1633">
        <v>2595</v>
      </c>
      <c r="K20" s="1633">
        <v>16923.900000000001</v>
      </c>
      <c r="L20" s="1633">
        <v>281.62</v>
      </c>
    </row>
    <row r="21" spans="2:12">
      <c r="B21" s="1633" t="s">
        <v>3225</v>
      </c>
      <c r="C21" s="1633" t="s">
        <v>3177</v>
      </c>
      <c r="D21" s="1633" t="s">
        <v>3184</v>
      </c>
      <c r="E21" s="1633" t="s">
        <v>3179</v>
      </c>
      <c r="F21" s="1633" t="s">
        <v>3188</v>
      </c>
      <c r="G21" s="1633">
        <v>127893.3</v>
      </c>
      <c r="H21" s="1633" t="s">
        <v>3226</v>
      </c>
      <c r="I21" s="1633" t="s">
        <v>3227</v>
      </c>
      <c r="J21" s="1633">
        <v>2220</v>
      </c>
      <c r="K21" s="1633">
        <v>16959</v>
      </c>
      <c r="L21" s="1633">
        <v>344</v>
      </c>
    </row>
    <row r="22" spans="2:12">
      <c r="B22" s="1633" t="s">
        <v>3228</v>
      </c>
      <c r="C22" s="1633" t="s">
        <v>3177</v>
      </c>
      <c r="D22" s="1633" t="s">
        <v>3184</v>
      </c>
      <c r="E22" s="1633" t="s">
        <v>3179</v>
      </c>
      <c r="F22" s="1633" t="s">
        <v>3188</v>
      </c>
      <c r="G22" s="1633">
        <v>25333.33</v>
      </c>
      <c r="H22" s="1633" t="s">
        <v>3203</v>
      </c>
      <c r="I22" s="1633" t="s">
        <v>3229</v>
      </c>
      <c r="J22" s="1633">
        <v>1400</v>
      </c>
      <c r="K22" s="1633">
        <v>8400</v>
      </c>
      <c r="L22" s="1633">
        <v>204.35</v>
      </c>
    </row>
    <row r="23" spans="2:12">
      <c r="B23" s="1633" t="s">
        <v>3230</v>
      </c>
      <c r="C23" s="1633" t="s">
        <v>3177</v>
      </c>
      <c r="D23" s="1633" t="s">
        <v>3184</v>
      </c>
      <c r="E23" s="1633" t="s">
        <v>3179</v>
      </c>
      <c r="F23" s="1633" t="s">
        <v>3188</v>
      </c>
      <c r="G23" s="1633">
        <v>141700</v>
      </c>
      <c r="H23" s="1633" t="s">
        <v>3231</v>
      </c>
      <c r="I23" s="1633" t="s">
        <v>3232</v>
      </c>
      <c r="J23" s="1633">
        <v>1060</v>
      </c>
      <c r="K23" s="1633" t="s">
        <v>1323</v>
      </c>
      <c r="L23" s="1633">
        <v>130.43</v>
      </c>
    </row>
    <row r="24" spans="2:12">
      <c r="B24" s="1633" t="s">
        <v>3233</v>
      </c>
      <c r="C24" s="1633" t="s">
        <v>3177</v>
      </c>
      <c r="D24" s="1633" t="s">
        <v>3184</v>
      </c>
      <c r="E24" s="1633" t="s">
        <v>3179</v>
      </c>
      <c r="F24" s="1633" t="s">
        <v>3188</v>
      </c>
      <c r="G24" s="1633">
        <v>63760.32</v>
      </c>
      <c r="H24" s="1633" t="s">
        <v>3234</v>
      </c>
      <c r="I24" s="1633" t="s">
        <v>3235</v>
      </c>
      <c r="J24" s="1633">
        <v>201</v>
      </c>
      <c r="K24" s="1633">
        <v>1004.99</v>
      </c>
      <c r="L24" s="1633">
        <v>0.5</v>
      </c>
    </row>
    <row r="25" spans="2:12">
      <c r="B25" s="1633" t="s">
        <v>3236</v>
      </c>
      <c r="C25" s="1633" t="s">
        <v>3177</v>
      </c>
      <c r="D25" s="1633" t="s">
        <v>3178</v>
      </c>
      <c r="E25" s="1633" t="s">
        <v>3179</v>
      </c>
      <c r="F25" s="1633" t="s">
        <v>3188</v>
      </c>
      <c r="G25" s="1633">
        <v>111133.3</v>
      </c>
      <c r="H25" s="1633" t="s">
        <v>3237</v>
      </c>
      <c r="I25" s="1633" t="s">
        <v>3238</v>
      </c>
      <c r="J25" s="1633">
        <v>674</v>
      </c>
      <c r="K25" s="1633">
        <v>4395.6400000000003</v>
      </c>
      <c r="L25" s="1633">
        <v>110.63</v>
      </c>
    </row>
    <row r="26" spans="2:12">
      <c r="B26" s="1633" t="s">
        <v>3239</v>
      </c>
      <c r="C26" s="1633" t="s">
        <v>3177</v>
      </c>
      <c r="D26" s="1633" t="s">
        <v>3184</v>
      </c>
      <c r="E26" s="1633" t="s">
        <v>3179</v>
      </c>
      <c r="F26" s="1633" t="s">
        <v>3188</v>
      </c>
      <c r="G26" s="1633">
        <v>21654.42</v>
      </c>
      <c r="H26" s="1633" t="s">
        <v>1323</v>
      </c>
      <c r="I26" s="1633" t="s">
        <v>3240</v>
      </c>
      <c r="J26" s="1633">
        <v>1394.93</v>
      </c>
      <c r="K26" s="1633" t="s">
        <v>1323</v>
      </c>
      <c r="L26" s="1633">
        <v>62.21</v>
      </c>
    </row>
    <row r="27" spans="2:12">
      <c r="B27" s="1633" t="s">
        <v>3241</v>
      </c>
      <c r="C27" s="1633" t="s">
        <v>3177</v>
      </c>
      <c r="D27" s="1633" t="s">
        <v>3178</v>
      </c>
      <c r="E27" s="1633" t="s">
        <v>3179</v>
      </c>
      <c r="F27" s="1633" t="s">
        <v>3188</v>
      </c>
      <c r="G27" s="1633">
        <v>6386.99</v>
      </c>
      <c r="H27" s="1633" t="s">
        <v>1323</v>
      </c>
      <c r="I27" s="1633" t="s">
        <v>3240</v>
      </c>
      <c r="J27" s="1633">
        <v>1079.94</v>
      </c>
      <c r="K27" s="1633" t="s">
        <v>1323</v>
      </c>
      <c r="L27" s="1633">
        <v>1.89</v>
      </c>
    </row>
    <row r="28" spans="2:12">
      <c r="B28" s="1633" t="s">
        <v>3242</v>
      </c>
      <c r="C28" s="1633" t="s">
        <v>3177</v>
      </c>
      <c r="D28" s="1633" t="s">
        <v>3178</v>
      </c>
      <c r="E28" s="1633" t="s">
        <v>3179</v>
      </c>
      <c r="F28" s="1633" t="s">
        <v>3188</v>
      </c>
      <c r="G28" s="1633">
        <v>112120</v>
      </c>
      <c r="H28" s="1633" t="s">
        <v>3243</v>
      </c>
      <c r="I28" s="1633" t="s">
        <v>3244</v>
      </c>
      <c r="J28" s="1633">
        <v>495</v>
      </c>
      <c r="K28" s="1633">
        <v>3228.26</v>
      </c>
      <c r="L28" s="1633">
        <v>59.68</v>
      </c>
    </row>
    <row r="29" spans="2:12">
      <c r="B29" s="1633" t="s">
        <v>3245</v>
      </c>
      <c r="C29" s="1633" t="s">
        <v>3177</v>
      </c>
      <c r="D29" s="1633" t="s">
        <v>3178</v>
      </c>
      <c r="E29" s="1633" t="s">
        <v>3179</v>
      </c>
      <c r="F29" s="1633" t="s">
        <v>3188</v>
      </c>
      <c r="G29" s="1633">
        <v>39101.96</v>
      </c>
      <c r="H29" s="1633" t="s">
        <v>3246</v>
      </c>
      <c r="I29" s="1633" t="s">
        <v>3247</v>
      </c>
      <c r="J29" s="1633">
        <v>457.98</v>
      </c>
      <c r="K29" s="1633">
        <v>2862.36</v>
      </c>
      <c r="L29" s="1633">
        <v>43.13</v>
      </c>
    </row>
    <row r="30" spans="2:12">
      <c r="B30" s="1633" t="s">
        <v>3248</v>
      </c>
      <c r="C30" s="1633" t="s">
        <v>3177</v>
      </c>
      <c r="D30" s="1633" t="s">
        <v>3184</v>
      </c>
      <c r="E30" s="1633" t="s">
        <v>3179</v>
      </c>
      <c r="F30" s="1633" t="s">
        <v>3188</v>
      </c>
      <c r="G30" s="1633">
        <v>151513</v>
      </c>
      <c r="H30" s="1633" t="s">
        <v>3249</v>
      </c>
      <c r="I30" s="1633" t="s">
        <v>3250</v>
      </c>
      <c r="J30" s="1633">
        <v>1120</v>
      </c>
      <c r="K30" s="1633">
        <v>6000.01</v>
      </c>
      <c r="L30" s="1633">
        <v>143.47999999999999</v>
      </c>
    </row>
    <row r="31" spans="2:12">
      <c r="B31" s="1633" t="s">
        <v>3251</v>
      </c>
      <c r="C31" s="1633" t="s">
        <v>3177</v>
      </c>
      <c r="D31" s="1633" t="s">
        <v>3184</v>
      </c>
      <c r="E31" s="1633" t="s">
        <v>3179</v>
      </c>
      <c r="F31" s="1633" t="s">
        <v>3180</v>
      </c>
      <c r="G31" s="1633">
        <v>1926.68</v>
      </c>
      <c r="H31" s="1633" t="s">
        <v>3252</v>
      </c>
      <c r="I31" s="1633" t="s">
        <v>3253</v>
      </c>
      <c r="J31" s="1633">
        <v>1299.99</v>
      </c>
      <c r="K31" s="1633">
        <v>6093.72</v>
      </c>
      <c r="L31" s="1633">
        <v>0</v>
      </c>
    </row>
    <row r="32" spans="2:12">
      <c r="B32" s="1633" t="s">
        <v>3254</v>
      </c>
      <c r="C32" s="1633" t="s">
        <v>3177</v>
      </c>
      <c r="D32" s="1633" t="s">
        <v>3184</v>
      </c>
      <c r="E32" s="1633" t="s">
        <v>3179</v>
      </c>
      <c r="F32" s="1633" t="s">
        <v>3188</v>
      </c>
      <c r="G32" s="1633">
        <v>76187.05</v>
      </c>
      <c r="H32" s="1633" t="s">
        <v>3255</v>
      </c>
      <c r="I32" s="1633" t="s">
        <v>3256</v>
      </c>
      <c r="J32" s="1633">
        <v>645</v>
      </c>
      <c r="K32" s="1633">
        <v>3869.98</v>
      </c>
      <c r="L32" s="1633">
        <v>61.25</v>
      </c>
    </row>
    <row r="33" spans="2:12">
      <c r="B33" s="1633" t="s">
        <v>3257</v>
      </c>
      <c r="C33" s="1633" t="s">
        <v>3177</v>
      </c>
      <c r="D33" s="1633" t="s">
        <v>3178</v>
      </c>
      <c r="E33" s="1633" t="s">
        <v>3179</v>
      </c>
      <c r="F33" s="1633" t="s">
        <v>3188</v>
      </c>
      <c r="G33" s="1633">
        <v>28673.48</v>
      </c>
      <c r="H33" s="1633" t="s">
        <v>3258</v>
      </c>
      <c r="I33" s="1633" t="s">
        <v>3259</v>
      </c>
      <c r="J33" s="1633">
        <v>435</v>
      </c>
      <c r="K33" s="1633">
        <v>2609.98</v>
      </c>
      <c r="L33" s="1633">
        <v>8.75</v>
      </c>
    </row>
    <row r="34" spans="2:12">
      <c r="B34" s="1633" t="s">
        <v>3260</v>
      </c>
      <c r="C34" s="1633" t="s">
        <v>3177</v>
      </c>
      <c r="D34" s="1633" t="s">
        <v>3178</v>
      </c>
      <c r="E34" s="1633" t="s">
        <v>3179</v>
      </c>
      <c r="F34" s="1633" t="s">
        <v>3188</v>
      </c>
      <c r="G34" s="1633">
        <v>61413.64</v>
      </c>
      <c r="H34" s="1633" t="s">
        <v>3258</v>
      </c>
      <c r="I34" s="1633" t="s">
        <v>3261</v>
      </c>
      <c r="J34" s="1633">
        <v>725</v>
      </c>
      <c r="K34" s="1633">
        <v>4349.97</v>
      </c>
      <c r="L34" s="1633">
        <v>116.42</v>
      </c>
    </row>
    <row r="35" spans="2:12">
      <c r="B35" s="1633" t="s">
        <v>3262</v>
      </c>
      <c r="C35" s="1633" t="s">
        <v>3177</v>
      </c>
      <c r="D35" s="1633" t="s">
        <v>3184</v>
      </c>
      <c r="E35" s="1633" t="s">
        <v>3179</v>
      </c>
      <c r="F35" s="1633" t="s">
        <v>3180</v>
      </c>
      <c r="G35" s="1633">
        <v>7180.04</v>
      </c>
      <c r="H35" s="1633" t="s">
        <v>3263</v>
      </c>
      <c r="I35" s="1633" t="s">
        <v>3264</v>
      </c>
      <c r="J35" s="1633">
        <v>370</v>
      </c>
      <c r="K35" s="1633">
        <v>1180.8399999999999</v>
      </c>
      <c r="L35" s="1633">
        <v>2.78</v>
      </c>
    </row>
    <row r="36" spans="2:12">
      <c r="B36" s="1633" t="s">
        <v>3265</v>
      </c>
      <c r="C36" s="1633" t="s">
        <v>3177</v>
      </c>
      <c r="D36" s="1633" t="s">
        <v>3178</v>
      </c>
      <c r="E36" s="1633" t="s">
        <v>3179</v>
      </c>
      <c r="F36" s="1633" t="s">
        <v>3188</v>
      </c>
      <c r="G36" s="1633">
        <v>72473.7</v>
      </c>
      <c r="H36" s="1633" t="s">
        <v>3258</v>
      </c>
      <c r="I36" s="1633" t="s">
        <v>3266</v>
      </c>
      <c r="J36" s="1633">
        <v>485</v>
      </c>
      <c r="K36" s="1633">
        <v>2909.98</v>
      </c>
      <c r="L36" s="1633">
        <v>86.54</v>
      </c>
    </row>
    <row r="37" spans="2:12">
      <c r="B37" s="1633" t="s">
        <v>3267</v>
      </c>
      <c r="C37" s="1633" t="s">
        <v>3177</v>
      </c>
      <c r="D37" s="1633" t="s">
        <v>3178</v>
      </c>
      <c r="E37" s="1633" t="s">
        <v>3179</v>
      </c>
      <c r="F37" s="1633" t="s">
        <v>3188</v>
      </c>
      <c r="G37" s="1633">
        <v>22933.45</v>
      </c>
      <c r="H37" s="1633" t="s">
        <v>3268</v>
      </c>
      <c r="I37" s="1633" t="s">
        <v>3269</v>
      </c>
      <c r="J37" s="1633">
        <v>544</v>
      </c>
      <c r="K37" s="1633">
        <v>2914.26</v>
      </c>
      <c r="L37" s="1633">
        <v>81.33</v>
      </c>
    </row>
    <row r="38" spans="2:12">
      <c r="B38" s="1633" t="s">
        <v>3270</v>
      </c>
      <c r="C38" s="1633" t="s">
        <v>3177</v>
      </c>
      <c r="D38" s="1633" t="s">
        <v>3184</v>
      </c>
      <c r="E38" s="1633" t="s">
        <v>3179</v>
      </c>
      <c r="F38" s="1633" t="s">
        <v>3188</v>
      </c>
      <c r="G38" s="1633">
        <v>151100.79999999999</v>
      </c>
      <c r="H38" s="1633" t="s">
        <v>3271</v>
      </c>
      <c r="I38" s="1633" t="s">
        <v>3269</v>
      </c>
      <c r="J38" s="1633">
        <v>520</v>
      </c>
      <c r="K38" s="1633">
        <v>2999.98</v>
      </c>
      <c r="L38" s="1633">
        <v>92.59</v>
      </c>
    </row>
    <row r="39" spans="2:12">
      <c r="B39" s="1633" t="s">
        <v>3272</v>
      </c>
      <c r="C39" s="1633" t="s">
        <v>3177</v>
      </c>
      <c r="D39" s="1633" t="s">
        <v>3184</v>
      </c>
      <c r="E39" s="1633" t="s">
        <v>3179</v>
      </c>
      <c r="F39" s="1633" t="s">
        <v>3188</v>
      </c>
      <c r="G39" s="1633">
        <v>9800.0499999999993</v>
      </c>
      <c r="H39" s="1633" t="s">
        <v>3273</v>
      </c>
      <c r="I39" s="1633" t="s">
        <v>3269</v>
      </c>
      <c r="J39" s="1633">
        <v>561</v>
      </c>
      <c r="K39" s="1633">
        <v>2103.73</v>
      </c>
      <c r="L39" s="1633">
        <v>0.18</v>
      </c>
    </row>
    <row r="40" spans="2:12">
      <c r="B40" s="1633" t="s">
        <v>3274</v>
      </c>
      <c r="C40" s="1633" t="s">
        <v>3177</v>
      </c>
      <c r="D40" s="1633" t="s">
        <v>3184</v>
      </c>
      <c r="E40" s="1633" t="s">
        <v>3179</v>
      </c>
      <c r="F40" s="1633" t="s">
        <v>3180</v>
      </c>
      <c r="G40" s="1633">
        <v>10766.72</v>
      </c>
      <c r="H40" s="1633" t="s">
        <v>3275</v>
      </c>
      <c r="I40" s="1633" t="s">
        <v>3276</v>
      </c>
      <c r="J40" s="1633">
        <v>594</v>
      </c>
      <c r="K40" s="1633">
        <v>2408.09</v>
      </c>
      <c r="L40" s="1633">
        <v>94.75</v>
      </c>
    </row>
    <row r="41" spans="2:12">
      <c r="B41" s="1633" t="s">
        <v>3277</v>
      </c>
      <c r="C41" s="1633" t="s">
        <v>3177</v>
      </c>
      <c r="D41" s="1633" t="s">
        <v>3184</v>
      </c>
      <c r="E41" s="1633" t="s">
        <v>3179</v>
      </c>
      <c r="F41" s="1633" t="s">
        <v>3180</v>
      </c>
      <c r="G41" s="1633">
        <v>29406.81</v>
      </c>
      <c r="H41" s="1633" t="s">
        <v>3278</v>
      </c>
      <c r="I41" s="1633" t="s">
        <v>3279</v>
      </c>
      <c r="J41" s="1633">
        <v>518</v>
      </c>
      <c r="K41" s="1633">
        <v>2589.98</v>
      </c>
      <c r="L41" s="1633">
        <v>78.62</v>
      </c>
    </row>
    <row r="42" spans="2:12">
      <c r="B42" s="1633" t="s">
        <v>3280</v>
      </c>
      <c r="C42" s="1633" t="s">
        <v>3177</v>
      </c>
      <c r="D42" s="1633" t="s">
        <v>3178</v>
      </c>
      <c r="E42" s="1633" t="s">
        <v>3179</v>
      </c>
      <c r="F42" s="1633" t="s">
        <v>3188</v>
      </c>
      <c r="G42" s="1633">
        <v>47446.9</v>
      </c>
      <c r="H42" s="1633" t="s">
        <v>3258</v>
      </c>
      <c r="I42" s="1633" t="s">
        <v>3281</v>
      </c>
      <c r="J42" s="1633">
        <v>463</v>
      </c>
      <c r="K42" s="1633">
        <v>2777.98</v>
      </c>
      <c r="L42" s="1633">
        <v>32.29</v>
      </c>
    </row>
    <row r="43" spans="2:12">
      <c r="B43" s="1633" t="s">
        <v>3282</v>
      </c>
      <c r="C43" s="1633" t="s">
        <v>3177</v>
      </c>
      <c r="D43" s="1633" t="s">
        <v>3178</v>
      </c>
      <c r="E43" s="1633" t="s">
        <v>3179</v>
      </c>
      <c r="F43" s="1633" t="s">
        <v>3188</v>
      </c>
      <c r="G43" s="1633">
        <v>141960.70000000001</v>
      </c>
      <c r="H43" s="1633" t="s">
        <v>3258</v>
      </c>
      <c r="I43" s="1633" t="s">
        <v>3283</v>
      </c>
      <c r="J43" s="1633">
        <v>440</v>
      </c>
      <c r="K43" s="1633">
        <v>2639.98</v>
      </c>
      <c r="L43" s="1633">
        <v>37.5</v>
      </c>
    </row>
    <row r="44" spans="2:12">
      <c r="B44" s="1633" t="s">
        <v>3282</v>
      </c>
      <c r="C44" s="1633" t="s">
        <v>3177</v>
      </c>
      <c r="D44" s="1633" t="s">
        <v>3184</v>
      </c>
      <c r="E44" s="1633" t="s">
        <v>3179</v>
      </c>
      <c r="F44" s="1633" t="s">
        <v>3188</v>
      </c>
      <c r="G44" s="1633">
        <v>198667.7</v>
      </c>
      <c r="H44" s="1633" t="s">
        <v>3268</v>
      </c>
      <c r="I44" s="1633" t="s">
        <v>3283</v>
      </c>
      <c r="J44" s="1633">
        <v>440</v>
      </c>
      <c r="K44" s="1633">
        <v>2357.13</v>
      </c>
      <c r="L44" s="1633">
        <v>37.5</v>
      </c>
    </row>
    <row r="45" spans="2:12">
      <c r="B45" s="1633" t="s">
        <v>3282</v>
      </c>
      <c r="C45" s="1633" t="s">
        <v>3177</v>
      </c>
      <c r="D45" s="1633" t="s">
        <v>3178</v>
      </c>
      <c r="E45" s="1633" t="s">
        <v>3179</v>
      </c>
      <c r="F45" s="1633" t="s">
        <v>3188</v>
      </c>
      <c r="G45" s="1633">
        <v>176267.5</v>
      </c>
      <c r="H45" s="1633" t="s">
        <v>3284</v>
      </c>
      <c r="I45" s="1633" t="s">
        <v>3283</v>
      </c>
      <c r="J45" s="1633">
        <v>400</v>
      </c>
      <c r="K45" s="1633">
        <v>2181.8000000000002</v>
      </c>
      <c r="L45" s="1633">
        <v>42.86</v>
      </c>
    </row>
    <row r="46" spans="2:12">
      <c r="B46" s="1633" t="s">
        <v>3285</v>
      </c>
      <c r="C46" s="1633" t="s">
        <v>3177</v>
      </c>
      <c r="D46" s="1633" t="s">
        <v>3178</v>
      </c>
      <c r="E46" s="1633" t="s">
        <v>3179</v>
      </c>
      <c r="F46" s="1633" t="s">
        <v>3180</v>
      </c>
      <c r="G46" s="1633">
        <v>33001.65</v>
      </c>
      <c r="H46" s="1633" t="s">
        <v>3286</v>
      </c>
      <c r="I46" s="1633" t="s">
        <v>3283</v>
      </c>
      <c r="J46" s="1633">
        <v>85</v>
      </c>
      <c r="K46" s="1633">
        <v>364.26</v>
      </c>
      <c r="L46" s="1633" t="s">
        <v>1323</v>
      </c>
    </row>
    <row r="47" spans="2:12">
      <c r="B47" s="1633" t="s">
        <v>3287</v>
      </c>
      <c r="C47" s="1633" t="s">
        <v>3177</v>
      </c>
      <c r="D47" s="1633" t="s">
        <v>3178</v>
      </c>
      <c r="E47" s="1633" t="s">
        <v>3179</v>
      </c>
      <c r="F47" s="1633" t="s">
        <v>3180</v>
      </c>
      <c r="G47" s="1633">
        <v>8240.41</v>
      </c>
      <c r="H47" s="1633" t="s">
        <v>3258</v>
      </c>
      <c r="I47" s="1633" t="s">
        <v>3288</v>
      </c>
      <c r="J47" s="1633">
        <v>319.98</v>
      </c>
      <c r="K47" s="1633">
        <v>1919.9</v>
      </c>
      <c r="L47" s="1633" t="s">
        <v>1323</v>
      </c>
    </row>
    <row r="48" spans="2:12">
      <c r="B48" s="1633" t="s">
        <v>3289</v>
      </c>
      <c r="C48" s="1633" t="s">
        <v>3177</v>
      </c>
      <c r="D48" s="1633" t="s">
        <v>3184</v>
      </c>
      <c r="E48" s="1633" t="s">
        <v>3179</v>
      </c>
      <c r="F48" s="1633" t="s">
        <v>3180</v>
      </c>
      <c r="G48" s="1633">
        <v>4393.55</v>
      </c>
      <c r="H48" s="1633" t="s">
        <v>3290</v>
      </c>
      <c r="I48" s="1633" t="s">
        <v>3291</v>
      </c>
      <c r="J48" s="1633">
        <v>159.99</v>
      </c>
      <c r="K48" s="1633">
        <v>399.98</v>
      </c>
      <c r="L48" s="1633" t="s">
        <v>1323</v>
      </c>
    </row>
    <row r="49" spans="2:12">
      <c r="B49" s="1633" t="s">
        <v>3292</v>
      </c>
      <c r="C49" s="1633" t="s">
        <v>3177</v>
      </c>
      <c r="D49" s="1633" t="s">
        <v>3178</v>
      </c>
      <c r="E49" s="1633" t="s">
        <v>3179</v>
      </c>
      <c r="F49" s="1633" t="s">
        <v>3188</v>
      </c>
      <c r="G49" s="1633">
        <v>95653.81</v>
      </c>
      <c r="H49" s="1633" t="s">
        <v>3200</v>
      </c>
      <c r="I49" s="1633" t="s">
        <v>3293</v>
      </c>
      <c r="J49" s="1633">
        <v>308</v>
      </c>
      <c r="K49" s="1633">
        <v>1539.99</v>
      </c>
      <c r="L49" s="1633">
        <v>2.67</v>
      </c>
    </row>
    <row r="50" spans="2:12">
      <c r="B50" s="1633" t="s">
        <v>3294</v>
      </c>
      <c r="C50" s="1633" t="s">
        <v>3177</v>
      </c>
      <c r="D50" s="1633" t="s">
        <v>3184</v>
      </c>
      <c r="E50" s="1633" t="s">
        <v>3179</v>
      </c>
      <c r="F50" s="1633" t="s">
        <v>3180</v>
      </c>
      <c r="G50" s="1633">
        <v>242000</v>
      </c>
      <c r="H50" s="1633" t="s">
        <v>3295</v>
      </c>
      <c r="I50" s="1633" t="s">
        <v>3296</v>
      </c>
      <c r="J50" s="1633">
        <v>415</v>
      </c>
      <c r="K50" s="1633">
        <v>2223.21</v>
      </c>
      <c r="L50" s="1633">
        <v>3.75</v>
      </c>
    </row>
    <row r="51" spans="2:12">
      <c r="B51" s="1633" t="s">
        <v>3297</v>
      </c>
      <c r="C51" s="1633" t="s">
        <v>3177</v>
      </c>
      <c r="D51" s="1633" t="s">
        <v>3184</v>
      </c>
      <c r="E51" s="1633" t="s">
        <v>3179</v>
      </c>
      <c r="F51" s="1633" t="s">
        <v>3188</v>
      </c>
      <c r="G51" s="1633">
        <v>5960</v>
      </c>
      <c r="H51" s="1633" t="s">
        <v>3298</v>
      </c>
      <c r="I51" s="1633" t="s">
        <v>3299</v>
      </c>
      <c r="J51" s="1633">
        <v>500</v>
      </c>
      <c r="K51" s="1633">
        <v>1666.67</v>
      </c>
      <c r="L51" s="1633">
        <v>11.11</v>
      </c>
    </row>
    <row r="52" spans="2:12">
      <c r="B52" s="1633" t="s">
        <v>3300</v>
      </c>
      <c r="C52" s="1633" t="s">
        <v>3177</v>
      </c>
      <c r="D52" s="1633" t="s">
        <v>3178</v>
      </c>
      <c r="E52" s="1633" t="s">
        <v>3179</v>
      </c>
      <c r="F52" s="1633" t="s">
        <v>3180</v>
      </c>
      <c r="G52" s="1633">
        <v>27786.67</v>
      </c>
      <c r="H52" s="1633" t="s">
        <v>3246</v>
      </c>
      <c r="I52" s="1633" t="s">
        <v>3301</v>
      </c>
      <c r="J52" s="1633">
        <v>659</v>
      </c>
      <c r="K52" s="1633">
        <v>4118.75</v>
      </c>
      <c r="L52" s="1633">
        <v>43.26</v>
      </c>
    </row>
    <row r="53" spans="2:12">
      <c r="B53" s="1633" t="s">
        <v>3302</v>
      </c>
      <c r="C53" s="1633" t="s">
        <v>3177</v>
      </c>
      <c r="D53" s="1633" t="s">
        <v>3178</v>
      </c>
      <c r="E53" s="1633" t="s">
        <v>3179</v>
      </c>
      <c r="F53" s="1633" t="s">
        <v>3188</v>
      </c>
      <c r="G53" s="1633">
        <v>150000</v>
      </c>
      <c r="H53" s="1633" t="s">
        <v>3217</v>
      </c>
      <c r="I53" s="1633" t="s">
        <v>3303</v>
      </c>
      <c r="J53" s="1633">
        <v>257</v>
      </c>
      <c r="K53" s="1633">
        <v>1376.78</v>
      </c>
      <c r="L53" s="1633">
        <v>29.8</v>
      </c>
    </row>
  </sheetData>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3" sqref="L23"/>
    </sheetView>
  </sheetViews>
  <sheetFormatPr defaultRowHeight="13.5"/>
  <sheetData/>
  <phoneticPr fontId="143"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8" sqref="H38"/>
    </sheetView>
  </sheetViews>
  <sheetFormatPr defaultRowHeight="13.5"/>
  <sheetData/>
  <phoneticPr fontId="14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39:L40"/>
  <sheetViews>
    <sheetView topLeftCell="A19" workbookViewId="0">
      <selection activeCell="M39" sqref="M39"/>
    </sheetView>
  </sheetViews>
  <sheetFormatPr defaultRowHeight="13.5"/>
  <sheetData>
    <row r="39" spans="10:12">
      <c r="J39">
        <f>'数据-取费表'!AH10</f>
        <v>1161</v>
      </c>
      <c r="K39">
        <v>800</v>
      </c>
      <c r="L39">
        <f>(J39*K39+J40*K40)/J39</f>
        <v>831.69681309216196</v>
      </c>
    </row>
    <row r="40" spans="10:12">
      <c r="J40">
        <v>92</v>
      </c>
      <c r="K40">
        <v>400</v>
      </c>
    </row>
  </sheetData>
  <phoneticPr fontId="143" type="noConversion"/>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L575"/>
  <sheetViews>
    <sheetView topLeftCell="A548" workbookViewId="0">
      <selection activeCell="P575" sqref="P575"/>
    </sheetView>
  </sheetViews>
  <sheetFormatPr defaultRowHeight="13.5"/>
  <cols>
    <col min="4" max="4" width="8" customWidth="1"/>
    <col min="5" max="5" width="6.125" customWidth="1"/>
    <col min="6" max="6" width="5.5" customWidth="1"/>
    <col min="7" max="7" width="6.25" customWidth="1"/>
    <col min="8" max="8" width="6.625" customWidth="1"/>
    <col min="9" max="9" width="10.5" bestFit="1" customWidth="1"/>
    <col min="10" max="10" width="9.375" customWidth="1"/>
    <col min="11" max="11" width="8.125" customWidth="1"/>
    <col min="12" max="12" width="9.25" customWidth="1"/>
  </cols>
  <sheetData>
    <row r="4" spans="3:12">
      <c r="C4" s="2978" t="s">
        <v>3380</v>
      </c>
      <c r="D4" t="s">
        <v>3042</v>
      </c>
      <c r="E4" t="s">
        <v>3043</v>
      </c>
      <c r="F4" t="s">
        <v>3044</v>
      </c>
      <c r="G4" t="s">
        <v>3045</v>
      </c>
      <c r="H4" t="s">
        <v>3046</v>
      </c>
      <c r="I4" t="s">
        <v>3047</v>
      </c>
      <c r="J4" t="s">
        <v>3377</v>
      </c>
      <c r="K4" t="s">
        <v>3378</v>
      </c>
      <c r="L4" t="s">
        <v>3379</v>
      </c>
    </row>
    <row r="5" spans="3:12">
      <c r="C5">
        <v>1</v>
      </c>
      <c r="D5" t="s">
        <v>3054</v>
      </c>
      <c r="E5">
        <v>1</v>
      </c>
      <c r="F5">
        <v>1</v>
      </c>
      <c r="G5">
        <v>101</v>
      </c>
      <c r="H5" t="s">
        <v>3055</v>
      </c>
      <c r="I5">
        <v>374.25</v>
      </c>
      <c r="J5">
        <v>132.47999999999999</v>
      </c>
      <c r="K5">
        <v>0</v>
      </c>
      <c r="L5">
        <v>241.76999999999998</v>
      </c>
    </row>
    <row r="6" spans="3:12">
      <c r="C6">
        <v>2</v>
      </c>
      <c r="D6" t="s">
        <v>3054</v>
      </c>
      <c r="E6">
        <v>1</v>
      </c>
      <c r="F6">
        <v>1</v>
      </c>
      <c r="G6">
        <v>102</v>
      </c>
      <c r="H6" t="s">
        <v>3055</v>
      </c>
      <c r="I6">
        <v>370.64</v>
      </c>
      <c r="J6">
        <v>132.47999999999999</v>
      </c>
      <c r="K6">
        <v>0</v>
      </c>
      <c r="L6">
        <v>238.16</v>
      </c>
    </row>
    <row r="7" spans="3:12">
      <c r="C7">
        <v>3</v>
      </c>
      <c r="D7" t="s">
        <v>3054</v>
      </c>
      <c r="E7">
        <v>1</v>
      </c>
      <c r="F7">
        <v>1</v>
      </c>
      <c r="G7">
        <v>201</v>
      </c>
      <c r="H7" t="s">
        <v>3055</v>
      </c>
      <c r="I7">
        <v>275.25</v>
      </c>
      <c r="J7">
        <v>149.77000000000001</v>
      </c>
      <c r="K7">
        <v>0</v>
      </c>
      <c r="L7">
        <v>125.47999999999999</v>
      </c>
    </row>
    <row r="8" spans="3:12">
      <c r="C8">
        <v>4</v>
      </c>
      <c r="D8" t="s">
        <v>3054</v>
      </c>
      <c r="E8">
        <v>1</v>
      </c>
      <c r="F8">
        <v>1</v>
      </c>
      <c r="G8">
        <v>202</v>
      </c>
      <c r="H8" t="s">
        <v>3055</v>
      </c>
      <c r="I8">
        <v>304.88</v>
      </c>
      <c r="J8">
        <v>149.77000000000001</v>
      </c>
      <c r="K8">
        <v>0</v>
      </c>
      <c r="L8">
        <v>155.11000000000001</v>
      </c>
    </row>
    <row r="9" spans="3:12">
      <c r="C9">
        <v>5</v>
      </c>
      <c r="D9" t="s">
        <v>3054</v>
      </c>
      <c r="E9">
        <v>1</v>
      </c>
      <c r="F9">
        <v>1</v>
      </c>
      <c r="G9">
        <v>302</v>
      </c>
      <c r="H9" t="s">
        <v>3055</v>
      </c>
      <c r="I9">
        <v>143.13</v>
      </c>
      <c r="J9">
        <v>143.13</v>
      </c>
      <c r="K9">
        <v>0</v>
      </c>
      <c r="L9">
        <v>0</v>
      </c>
    </row>
    <row r="10" spans="3:12">
      <c r="C10">
        <v>6</v>
      </c>
      <c r="D10" t="s">
        <v>3054</v>
      </c>
      <c r="E10">
        <v>1</v>
      </c>
      <c r="F10">
        <v>1</v>
      </c>
      <c r="G10">
        <v>401</v>
      </c>
      <c r="H10" t="s">
        <v>3055</v>
      </c>
      <c r="I10">
        <v>143.13</v>
      </c>
      <c r="J10">
        <v>143.13</v>
      </c>
      <c r="K10">
        <v>0</v>
      </c>
      <c r="L10">
        <v>0</v>
      </c>
    </row>
    <row r="11" spans="3:12">
      <c r="C11">
        <v>7</v>
      </c>
      <c r="D11" t="s">
        <v>3054</v>
      </c>
      <c r="E11">
        <v>1</v>
      </c>
      <c r="F11">
        <v>1</v>
      </c>
      <c r="G11">
        <v>601</v>
      </c>
      <c r="H11" t="s">
        <v>3055</v>
      </c>
      <c r="I11">
        <v>143.13</v>
      </c>
      <c r="J11">
        <v>143.13</v>
      </c>
      <c r="K11">
        <v>0</v>
      </c>
      <c r="L11">
        <v>0</v>
      </c>
    </row>
    <row r="12" spans="3:12">
      <c r="C12">
        <v>8</v>
      </c>
      <c r="D12" t="s">
        <v>3054</v>
      </c>
      <c r="E12">
        <v>1</v>
      </c>
      <c r="F12">
        <v>1</v>
      </c>
      <c r="G12">
        <v>801</v>
      </c>
      <c r="H12" t="s">
        <v>3055</v>
      </c>
      <c r="I12">
        <v>143.13</v>
      </c>
      <c r="J12">
        <v>143.13</v>
      </c>
      <c r="K12">
        <v>0</v>
      </c>
      <c r="L12">
        <v>0</v>
      </c>
    </row>
    <row r="13" spans="3:12">
      <c r="C13">
        <v>9</v>
      </c>
      <c r="D13" t="s">
        <v>3054</v>
      </c>
      <c r="E13">
        <v>1</v>
      </c>
      <c r="F13">
        <v>1</v>
      </c>
      <c r="G13">
        <v>901</v>
      </c>
      <c r="H13" t="s">
        <v>3055</v>
      </c>
      <c r="I13">
        <v>143.13</v>
      </c>
      <c r="J13">
        <v>143.13</v>
      </c>
      <c r="K13">
        <v>0</v>
      </c>
      <c r="L13">
        <v>0</v>
      </c>
    </row>
    <row r="14" spans="3:12">
      <c r="C14">
        <v>10</v>
      </c>
      <c r="D14" t="s">
        <v>3054</v>
      </c>
      <c r="E14">
        <v>1</v>
      </c>
      <c r="F14">
        <v>1</v>
      </c>
      <c r="G14">
        <v>1001</v>
      </c>
      <c r="H14" t="s">
        <v>3055</v>
      </c>
      <c r="I14">
        <v>143.13</v>
      </c>
      <c r="J14">
        <v>143.13</v>
      </c>
      <c r="K14">
        <v>0</v>
      </c>
      <c r="L14">
        <v>0</v>
      </c>
    </row>
    <row r="15" spans="3:12">
      <c r="C15">
        <v>11</v>
      </c>
      <c r="D15" t="s">
        <v>3054</v>
      </c>
      <c r="E15">
        <v>1</v>
      </c>
      <c r="F15">
        <v>1</v>
      </c>
      <c r="G15">
        <v>1101</v>
      </c>
      <c r="H15" t="s">
        <v>3055</v>
      </c>
      <c r="I15">
        <v>200.41</v>
      </c>
      <c r="J15">
        <v>143.34</v>
      </c>
      <c r="K15">
        <v>57.07</v>
      </c>
      <c r="L15">
        <v>0</v>
      </c>
    </row>
    <row r="16" spans="3:12">
      <c r="C16">
        <v>12</v>
      </c>
      <c r="D16" t="s">
        <v>3054</v>
      </c>
      <c r="E16">
        <v>1</v>
      </c>
      <c r="F16">
        <v>1</v>
      </c>
      <c r="G16">
        <v>1102</v>
      </c>
      <c r="H16" t="s">
        <v>3055</v>
      </c>
      <c r="I16">
        <v>218.63</v>
      </c>
      <c r="J16">
        <v>143.34</v>
      </c>
      <c r="K16">
        <v>75.290000000000006</v>
      </c>
      <c r="L16">
        <v>0</v>
      </c>
    </row>
    <row r="17" spans="3:12">
      <c r="C17">
        <v>13</v>
      </c>
      <c r="D17" t="s">
        <v>3054</v>
      </c>
      <c r="E17">
        <v>1</v>
      </c>
      <c r="F17">
        <v>2</v>
      </c>
      <c r="G17">
        <v>103</v>
      </c>
      <c r="H17" t="s">
        <v>3055</v>
      </c>
      <c r="I17">
        <v>370.64</v>
      </c>
      <c r="J17">
        <v>132.47999999999999</v>
      </c>
      <c r="K17">
        <v>0</v>
      </c>
      <c r="L17">
        <v>238.16</v>
      </c>
    </row>
    <row r="18" spans="3:12">
      <c r="C18">
        <v>14</v>
      </c>
      <c r="D18" t="s">
        <v>3054</v>
      </c>
      <c r="E18">
        <v>1</v>
      </c>
      <c r="F18">
        <v>2</v>
      </c>
      <c r="G18">
        <v>104</v>
      </c>
      <c r="H18" t="s">
        <v>3055</v>
      </c>
      <c r="I18">
        <v>374.25</v>
      </c>
      <c r="J18">
        <v>132.47999999999999</v>
      </c>
      <c r="K18">
        <v>0</v>
      </c>
      <c r="L18">
        <v>241.76999999999998</v>
      </c>
    </row>
    <row r="19" spans="3:12">
      <c r="C19">
        <v>15</v>
      </c>
      <c r="D19" t="s">
        <v>3054</v>
      </c>
      <c r="E19">
        <v>1</v>
      </c>
      <c r="F19">
        <v>2</v>
      </c>
      <c r="G19">
        <v>203</v>
      </c>
      <c r="H19" t="s">
        <v>3055</v>
      </c>
      <c r="I19">
        <v>304.88</v>
      </c>
      <c r="J19">
        <v>149.77000000000001</v>
      </c>
      <c r="K19">
        <v>0</v>
      </c>
      <c r="L19">
        <v>155.11000000000001</v>
      </c>
    </row>
    <row r="20" spans="3:12">
      <c r="C20">
        <v>16</v>
      </c>
      <c r="D20" t="s">
        <v>3054</v>
      </c>
      <c r="E20">
        <v>1</v>
      </c>
      <c r="F20">
        <v>2</v>
      </c>
      <c r="G20">
        <v>204</v>
      </c>
      <c r="H20" t="s">
        <v>3055</v>
      </c>
      <c r="I20">
        <v>275.25</v>
      </c>
      <c r="J20">
        <v>149.77000000000001</v>
      </c>
      <c r="K20">
        <v>0</v>
      </c>
      <c r="L20">
        <v>125.47999999999999</v>
      </c>
    </row>
    <row r="21" spans="3:12">
      <c r="C21">
        <v>17</v>
      </c>
      <c r="D21" t="s">
        <v>3054</v>
      </c>
      <c r="E21">
        <v>1</v>
      </c>
      <c r="F21">
        <v>2</v>
      </c>
      <c r="G21">
        <v>404</v>
      </c>
      <c r="H21" t="s">
        <v>3055</v>
      </c>
      <c r="I21">
        <v>143.13</v>
      </c>
      <c r="J21">
        <v>143.13</v>
      </c>
      <c r="K21">
        <v>0</v>
      </c>
      <c r="L21">
        <v>0</v>
      </c>
    </row>
    <row r="22" spans="3:12">
      <c r="C22">
        <v>18</v>
      </c>
      <c r="D22" t="s">
        <v>3054</v>
      </c>
      <c r="E22">
        <v>1</v>
      </c>
      <c r="F22">
        <v>2</v>
      </c>
      <c r="G22">
        <v>504</v>
      </c>
      <c r="H22" t="s">
        <v>3055</v>
      </c>
      <c r="I22">
        <v>143.13</v>
      </c>
      <c r="J22">
        <v>143.13</v>
      </c>
      <c r="K22">
        <v>0</v>
      </c>
      <c r="L22">
        <v>0</v>
      </c>
    </row>
    <row r="23" spans="3:12">
      <c r="C23">
        <v>19</v>
      </c>
      <c r="D23" t="s">
        <v>3054</v>
      </c>
      <c r="E23">
        <v>1</v>
      </c>
      <c r="F23">
        <v>2</v>
      </c>
      <c r="G23">
        <v>704</v>
      </c>
      <c r="H23" t="s">
        <v>3055</v>
      </c>
      <c r="I23">
        <v>143.13</v>
      </c>
      <c r="J23">
        <v>143.13</v>
      </c>
      <c r="K23">
        <v>0</v>
      </c>
      <c r="L23">
        <v>0</v>
      </c>
    </row>
    <row r="24" spans="3:12">
      <c r="C24">
        <v>20</v>
      </c>
      <c r="D24" t="s">
        <v>3054</v>
      </c>
      <c r="E24">
        <v>1</v>
      </c>
      <c r="F24">
        <v>2</v>
      </c>
      <c r="G24">
        <v>804</v>
      </c>
      <c r="H24" t="s">
        <v>3055</v>
      </c>
      <c r="I24">
        <v>143.13</v>
      </c>
      <c r="J24">
        <v>143.13</v>
      </c>
      <c r="K24">
        <v>0</v>
      </c>
      <c r="L24">
        <v>0</v>
      </c>
    </row>
    <row r="25" spans="3:12">
      <c r="C25">
        <v>21</v>
      </c>
      <c r="D25" t="s">
        <v>3054</v>
      </c>
      <c r="E25">
        <v>1</v>
      </c>
      <c r="F25">
        <v>2</v>
      </c>
      <c r="G25">
        <v>1003</v>
      </c>
      <c r="H25" t="s">
        <v>3055</v>
      </c>
      <c r="I25">
        <v>143.13</v>
      </c>
      <c r="J25">
        <v>143.13</v>
      </c>
      <c r="K25">
        <v>0</v>
      </c>
      <c r="L25">
        <v>0</v>
      </c>
    </row>
    <row r="26" spans="3:12">
      <c r="C26">
        <v>22</v>
      </c>
      <c r="D26" t="s">
        <v>3054</v>
      </c>
      <c r="E26">
        <v>1</v>
      </c>
      <c r="F26">
        <v>2</v>
      </c>
      <c r="G26">
        <v>1004</v>
      </c>
      <c r="H26" t="s">
        <v>3055</v>
      </c>
      <c r="I26">
        <v>143.13</v>
      </c>
      <c r="J26">
        <v>143.13</v>
      </c>
      <c r="K26">
        <v>0</v>
      </c>
      <c r="L26">
        <v>0</v>
      </c>
    </row>
    <row r="27" spans="3:12">
      <c r="C27">
        <v>23</v>
      </c>
      <c r="D27" t="s">
        <v>3054</v>
      </c>
      <c r="E27">
        <v>1</v>
      </c>
      <c r="F27">
        <v>2</v>
      </c>
      <c r="G27">
        <v>1103</v>
      </c>
      <c r="H27" t="s">
        <v>3055</v>
      </c>
      <c r="I27">
        <v>218.63</v>
      </c>
      <c r="J27">
        <v>143.34</v>
      </c>
      <c r="K27">
        <v>75.290000000000006</v>
      </c>
      <c r="L27">
        <v>0</v>
      </c>
    </row>
    <row r="28" spans="3:12">
      <c r="C28">
        <v>24</v>
      </c>
      <c r="D28" t="s">
        <v>3054</v>
      </c>
      <c r="E28">
        <v>1</v>
      </c>
      <c r="F28">
        <v>2</v>
      </c>
      <c r="G28">
        <v>1104</v>
      </c>
      <c r="H28" t="s">
        <v>3055</v>
      </c>
      <c r="I28">
        <v>200.41</v>
      </c>
      <c r="J28">
        <v>143.34</v>
      </c>
      <c r="K28">
        <v>57.07</v>
      </c>
      <c r="L28">
        <v>0</v>
      </c>
    </row>
    <row r="29" spans="3:12">
      <c r="C29">
        <v>25</v>
      </c>
      <c r="D29" t="s">
        <v>3054</v>
      </c>
      <c r="E29">
        <v>2</v>
      </c>
      <c r="F29">
        <v>1</v>
      </c>
      <c r="G29">
        <v>101</v>
      </c>
      <c r="H29" t="s">
        <v>3055</v>
      </c>
      <c r="I29">
        <v>412.51</v>
      </c>
      <c r="J29">
        <v>143.28</v>
      </c>
      <c r="K29">
        <v>0</v>
      </c>
      <c r="L29">
        <v>269.23</v>
      </c>
    </row>
    <row r="30" spans="3:12">
      <c r="C30">
        <v>26</v>
      </c>
      <c r="D30" t="s">
        <v>3054</v>
      </c>
      <c r="E30">
        <v>2</v>
      </c>
      <c r="F30">
        <v>1</v>
      </c>
      <c r="G30">
        <v>102</v>
      </c>
      <c r="H30" t="s">
        <v>3055</v>
      </c>
      <c r="I30">
        <v>412.51</v>
      </c>
      <c r="J30">
        <v>143.28</v>
      </c>
      <c r="K30">
        <v>0</v>
      </c>
      <c r="L30">
        <v>269.23</v>
      </c>
    </row>
    <row r="31" spans="3:12">
      <c r="C31">
        <v>27</v>
      </c>
      <c r="D31" t="s">
        <v>3054</v>
      </c>
      <c r="E31">
        <v>2</v>
      </c>
      <c r="F31">
        <v>1</v>
      </c>
      <c r="G31">
        <v>201</v>
      </c>
      <c r="H31" t="s">
        <v>3055</v>
      </c>
      <c r="I31">
        <v>293.54000000000002</v>
      </c>
      <c r="J31">
        <v>162.5</v>
      </c>
      <c r="K31">
        <v>0</v>
      </c>
      <c r="L31">
        <v>131.04</v>
      </c>
    </row>
    <row r="32" spans="3:12">
      <c r="C32">
        <v>28</v>
      </c>
      <c r="D32" t="s">
        <v>3054</v>
      </c>
      <c r="E32">
        <v>2</v>
      </c>
      <c r="F32">
        <v>1</v>
      </c>
      <c r="G32">
        <v>202</v>
      </c>
      <c r="H32" t="s">
        <v>3055</v>
      </c>
      <c r="I32">
        <v>287.87</v>
      </c>
      <c r="J32">
        <v>162.5</v>
      </c>
      <c r="K32">
        <v>0</v>
      </c>
      <c r="L32">
        <v>125.37</v>
      </c>
    </row>
    <row r="33" spans="3:12">
      <c r="C33">
        <v>29</v>
      </c>
      <c r="D33" t="s">
        <v>3054</v>
      </c>
      <c r="E33">
        <v>2</v>
      </c>
      <c r="F33">
        <v>1</v>
      </c>
      <c r="G33">
        <v>301</v>
      </c>
      <c r="H33" t="s">
        <v>3055</v>
      </c>
      <c r="I33">
        <v>155.96</v>
      </c>
      <c r="J33">
        <v>155.96</v>
      </c>
      <c r="K33">
        <v>0</v>
      </c>
      <c r="L33">
        <v>0</v>
      </c>
    </row>
    <row r="34" spans="3:12">
      <c r="C34">
        <v>30</v>
      </c>
      <c r="D34" t="s">
        <v>3054</v>
      </c>
      <c r="E34">
        <v>2</v>
      </c>
      <c r="F34">
        <v>1</v>
      </c>
      <c r="G34">
        <v>302</v>
      </c>
      <c r="H34" t="s">
        <v>3055</v>
      </c>
      <c r="I34">
        <v>155.96</v>
      </c>
      <c r="J34">
        <v>155.96</v>
      </c>
      <c r="K34">
        <v>0</v>
      </c>
      <c r="L34">
        <v>0</v>
      </c>
    </row>
    <row r="35" spans="3:12">
      <c r="C35">
        <v>31</v>
      </c>
      <c r="D35" t="s">
        <v>3054</v>
      </c>
      <c r="E35">
        <v>2</v>
      </c>
      <c r="F35">
        <v>1</v>
      </c>
      <c r="G35">
        <v>401</v>
      </c>
      <c r="H35" t="s">
        <v>3055</v>
      </c>
      <c r="I35">
        <v>155.96</v>
      </c>
      <c r="J35">
        <v>155.96</v>
      </c>
      <c r="K35">
        <v>0</v>
      </c>
      <c r="L35">
        <v>0</v>
      </c>
    </row>
    <row r="36" spans="3:12">
      <c r="C36">
        <v>32</v>
      </c>
      <c r="D36" t="s">
        <v>3054</v>
      </c>
      <c r="E36">
        <v>2</v>
      </c>
      <c r="F36">
        <v>1</v>
      </c>
      <c r="G36">
        <v>402</v>
      </c>
      <c r="H36" t="s">
        <v>3055</v>
      </c>
      <c r="I36">
        <v>155.96</v>
      </c>
      <c r="J36">
        <v>155.96</v>
      </c>
      <c r="K36">
        <v>0</v>
      </c>
      <c r="L36">
        <v>0</v>
      </c>
    </row>
    <row r="37" spans="3:12">
      <c r="C37">
        <v>33</v>
      </c>
      <c r="D37" t="s">
        <v>3054</v>
      </c>
      <c r="E37">
        <v>2</v>
      </c>
      <c r="F37">
        <v>1</v>
      </c>
      <c r="G37">
        <v>501</v>
      </c>
      <c r="H37" t="s">
        <v>3055</v>
      </c>
      <c r="I37">
        <v>155.96</v>
      </c>
      <c r="J37">
        <v>155.96</v>
      </c>
      <c r="K37">
        <v>0</v>
      </c>
      <c r="L37">
        <v>0</v>
      </c>
    </row>
    <row r="38" spans="3:12">
      <c r="C38">
        <v>34</v>
      </c>
      <c r="D38" t="s">
        <v>3054</v>
      </c>
      <c r="E38">
        <v>2</v>
      </c>
      <c r="F38">
        <v>1</v>
      </c>
      <c r="G38">
        <v>502</v>
      </c>
      <c r="H38" t="s">
        <v>3055</v>
      </c>
      <c r="I38">
        <v>155.96</v>
      </c>
      <c r="J38">
        <v>155.96</v>
      </c>
      <c r="K38">
        <v>0</v>
      </c>
      <c r="L38">
        <v>0</v>
      </c>
    </row>
    <row r="39" spans="3:12">
      <c r="C39">
        <v>35</v>
      </c>
      <c r="D39" t="s">
        <v>3054</v>
      </c>
      <c r="E39">
        <v>2</v>
      </c>
      <c r="F39">
        <v>1</v>
      </c>
      <c r="G39">
        <v>601</v>
      </c>
      <c r="H39" t="s">
        <v>3055</v>
      </c>
      <c r="I39">
        <v>155.96</v>
      </c>
      <c r="J39">
        <v>155.96</v>
      </c>
      <c r="K39">
        <v>0</v>
      </c>
      <c r="L39">
        <v>0</v>
      </c>
    </row>
    <row r="40" spans="3:12">
      <c r="C40">
        <v>36</v>
      </c>
      <c r="D40" t="s">
        <v>3054</v>
      </c>
      <c r="E40">
        <v>2</v>
      </c>
      <c r="F40">
        <v>1</v>
      </c>
      <c r="G40">
        <v>602</v>
      </c>
      <c r="H40" t="s">
        <v>3055</v>
      </c>
      <c r="I40">
        <v>155.96</v>
      </c>
      <c r="J40">
        <v>155.96</v>
      </c>
      <c r="K40">
        <v>0</v>
      </c>
      <c r="L40">
        <v>0</v>
      </c>
    </row>
    <row r="41" spans="3:12">
      <c r="C41">
        <v>37</v>
      </c>
      <c r="D41" t="s">
        <v>3054</v>
      </c>
      <c r="E41">
        <v>2</v>
      </c>
      <c r="F41">
        <v>1</v>
      </c>
      <c r="G41">
        <v>701</v>
      </c>
      <c r="H41" t="s">
        <v>3055</v>
      </c>
      <c r="I41">
        <v>155.96</v>
      </c>
      <c r="J41">
        <v>155.96</v>
      </c>
      <c r="K41">
        <v>0</v>
      </c>
      <c r="L41">
        <v>0</v>
      </c>
    </row>
    <row r="42" spans="3:12">
      <c r="C42">
        <v>38</v>
      </c>
      <c r="D42" t="s">
        <v>3054</v>
      </c>
      <c r="E42">
        <v>2</v>
      </c>
      <c r="F42">
        <v>1</v>
      </c>
      <c r="G42">
        <v>702</v>
      </c>
      <c r="H42" t="s">
        <v>3055</v>
      </c>
      <c r="I42">
        <v>155.96</v>
      </c>
      <c r="J42">
        <v>155.96</v>
      </c>
      <c r="K42">
        <v>0</v>
      </c>
      <c r="L42">
        <v>0</v>
      </c>
    </row>
    <row r="43" spans="3:12">
      <c r="C43">
        <v>39</v>
      </c>
      <c r="D43" t="s">
        <v>3054</v>
      </c>
      <c r="E43">
        <v>2</v>
      </c>
      <c r="F43">
        <v>1</v>
      </c>
      <c r="G43">
        <v>801</v>
      </c>
      <c r="H43" t="s">
        <v>3055</v>
      </c>
      <c r="I43">
        <v>155.96</v>
      </c>
      <c r="J43">
        <v>155.96</v>
      </c>
      <c r="K43">
        <v>0</v>
      </c>
      <c r="L43">
        <v>0</v>
      </c>
    </row>
    <row r="44" spans="3:12">
      <c r="C44">
        <v>40</v>
      </c>
      <c r="D44" t="s">
        <v>3054</v>
      </c>
      <c r="E44">
        <v>2</v>
      </c>
      <c r="F44">
        <v>1</v>
      </c>
      <c r="G44">
        <v>802</v>
      </c>
      <c r="H44" t="s">
        <v>3055</v>
      </c>
      <c r="I44">
        <v>155.96</v>
      </c>
      <c r="J44">
        <v>155.96</v>
      </c>
      <c r="K44">
        <v>0</v>
      </c>
      <c r="L44">
        <v>0</v>
      </c>
    </row>
    <row r="45" spans="3:12">
      <c r="C45">
        <v>41</v>
      </c>
      <c r="D45" t="s">
        <v>3054</v>
      </c>
      <c r="E45">
        <v>2</v>
      </c>
      <c r="F45">
        <v>1</v>
      </c>
      <c r="G45">
        <v>901</v>
      </c>
      <c r="H45" t="s">
        <v>3055</v>
      </c>
      <c r="I45">
        <v>155.96</v>
      </c>
      <c r="J45">
        <v>155.96</v>
      </c>
      <c r="K45">
        <v>0</v>
      </c>
      <c r="L45">
        <v>0</v>
      </c>
    </row>
    <row r="46" spans="3:12">
      <c r="C46">
        <v>42</v>
      </c>
      <c r="D46" t="s">
        <v>3054</v>
      </c>
      <c r="E46">
        <v>2</v>
      </c>
      <c r="F46">
        <v>1</v>
      </c>
      <c r="G46">
        <v>902</v>
      </c>
      <c r="H46" t="s">
        <v>3055</v>
      </c>
      <c r="I46">
        <v>155.96</v>
      </c>
      <c r="J46">
        <v>155.96</v>
      </c>
      <c r="K46">
        <v>0</v>
      </c>
      <c r="L46">
        <v>0</v>
      </c>
    </row>
    <row r="47" spans="3:12">
      <c r="C47">
        <v>43</v>
      </c>
      <c r="D47" t="s">
        <v>3054</v>
      </c>
      <c r="E47">
        <v>2</v>
      </c>
      <c r="F47">
        <v>1</v>
      </c>
      <c r="G47">
        <v>1001</v>
      </c>
      <c r="H47" t="s">
        <v>3055</v>
      </c>
      <c r="I47">
        <v>155.96</v>
      </c>
      <c r="J47">
        <v>155.96</v>
      </c>
      <c r="K47">
        <v>0</v>
      </c>
      <c r="L47">
        <v>0</v>
      </c>
    </row>
    <row r="48" spans="3:12">
      <c r="C48">
        <v>44</v>
      </c>
      <c r="D48" t="s">
        <v>3054</v>
      </c>
      <c r="E48">
        <v>2</v>
      </c>
      <c r="F48">
        <v>1</v>
      </c>
      <c r="G48">
        <v>1002</v>
      </c>
      <c r="H48" t="s">
        <v>3055</v>
      </c>
      <c r="I48">
        <v>155.96</v>
      </c>
      <c r="J48">
        <v>155.96</v>
      </c>
      <c r="K48">
        <v>0</v>
      </c>
      <c r="L48">
        <v>0</v>
      </c>
    </row>
    <row r="49" spans="3:12">
      <c r="C49">
        <v>45</v>
      </c>
      <c r="D49" t="s">
        <v>3054</v>
      </c>
      <c r="E49">
        <v>2</v>
      </c>
      <c r="F49">
        <v>1</v>
      </c>
      <c r="G49">
        <v>1101</v>
      </c>
      <c r="H49" t="s">
        <v>3055</v>
      </c>
      <c r="I49">
        <v>214.26</v>
      </c>
      <c r="J49">
        <v>155.96</v>
      </c>
      <c r="K49">
        <v>58.3</v>
      </c>
      <c r="L49">
        <v>0</v>
      </c>
    </row>
    <row r="50" spans="3:12">
      <c r="C50">
        <v>46</v>
      </c>
      <c r="D50" t="s">
        <v>3054</v>
      </c>
      <c r="E50">
        <v>2</v>
      </c>
      <c r="F50">
        <v>1</v>
      </c>
      <c r="G50">
        <v>1102</v>
      </c>
      <c r="H50" t="s">
        <v>3055</v>
      </c>
      <c r="I50">
        <v>214.26</v>
      </c>
      <c r="J50">
        <v>155.96</v>
      </c>
      <c r="K50">
        <v>58.3</v>
      </c>
      <c r="L50">
        <v>0</v>
      </c>
    </row>
    <row r="51" spans="3:12">
      <c r="C51">
        <v>47</v>
      </c>
      <c r="D51" t="s">
        <v>3054</v>
      </c>
      <c r="E51">
        <v>3</v>
      </c>
      <c r="F51">
        <v>1</v>
      </c>
      <c r="G51">
        <v>101</v>
      </c>
      <c r="H51" t="s">
        <v>3055</v>
      </c>
      <c r="I51">
        <v>395.06</v>
      </c>
      <c r="J51">
        <v>142.59</v>
      </c>
      <c r="K51">
        <v>0</v>
      </c>
      <c r="L51">
        <v>252.46999999999997</v>
      </c>
    </row>
    <row r="52" spans="3:12">
      <c r="C52">
        <v>48</v>
      </c>
      <c r="D52" t="s">
        <v>3054</v>
      </c>
      <c r="E52">
        <v>3</v>
      </c>
      <c r="F52">
        <v>1</v>
      </c>
      <c r="G52">
        <v>102</v>
      </c>
      <c r="H52" t="s">
        <v>3055</v>
      </c>
      <c r="I52">
        <v>395.06</v>
      </c>
      <c r="J52">
        <v>142.59</v>
      </c>
      <c r="K52">
        <v>0</v>
      </c>
      <c r="L52">
        <v>252.46999999999997</v>
      </c>
    </row>
    <row r="53" spans="3:12">
      <c r="C53">
        <v>49</v>
      </c>
      <c r="D53" t="s">
        <v>3054</v>
      </c>
      <c r="E53">
        <v>3</v>
      </c>
      <c r="F53">
        <v>1</v>
      </c>
      <c r="G53">
        <v>201</v>
      </c>
      <c r="H53" t="s">
        <v>3055</v>
      </c>
      <c r="I53">
        <v>282.14999999999998</v>
      </c>
      <c r="J53">
        <v>161.72999999999999</v>
      </c>
      <c r="K53">
        <v>0</v>
      </c>
      <c r="L53">
        <v>120.41999999999999</v>
      </c>
    </row>
    <row r="54" spans="3:12">
      <c r="C54">
        <v>50</v>
      </c>
      <c r="D54" t="s">
        <v>3054</v>
      </c>
      <c r="E54">
        <v>3</v>
      </c>
      <c r="F54">
        <v>1</v>
      </c>
      <c r="G54">
        <v>202</v>
      </c>
      <c r="H54" t="s">
        <v>3055</v>
      </c>
      <c r="I54">
        <v>287.62</v>
      </c>
      <c r="J54">
        <v>161.72999999999999</v>
      </c>
      <c r="K54">
        <v>0</v>
      </c>
      <c r="L54">
        <v>125.88999999999999</v>
      </c>
    </row>
    <row r="55" spans="3:12">
      <c r="C55">
        <v>51</v>
      </c>
      <c r="D55" t="s">
        <v>3054</v>
      </c>
      <c r="E55">
        <v>3</v>
      </c>
      <c r="F55">
        <v>1</v>
      </c>
      <c r="G55">
        <v>301</v>
      </c>
      <c r="H55" t="s">
        <v>3055</v>
      </c>
      <c r="I55">
        <v>155.21</v>
      </c>
      <c r="J55">
        <v>155.21</v>
      </c>
      <c r="K55">
        <v>0</v>
      </c>
      <c r="L55">
        <v>0</v>
      </c>
    </row>
    <row r="56" spans="3:12">
      <c r="C56">
        <v>52</v>
      </c>
      <c r="D56" t="s">
        <v>3054</v>
      </c>
      <c r="E56">
        <v>3</v>
      </c>
      <c r="F56">
        <v>1</v>
      </c>
      <c r="G56">
        <v>302</v>
      </c>
      <c r="H56" t="s">
        <v>3055</v>
      </c>
      <c r="I56">
        <v>155.21</v>
      </c>
      <c r="J56">
        <v>155.21</v>
      </c>
      <c r="K56">
        <v>0</v>
      </c>
      <c r="L56">
        <v>0</v>
      </c>
    </row>
    <row r="57" spans="3:12">
      <c r="C57">
        <v>53</v>
      </c>
      <c r="D57" t="s">
        <v>3054</v>
      </c>
      <c r="E57">
        <v>3</v>
      </c>
      <c r="F57">
        <v>1</v>
      </c>
      <c r="G57">
        <v>401</v>
      </c>
      <c r="H57" t="s">
        <v>3055</v>
      </c>
      <c r="I57">
        <v>155.21</v>
      </c>
      <c r="J57">
        <v>155.21</v>
      </c>
      <c r="K57">
        <v>0</v>
      </c>
      <c r="L57">
        <v>0</v>
      </c>
    </row>
    <row r="58" spans="3:12">
      <c r="C58">
        <v>54</v>
      </c>
      <c r="D58" t="s">
        <v>3054</v>
      </c>
      <c r="E58">
        <v>3</v>
      </c>
      <c r="F58">
        <v>1</v>
      </c>
      <c r="G58">
        <v>402</v>
      </c>
      <c r="H58" t="s">
        <v>3055</v>
      </c>
      <c r="I58">
        <v>155.21</v>
      </c>
      <c r="J58">
        <v>155.21</v>
      </c>
      <c r="K58">
        <v>0</v>
      </c>
      <c r="L58">
        <v>0</v>
      </c>
    </row>
    <row r="59" spans="3:12">
      <c r="C59">
        <v>55</v>
      </c>
      <c r="D59" t="s">
        <v>3054</v>
      </c>
      <c r="E59">
        <v>3</v>
      </c>
      <c r="F59">
        <v>1</v>
      </c>
      <c r="G59">
        <v>501</v>
      </c>
      <c r="H59" t="s">
        <v>3055</v>
      </c>
      <c r="I59">
        <v>155.21</v>
      </c>
      <c r="J59">
        <v>155.21</v>
      </c>
      <c r="K59">
        <v>0</v>
      </c>
      <c r="L59">
        <v>0</v>
      </c>
    </row>
    <row r="60" spans="3:12">
      <c r="C60">
        <v>56</v>
      </c>
      <c r="D60" t="s">
        <v>3054</v>
      </c>
      <c r="E60">
        <v>3</v>
      </c>
      <c r="F60">
        <v>1</v>
      </c>
      <c r="G60">
        <v>502</v>
      </c>
      <c r="H60" t="s">
        <v>3055</v>
      </c>
      <c r="I60">
        <v>155.21</v>
      </c>
      <c r="J60">
        <v>155.21</v>
      </c>
      <c r="K60">
        <v>0</v>
      </c>
      <c r="L60">
        <v>0</v>
      </c>
    </row>
    <row r="61" spans="3:12">
      <c r="C61">
        <v>57</v>
      </c>
      <c r="D61" t="s">
        <v>3054</v>
      </c>
      <c r="E61">
        <v>3</v>
      </c>
      <c r="F61">
        <v>1</v>
      </c>
      <c r="G61">
        <v>601</v>
      </c>
      <c r="H61" t="s">
        <v>3055</v>
      </c>
      <c r="I61">
        <v>155.21</v>
      </c>
      <c r="J61">
        <v>155.21</v>
      </c>
      <c r="K61">
        <v>0</v>
      </c>
      <c r="L61">
        <v>0</v>
      </c>
    </row>
    <row r="62" spans="3:12">
      <c r="C62">
        <v>58</v>
      </c>
      <c r="D62" t="s">
        <v>3054</v>
      </c>
      <c r="E62">
        <v>3</v>
      </c>
      <c r="F62">
        <v>1</v>
      </c>
      <c r="G62">
        <v>602</v>
      </c>
      <c r="H62" t="s">
        <v>3055</v>
      </c>
      <c r="I62">
        <v>155.21</v>
      </c>
      <c r="J62">
        <v>155.21</v>
      </c>
      <c r="K62">
        <v>0</v>
      </c>
      <c r="L62">
        <v>0</v>
      </c>
    </row>
    <row r="63" spans="3:12">
      <c r="C63">
        <v>59</v>
      </c>
      <c r="D63" t="s">
        <v>3054</v>
      </c>
      <c r="E63">
        <v>3</v>
      </c>
      <c r="F63">
        <v>1</v>
      </c>
      <c r="G63">
        <v>701</v>
      </c>
      <c r="H63" t="s">
        <v>3055</v>
      </c>
      <c r="I63">
        <v>155.21</v>
      </c>
      <c r="J63">
        <v>155.21</v>
      </c>
      <c r="K63">
        <v>0</v>
      </c>
      <c r="L63">
        <v>0</v>
      </c>
    </row>
    <row r="64" spans="3:12">
      <c r="C64">
        <v>60</v>
      </c>
      <c r="D64" t="s">
        <v>3054</v>
      </c>
      <c r="E64">
        <v>3</v>
      </c>
      <c r="F64">
        <v>1</v>
      </c>
      <c r="G64">
        <v>702</v>
      </c>
      <c r="H64" t="s">
        <v>3055</v>
      </c>
      <c r="I64">
        <v>155.21</v>
      </c>
      <c r="J64">
        <v>155.21</v>
      </c>
      <c r="K64">
        <v>0</v>
      </c>
      <c r="L64">
        <v>0</v>
      </c>
    </row>
    <row r="65" spans="3:12">
      <c r="C65">
        <v>61</v>
      </c>
      <c r="D65" t="s">
        <v>3054</v>
      </c>
      <c r="E65">
        <v>3</v>
      </c>
      <c r="F65">
        <v>1</v>
      </c>
      <c r="G65">
        <v>801</v>
      </c>
      <c r="H65" t="s">
        <v>3055</v>
      </c>
      <c r="I65">
        <v>155.21</v>
      </c>
      <c r="J65">
        <v>155.21</v>
      </c>
      <c r="K65">
        <v>0</v>
      </c>
      <c r="L65">
        <v>0</v>
      </c>
    </row>
    <row r="66" spans="3:12">
      <c r="C66">
        <v>62</v>
      </c>
      <c r="D66" t="s">
        <v>3054</v>
      </c>
      <c r="E66">
        <v>3</v>
      </c>
      <c r="F66">
        <v>1</v>
      </c>
      <c r="G66">
        <v>802</v>
      </c>
      <c r="H66" t="s">
        <v>3055</v>
      </c>
      <c r="I66">
        <v>155.21</v>
      </c>
      <c r="J66">
        <v>155.21</v>
      </c>
      <c r="K66">
        <v>0</v>
      </c>
      <c r="L66">
        <v>0</v>
      </c>
    </row>
    <row r="67" spans="3:12">
      <c r="C67">
        <v>63</v>
      </c>
      <c r="D67" t="s">
        <v>3054</v>
      </c>
      <c r="E67">
        <v>3</v>
      </c>
      <c r="F67">
        <v>1</v>
      </c>
      <c r="G67">
        <v>901</v>
      </c>
      <c r="H67" t="s">
        <v>3055</v>
      </c>
      <c r="I67">
        <v>155.21</v>
      </c>
      <c r="J67">
        <v>155.21</v>
      </c>
      <c r="K67">
        <v>0</v>
      </c>
      <c r="L67">
        <v>0</v>
      </c>
    </row>
    <row r="68" spans="3:12">
      <c r="C68">
        <v>64</v>
      </c>
      <c r="D68" t="s">
        <v>3054</v>
      </c>
      <c r="E68">
        <v>3</v>
      </c>
      <c r="F68">
        <v>1</v>
      </c>
      <c r="G68">
        <v>902</v>
      </c>
      <c r="H68" t="s">
        <v>3055</v>
      </c>
      <c r="I68">
        <v>155.21</v>
      </c>
      <c r="J68">
        <v>155.21</v>
      </c>
      <c r="K68">
        <v>0</v>
      </c>
      <c r="L68">
        <v>0</v>
      </c>
    </row>
    <row r="69" spans="3:12">
      <c r="C69">
        <v>65</v>
      </c>
      <c r="D69" t="s">
        <v>3054</v>
      </c>
      <c r="E69">
        <v>3</v>
      </c>
      <c r="F69">
        <v>1</v>
      </c>
      <c r="G69">
        <v>1001</v>
      </c>
      <c r="H69" t="s">
        <v>3055</v>
      </c>
      <c r="I69">
        <v>155.21</v>
      </c>
      <c r="J69">
        <v>155.21</v>
      </c>
      <c r="K69">
        <v>0</v>
      </c>
      <c r="L69">
        <v>0</v>
      </c>
    </row>
    <row r="70" spans="3:12">
      <c r="C70">
        <v>66</v>
      </c>
      <c r="D70" t="s">
        <v>3054</v>
      </c>
      <c r="E70">
        <v>3</v>
      </c>
      <c r="F70">
        <v>1</v>
      </c>
      <c r="G70">
        <v>1002</v>
      </c>
      <c r="H70" t="s">
        <v>3055</v>
      </c>
      <c r="I70">
        <v>155.21</v>
      </c>
      <c r="J70">
        <v>155.21</v>
      </c>
      <c r="K70">
        <v>0</v>
      </c>
      <c r="L70">
        <v>0</v>
      </c>
    </row>
    <row r="71" spans="3:12">
      <c r="C71">
        <v>67</v>
      </c>
      <c r="D71" t="s">
        <v>3054</v>
      </c>
      <c r="E71">
        <v>3</v>
      </c>
      <c r="F71">
        <v>1</v>
      </c>
      <c r="G71">
        <v>1101</v>
      </c>
      <c r="H71" t="s">
        <v>3055</v>
      </c>
      <c r="I71">
        <v>213.31</v>
      </c>
      <c r="J71">
        <v>155.21</v>
      </c>
      <c r="K71">
        <v>58.1</v>
      </c>
      <c r="L71">
        <v>0</v>
      </c>
    </row>
    <row r="72" spans="3:12">
      <c r="C72">
        <v>68</v>
      </c>
      <c r="D72" t="s">
        <v>3054</v>
      </c>
      <c r="E72">
        <v>3</v>
      </c>
      <c r="F72">
        <v>1</v>
      </c>
      <c r="G72">
        <v>1102</v>
      </c>
      <c r="H72" t="s">
        <v>3055</v>
      </c>
      <c r="I72">
        <v>229.44</v>
      </c>
      <c r="J72">
        <v>155.21</v>
      </c>
      <c r="K72">
        <v>74.23</v>
      </c>
      <c r="L72">
        <v>0</v>
      </c>
    </row>
    <row r="73" spans="3:12">
      <c r="C73">
        <v>69</v>
      </c>
      <c r="D73" t="s">
        <v>3054</v>
      </c>
      <c r="E73">
        <v>3</v>
      </c>
      <c r="F73">
        <v>2</v>
      </c>
      <c r="G73">
        <v>103</v>
      </c>
      <c r="H73" t="s">
        <v>3055</v>
      </c>
      <c r="I73">
        <v>395.05</v>
      </c>
      <c r="J73">
        <v>142.59</v>
      </c>
      <c r="K73">
        <v>0</v>
      </c>
      <c r="L73">
        <v>252.45999999999998</v>
      </c>
    </row>
    <row r="74" spans="3:12">
      <c r="C74">
        <v>70</v>
      </c>
      <c r="D74" t="s">
        <v>3054</v>
      </c>
      <c r="E74">
        <v>3</v>
      </c>
      <c r="F74">
        <v>2</v>
      </c>
      <c r="G74">
        <v>104</v>
      </c>
      <c r="H74" t="s">
        <v>3055</v>
      </c>
      <c r="I74">
        <v>395.59</v>
      </c>
      <c r="J74">
        <v>142.59</v>
      </c>
      <c r="K74">
        <v>0</v>
      </c>
      <c r="L74">
        <v>253</v>
      </c>
    </row>
    <row r="75" spans="3:12">
      <c r="C75">
        <v>71</v>
      </c>
      <c r="D75" t="s">
        <v>3054</v>
      </c>
      <c r="E75">
        <v>3</v>
      </c>
      <c r="F75">
        <v>2</v>
      </c>
      <c r="G75">
        <v>203</v>
      </c>
      <c r="H75" t="s">
        <v>3055</v>
      </c>
      <c r="I75">
        <v>287.61</v>
      </c>
      <c r="J75">
        <v>161.72999999999999</v>
      </c>
      <c r="K75">
        <v>0</v>
      </c>
      <c r="L75">
        <v>125.88</v>
      </c>
    </row>
    <row r="76" spans="3:12">
      <c r="C76">
        <v>72</v>
      </c>
      <c r="D76" t="s">
        <v>3054</v>
      </c>
      <c r="E76">
        <v>3</v>
      </c>
      <c r="F76">
        <v>2</v>
      </c>
      <c r="G76">
        <v>204</v>
      </c>
      <c r="H76" t="s">
        <v>3055</v>
      </c>
      <c r="I76">
        <v>282.42</v>
      </c>
      <c r="J76">
        <v>161.72999999999999</v>
      </c>
      <c r="K76">
        <v>0</v>
      </c>
      <c r="L76">
        <v>120.69</v>
      </c>
    </row>
    <row r="77" spans="3:12">
      <c r="C77">
        <v>73</v>
      </c>
      <c r="D77" t="s">
        <v>3054</v>
      </c>
      <c r="E77">
        <v>3</v>
      </c>
      <c r="F77">
        <v>2</v>
      </c>
      <c r="G77">
        <v>303</v>
      </c>
      <c r="H77" t="s">
        <v>3055</v>
      </c>
      <c r="I77">
        <v>155.21</v>
      </c>
      <c r="J77">
        <v>155.21</v>
      </c>
      <c r="K77">
        <v>0</v>
      </c>
      <c r="L77">
        <v>0</v>
      </c>
    </row>
    <row r="78" spans="3:12">
      <c r="C78">
        <v>74</v>
      </c>
      <c r="D78" t="s">
        <v>3054</v>
      </c>
      <c r="E78">
        <v>3</v>
      </c>
      <c r="F78">
        <v>2</v>
      </c>
      <c r="G78">
        <v>304</v>
      </c>
      <c r="H78" t="s">
        <v>3055</v>
      </c>
      <c r="I78">
        <v>155.21</v>
      </c>
      <c r="J78">
        <v>155.21</v>
      </c>
      <c r="K78">
        <v>0</v>
      </c>
      <c r="L78">
        <v>0</v>
      </c>
    </row>
    <row r="79" spans="3:12">
      <c r="C79">
        <v>75</v>
      </c>
      <c r="D79" t="s">
        <v>3054</v>
      </c>
      <c r="E79">
        <v>3</v>
      </c>
      <c r="F79">
        <v>2</v>
      </c>
      <c r="G79">
        <v>403</v>
      </c>
      <c r="H79" t="s">
        <v>3055</v>
      </c>
      <c r="I79">
        <v>155.21</v>
      </c>
      <c r="J79">
        <v>155.21</v>
      </c>
      <c r="K79">
        <v>0</v>
      </c>
      <c r="L79">
        <v>0</v>
      </c>
    </row>
    <row r="80" spans="3:12">
      <c r="C80">
        <v>76</v>
      </c>
      <c r="D80" t="s">
        <v>3054</v>
      </c>
      <c r="E80">
        <v>3</v>
      </c>
      <c r="F80">
        <v>2</v>
      </c>
      <c r="G80">
        <v>404</v>
      </c>
      <c r="H80" t="s">
        <v>3055</v>
      </c>
      <c r="I80">
        <v>155.21</v>
      </c>
      <c r="J80">
        <v>155.21</v>
      </c>
      <c r="K80">
        <v>0</v>
      </c>
      <c r="L80">
        <v>0</v>
      </c>
    </row>
    <row r="81" spans="3:12">
      <c r="C81">
        <v>77</v>
      </c>
      <c r="D81" t="s">
        <v>3054</v>
      </c>
      <c r="E81">
        <v>3</v>
      </c>
      <c r="F81">
        <v>2</v>
      </c>
      <c r="G81">
        <v>503</v>
      </c>
      <c r="H81" t="s">
        <v>3055</v>
      </c>
      <c r="I81">
        <v>155.21</v>
      </c>
      <c r="J81">
        <v>155.21</v>
      </c>
      <c r="K81">
        <v>0</v>
      </c>
      <c r="L81">
        <v>0</v>
      </c>
    </row>
    <row r="82" spans="3:12">
      <c r="C82">
        <v>78</v>
      </c>
      <c r="D82" t="s">
        <v>3054</v>
      </c>
      <c r="E82">
        <v>3</v>
      </c>
      <c r="F82">
        <v>2</v>
      </c>
      <c r="G82">
        <v>504</v>
      </c>
      <c r="H82" t="s">
        <v>3055</v>
      </c>
      <c r="I82">
        <v>155.21</v>
      </c>
      <c r="J82">
        <v>155.21</v>
      </c>
      <c r="K82">
        <v>0</v>
      </c>
      <c r="L82">
        <v>0</v>
      </c>
    </row>
    <row r="83" spans="3:12">
      <c r="C83">
        <v>79</v>
      </c>
      <c r="D83" t="s">
        <v>3054</v>
      </c>
      <c r="E83">
        <v>3</v>
      </c>
      <c r="F83">
        <v>2</v>
      </c>
      <c r="G83">
        <v>603</v>
      </c>
      <c r="H83" t="s">
        <v>3055</v>
      </c>
      <c r="I83">
        <v>155.21</v>
      </c>
      <c r="J83">
        <v>155.21</v>
      </c>
      <c r="K83">
        <v>0</v>
      </c>
      <c r="L83">
        <v>0</v>
      </c>
    </row>
    <row r="84" spans="3:12">
      <c r="C84">
        <v>80</v>
      </c>
      <c r="D84" t="s">
        <v>3054</v>
      </c>
      <c r="E84">
        <v>3</v>
      </c>
      <c r="F84">
        <v>2</v>
      </c>
      <c r="G84">
        <v>604</v>
      </c>
      <c r="H84" t="s">
        <v>3055</v>
      </c>
      <c r="I84">
        <v>155.21</v>
      </c>
      <c r="J84">
        <v>155.21</v>
      </c>
      <c r="K84">
        <v>0</v>
      </c>
      <c r="L84">
        <v>0</v>
      </c>
    </row>
    <row r="85" spans="3:12">
      <c r="C85">
        <v>81</v>
      </c>
      <c r="D85" t="s">
        <v>3054</v>
      </c>
      <c r="E85">
        <v>3</v>
      </c>
      <c r="F85">
        <v>2</v>
      </c>
      <c r="G85">
        <v>703</v>
      </c>
      <c r="H85" t="s">
        <v>3055</v>
      </c>
      <c r="I85">
        <v>155.21</v>
      </c>
      <c r="J85">
        <v>155.21</v>
      </c>
      <c r="K85">
        <v>0</v>
      </c>
      <c r="L85">
        <v>0</v>
      </c>
    </row>
    <row r="86" spans="3:12">
      <c r="C86">
        <v>82</v>
      </c>
      <c r="D86" t="s">
        <v>3054</v>
      </c>
      <c r="E86">
        <v>3</v>
      </c>
      <c r="F86">
        <v>2</v>
      </c>
      <c r="G86">
        <v>704</v>
      </c>
      <c r="H86" t="s">
        <v>3055</v>
      </c>
      <c r="I86">
        <v>155.21</v>
      </c>
      <c r="J86">
        <v>155.21</v>
      </c>
      <c r="K86">
        <v>0</v>
      </c>
      <c r="L86">
        <v>0</v>
      </c>
    </row>
    <row r="87" spans="3:12">
      <c r="C87">
        <v>83</v>
      </c>
      <c r="D87" t="s">
        <v>3054</v>
      </c>
      <c r="E87">
        <v>3</v>
      </c>
      <c r="F87">
        <v>2</v>
      </c>
      <c r="G87">
        <v>803</v>
      </c>
      <c r="H87" t="s">
        <v>3055</v>
      </c>
      <c r="I87">
        <v>155.21</v>
      </c>
      <c r="J87">
        <v>155.21</v>
      </c>
      <c r="K87">
        <v>0</v>
      </c>
      <c r="L87">
        <v>0</v>
      </c>
    </row>
    <row r="88" spans="3:12">
      <c r="C88">
        <v>84</v>
      </c>
      <c r="D88" t="s">
        <v>3054</v>
      </c>
      <c r="E88">
        <v>3</v>
      </c>
      <c r="F88">
        <v>2</v>
      </c>
      <c r="G88">
        <v>804</v>
      </c>
      <c r="H88" t="s">
        <v>3055</v>
      </c>
      <c r="I88">
        <v>155.21</v>
      </c>
      <c r="J88">
        <v>155.21</v>
      </c>
      <c r="K88">
        <v>0</v>
      </c>
      <c r="L88">
        <v>0</v>
      </c>
    </row>
    <row r="89" spans="3:12">
      <c r="C89">
        <v>85</v>
      </c>
      <c r="D89" t="s">
        <v>3054</v>
      </c>
      <c r="E89">
        <v>3</v>
      </c>
      <c r="F89">
        <v>2</v>
      </c>
      <c r="G89">
        <v>903</v>
      </c>
      <c r="H89" t="s">
        <v>3055</v>
      </c>
      <c r="I89">
        <v>155.21</v>
      </c>
      <c r="J89">
        <v>155.21</v>
      </c>
      <c r="K89">
        <v>0</v>
      </c>
      <c r="L89">
        <v>0</v>
      </c>
    </row>
    <row r="90" spans="3:12">
      <c r="C90">
        <v>86</v>
      </c>
      <c r="D90" t="s">
        <v>3054</v>
      </c>
      <c r="E90">
        <v>3</v>
      </c>
      <c r="F90">
        <v>2</v>
      </c>
      <c r="G90">
        <v>904</v>
      </c>
      <c r="H90" t="s">
        <v>3055</v>
      </c>
      <c r="I90">
        <v>155.21</v>
      </c>
      <c r="J90">
        <v>155.21</v>
      </c>
      <c r="K90">
        <v>0</v>
      </c>
      <c r="L90">
        <v>0</v>
      </c>
    </row>
    <row r="91" spans="3:12">
      <c r="C91">
        <v>87</v>
      </c>
      <c r="D91" t="s">
        <v>3054</v>
      </c>
      <c r="E91">
        <v>3</v>
      </c>
      <c r="F91">
        <v>2</v>
      </c>
      <c r="G91">
        <v>1003</v>
      </c>
      <c r="H91" t="s">
        <v>3055</v>
      </c>
      <c r="I91">
        <v>155.21</v>
      </c>
      <c r="J91">
        <v>155.21</v>
      </c>
      <c r="K91">
        <v>0</v>
      </c>
      <c r="L91">
        <v>0</v>
      </c>
    </row>
    <row r="92" spans="3:12">
      <c r="C92">
        <v>88</v>
      </c>
      <c r="D92" t="s">
        <v>3054</v>
      </c>
      <c r="E92">
        <v>3</v>
      </c>
      <c r="F92">
        <v>2</v>
      </c>
      <c r="G92">
        <v>1004</v>
      </c>
      <c r="H92" t="s">
        <v>3055</v>
      </c>
      <c r="I92">
        <v>155.21</v>
      </c>
      <c r="J92">
        <v>155.21</v>
      </c>
      <c r="K92">
        <v>0</v>
      </c>
      <c r="L92">
        <v>0</v>
      </c>
    </row>
    <row r="93" spans="3:12">
      <c r="C93">
        <v>89</v>
      </c>
      <c r="D93" t="s">
        <v>3054</v>
      </c>
      <c r="E93">
        <v>3</v>
      </c>
      <c r="F93">
        <v>2</v>
      </c>
      <c r="G93">
        <v>1103</v>
      </c>
      <c r="H93" t="s">
        <v>3055</v>
      </c>
      <c r="I93">
        <v>229.44</v>
      </c>
      <c r="J93">
        <v>155.21</v>
      </c>
      <c r="K93">
        <v>74.23</v>
      </c>
      <c r="L93">
        <v>0</v>
      </c>
    </row>
    <row r="94" spans="3:12">
      <c r="C94">
        <v>90</v>
      </c>
      <c r="D94" t="s">
        <v>3054</v>
      </c>
      <c r="E94">
        <v>3</v>
      </c>
      <c r="F94">
        <v>2</v>
      </c>
      <c r="G94">
        <v>1104</v>
      </c>
      <c r="H94" t="s">
        <v>3055</v>
      </c>
      <c r="I94">
        <v>213.31</v>
      </c>
      <c r="J94">
        <v>155.21</v>
      </c>
      <c r="K94">
        <v>58.1</v>
      </c>
      <c r="L94">
        <v>0</v>
      </c>
    </row>
    <row r="95" spans="3:12">
      <c r="C95">
        <v>91</v>
      </c>
      <c r="D95" t="s">
        <v>3054</v>
      </c>
      <c r="E95">
        <v>4</v>
      </c>
      <c r="F95">
        <v>1</v>
      </c>
      <c r="G95">
        <v>101</v>
      </c>
      <c r="H95" t="s">
        <v>3055</v>
      </c>
      <c r="I95">
        <v>409.64</v>
      </c>
      <c r="J95">
        <v>142.97</v>
      </c>
      <c r="K95">
        <v>0</v>
      </c>
      <c r="L95">
        <v>266.67</v>
      </c>
    </row>
    <row r="96" spans="3:12">
      <c r="C96">
        <v>92</v>
      </c>
      <c r="D96" t="s">
        <v>3054</v>
      </c>
      <c r="E96">
        <v>4</v>
      </c>
      <c r="F96">
        <v>1</v>
      </c>
      <c r="G96">
        <v>102</v>
      </c>
      <c r="H96" t="s">
        <v>3055</v>
      </c>
      <c r="I96">
        <v>409.64</v>
      </c>
      <c r="J96">
        <v>142.97</v>
      </c>
      <c r="K96">
        <v>0</v>
      </c>
      <c r="L96">
        <v>266.67</v>
      </c>
    </row>
    <row r="97" spans="3:12">
      <c r="C97">
        <v>93</v>
      </c>
      <c r="D97" t="s">
        <v>3054</v>
      </c>
      <c r="E97">
        <v>4</v>
      </c>
      <c r="F97">
        <v>1</v>
      </c>
      <c r="G97">
        <v>201</v>
      </c>
      <c r="H97" t="s">
        <v>3055</v>
      </c>
      <c r="I97">
        <v>317.91000000000003</v>
      </c>
      <c r="J97">
        <v>162.16</v>
      </c>
      <c r="K97">
        <v>0</v>
      </c>
      <c r="L97">
        <v>155.75</v>
      </c>
    </row>
    <row r="98" spans="3:12">
      <c r="C98">
        <v>94</v>
      </c>
      <c r="D98" t="s">
        <v>3054</v>
      </c>
      <c r="E98">
        <v>4</v>
      </c>
      <c r="F98">
        <v>1</v>
      </c>
      <c r="G98">
        <v>202</v>
      </c>
      <c r="H98" t="s">
        <v>3055</v>
      </c>
      <c r="I98">
        <v>336.75</v>
      </c>
      <c r="J98">
        <v>162.16</v>
      </c>
      <c r="K98">
        <v>0</v>
      </c>
      <c r="L98">
        <v>174.59</v>
      </c>
    </row>
    <row r="99" spans="3:12">
      <c r="C99">
        <v>95</v>
      </c>
      <c r="D99" t="s">
        <v>3054</v>
      </c>
      <c r="E99">
        <v>4</v>
      </c>
      <c r="F99">
        <v>1</v>
      </c>
      <c r="G99">
        <v>301</v>
      </c>
      <c r="H99" t="s">
        <v>3055</v>
      </c>
      <c r="I99">
        <v>155.62</v>
      </c>
      <c r="J99">
        <v>155.62</v>
      </c>
      <c r="K99">
        <v>0</v>
      </c>
      <c r="L99">
        <v>0</v>
      </c>
    </row>
    <row r="100" spans="3:12">
      <c r="C100">
        <v>96</v>
      </c>
      <c r="D100" t="s">
        <v>3054</v>
      </c>
      <c r="E100">
        <v>4</v>
      </c>
      <c r="F100">
        <v>1</v>
      </c>
      <c r="G100">
        <v>302</v>
      </c>
      <c r="H100" t="s">
        <v>3055</v>
      </c>
      <c r="I100">
        <v>155.62</v>
      </c>
      <c r="J100">
        <v>155.62</v>
      </c>
      <c r="K100">
        <v>0</v>
      </c>
      <c r="L100">
        <v>0</v>
      </c>
    </row>
    <row r="101" spans="3:12">
      <c r="C101">
        <v>97</v>
      </c>
      <c r="D101" t="s">
        <v>3054</v>
      </c>
      <c r="E101">
        <v>4</v>
      </c>
      <c r="F101">
        <v>1</v>
      </c>
      <c r="G101">
        <v>401</v>
      </c>
      <c r="H101" t="s">
        <v>3055</v>
      </c>
      <c r="I101">
        <v>155.62</v>
      </c>
      <c r="J101">
        <v>155.62</v>
      </c>
      <c r="K101">
        <v>0</v>
      </c>
      <c r="L101">
        <v>0</v>
      </c>
    </row>
    <row r="102" spans="3:12">
      <c r="C102">
        <v>98</v>
      </c>
      <c r="D102" t="s">
        <v>3054</v>
      </c>
      <c r="E102">
        <v>4</v>
      </c>
      <c r="F102">
        <v>1</v>
      </c>
      <c r="G102">
        <v>402</v>
      </c>
      <c r="H102" t="s">
        <v>3055</v>
      </c>
      <c r="I102">
        <v>155.62</v>
      </c>
      <c r="J102">
        <v>155.62</v>
      </c>
      <c r="K102">
        <v>0</v>
      </c>
      <c r="L102">
        <v>0</v>
      </c>
    </row>
    <row r="103" spans="3:12">
      <c r="C103">
        <v>99</v>
      </c>
      <c r="D103" t="s">
        <v>3054</v>
      </c>
      <c r="E103">
        <v>4</v>
      </c>
      <c r="F103">
        <v>1</v>
      </c>
      <c r="G103">
        <v>501</v>
      </c>
      <c r="H103" t="s">
        <v>3055</v>
      </c>
      <c r="I103">
        <v>155.62</v>
      </c>
      <c r="J103">
        <v>155.62</v>
      </c>
      <c r="K103">
        <v>0</v>
      </c>
      <c r="L103">
        <v>0</v>
      </c>
    </row>
    <row r="104" spans="3:12">
      <c r="C104">
        <v>100</v>
      </c>
      <c r="D104" t="s">
        <v>3054</v>
      </c>
      <c r="E104">
        <v>4</v>
      </c>
      <c r="F104">
        <v>1</v>
      </c>
      <c r="G104">
        <v>502</v>
      </c>
      <c r="H104" t="s">
        <v>3055</v>
      </c>
      <c r="I104">
        <v>155.62</v>
      </c>
      <c r="J104">
        <v>155.62</v>
      </c>
      <c r="K104">
        <v>0</v>
      </c>
      <c r="L104">
        <v>0</v>
      </c>
    </row>
    <row r="105" spans="3:12">
      <c r="C105">
        <v>101</v>
      </c>
      <c r="D105" t="s">
        <v>3054</v>
      </c>
      <c r="E105">
        <v>4</v>
      </c>
      <c r="F105">
        <v>1</v>
      </c>
      <c r="G105">
        <v>601</v>
      </c>
      <c r="H105" t="s">
        <v>3055</v>
      </c>
      <c r="I105">
        <v>155.62</v>
      </c>
      <c r="J105">
        <v>155.62</v>
      </c>
      <c r="K105">
        <v>0</v>
      </c>
      <c r="L105">
        <v>0</v>
      </c>
    </row>
    <row r="106" spans="3:12">
      <c r="C106">
        <v>102</v>
      </c>
      <c r="D106" t="s">
        <v>3054</v>
      </c>
      <c r="E106">
        <v>4</v>
      </c>
      <c r="F106">
        <v>1</v>
      </c>
      <c r="G106">
        <v>602</v>
      </c>
      <c r="H106" t="s">
        <v>3055</v>
      </c>
      <c r="I106">
        <v>155.62</v>
      </c>
      <c r="J106">
        <v>155.62</v>
      </c>
      <c r="K106">
        <v>0</v>
      </c>
      <c r="L106">
        <v>0</v>
      </c>
    </row>
    <row r="107" spans="3:12">
      <c r="C107">
        <v>103</v>
      </c>
      <c r="D107" t="s">
        <v>3054</v>
      </c>
      <c r="E107">
        <v>4</v>
      </c>
      <c r="F107">
        <v>1</v>
      </c>
      <c r="G107">
        <v>701</v>
      </c>
      <c r="H107" t="s">
        <v>3055</v>
      </c>
      <c r="I107">
        <v>155.62</v>
      </c>
      <c r="J107">
        <v>155.62</v>
      </c>
      <c r="K107">
        <v>0</v>
      </c>
      <c r="L107">
        <v>0</v>
      </c>
    </row>
    <row r="108" spans="3:12">
      <c r="C108">
        <v>104</v>
      </c>
      <c r="D108" t="s">
        <v>3054</v>
      </c>
      <c r="E108">
        <v>4</v>
      </c>
      <c r="F108">
        <v>1</v>
      </c>
      <c r="G108">
        <v>702</v>
      </c>
      <c r="H108" t="s">
        <v>3055</v>
      </c>
      <c r="I108">
        <v>155.62</v>
      </c>
      <c r="J108">
        <v>155.62</v>
      </c>
      <c r="K108">
        <v>0</v>
      </c>
      <c r="L108">
        <v>0</v>
      </c>
    </row>
    <row r="109" spans="3:12">
      <c r="C109">
        <v>105</v>
      </c>
      <c r="D109" t="s">
        <v>3054</v>
      </c>
      <c r="E109">
        <v>4</v>
      </c>
      <c r="F109">
        <v>1</v>
      </c>
      <c r="G109">
        <v>801</v>
      </c>
      <c r="H109" t="s">
        <v>3055</v>
      </c>
      <c r="I109">
        <v>155.62</v>
      </c>
      <c r="J109">
        <v>155.62</v>
      </c>
      <c r="K109">
        <v>0</v>
      </c>
      <c r="L109">
        <v>0</v>
      </c>
    </row>
    <row r="110" spans="3:12">
      <c r="C110">
        <v>106</v>
      </c>
      <c r="D110" t="s">
        <v>3054</v>
      </c>
      <c r="E110">
        <v>4</v>
      </c>
      <c r="F110">
        <v>1</v>
      </c>
      <c r="G110">
        <v>802</v>
      </c>
      <c r="H110" t="s">
        <v>3055</v>
      </c>
      <c r="I110">
        <v>155.62</v>
      </c>
      <c r="J110">
        <v>155.62</v>
      </c>
      <c r="K110">
        <v>0</v>
      </c>
      <c r="L110">
        <v>0</v>
      </c>
    </row>
    <row r="111" spans="3:12">
      <c r="C111">
        <v>107</v>
      </c>
      <c r="D111" t="s">
        <v>3054</v>
      </c>
      <c r="E111">
        <v>4</v>
      </c>
      <c r="F111">
        <v>1</v>
      </c>
      <c r="G111">
        <v>901</v>
      </c>
      <c r="H111" t="s">
        <v>3055</v>
      </c>
      <c r="I111">
        <v>155.62</v>
      </c>
      <c r="J111">
        <v>155.62</v>
      </c>
      <c r="K111">
        <v>0</v>
      </c>
      <c r="L111">
        <v>0</v>
      </c>
    </row>
    <row r="112" spans="3:12">
      <c r="C112">
        <v>108</v>
      </c>
      <c r="D112" t="s">
        <v>3054</v>
      </c>
      <c r="E112">
        <v>4</v>
      </c>
      <c r="F112">
        <v>1</v>
      </c>
      <c r="G112">
        <v>902</v>
      </c>
      <c r="H112" t="s">
        <v>3055</v>
      </c>
      <c r="I112">
        <v>155.62</v>
      </c>
      <c r="J112">
        <v>155.62</v>
      </c>
      <c r="K112">
        <v>0</v>
      </c>
      <c r="L112">
        <v>0</v>
      </c>
    </row>
    <row r="113" spans="3:12">
      <c r="C113">
        <v>109</v>
      </c>
      <c r="D113" t="s">
        <v>3054</v>
      </c>
      <c r="E113">
        <v>4</v>
      </c>
      <c r="F113">
        <v>1</v>
      </c>
      <c r="G113">
        <v>1001</v>
      </c>
      <c r="H113" t="s">
        <v>3055</v>
      </c>
      <c r="I113">
        <v>155.62</v>
      </c>
      <c r="J113">
        <v>155.62</v>
      </c>
      <c r="K113">
        <v>0</v>
      </c>
      <c r="L113">
        <v>0</v>
      </c>
    </row>
    <row r="114" spans="3:12">
      <c r="C114">
        <v>110</v>
      </c>
      <c r="D114" t="s">
        <v>3054</v>
      </c>
      <c r="E114">
        <v>4</v>
      </c>
      <c r="F114">
        <v>1</v>
      </c>
      <c r="G114">
        <v>1002</v>
      </c>
      <c r="H114" t="s">
        <v>3055</v>
      </c>
      <c r="I114">
        <v>155.62</v>
      </c>
      <c r="J114">
        <v>155.62</v>
      </c>
      <c r="K114">
        <v>0</v>
      </c>
      <c r="L114">
        <v>0</v>
      </c>
    </row>
    <row r="115" spans="3:12">
      <c r="C115">
        <v>111</v>
      </c>
      <c r="D115" t="s">
        <v>3054</v>
      </c>
      <c r="E115">
        <v>4</v>
      </c>
      <c r="F115">
        <v>1</v>
      </c>
      <c r="G115">
        <v>1101</v>
      </c>
      <c r="H115" t="s">
        <v>3055</v>
      </c>
      <c r="I115">
        <v>213.81</v>
      </c>
      <c r="J115">
        <v>155.62</v>
      </c>
      <c r="K115">
        <v>58.19</v>
      </c>
      <c r="L115">
        <v>0</v>
      </c>
    </row>
    <row r="116" spans="3:12">
      <c r="C116">
        <v>112</v>
      </c>
      <c r="D116" t="s">
        <v>3054</v>
      </c>
      <c r="E116">
        <v>4</v>
      </c>
      <c r="F116">
        <v>1</v>
      </c>
      <c r="G116">
        <v>1102</v>
      </c>
      <c r="H116" t="s">
        <v>3055</v>
      </c>
      <c r="I116">
        <v>229.96</v>
      </c>
      <c r="J116">
        <v>155.62</v>
      </c>
      <c r="K116">
        <v>74.34</v>
      </c>
      <c r="L116">
        <v>0</v>
      </c>
    </row>
    <row r="117" spans="3:12">
      <c r="C117">
        <v>113</v>
      </c>
      <c r="D117" t="s">
        <v>3054</v>
      </c>
      <c r="E117">
        <v>4</v>
      </c>
      <c r="F117">
        <v>2</v>
      </c>
      <c r="G117">
        <v>103</v>
      </c>
      <c r="H117" t="s">
        <v>3055</v>
      </c>
      <c r="I117">
        <v>409.61</v>
      </c>
      <c r="J117">
        <v>142.97</v>
      </c>
      <c r="K117">
        <v>0</v>
      </c>
      <c r="L117">
        <v>266.64</v>
      </c>
    </row>
    <row r="118" spans="3:12">
      <c r="C118">
        <v>114</v>
      </c>
      <c r="D118" t="s">
        <v>3054</v>
      </c>
      <c r="E118">
        <v>4</v>
      </c>
      <c r="F118">
        <v>2</v>
      </c>
      <c r="G118">
        <v>104</v>
      </c>
      <c r="H118" t="s">
        <v>3055</v>
      </c>
      <c r="I118">
        <v>410.17</v>
      </c>
      <c r="J118">
        <v>142.97</v>
      </c>
      <c r="K118">
        <v>0</v>
      </c>
      <c r="L118">
        <v>267.2</v>
      </c>
    </row>
    <row r="119" spans="3:12">
      <c r="C119">
        <v>115</v>
      </c>
      <c r="D119" t="s">
        <v>3054</v>
      </c>
      <c r="E119">
        <v>4</v>
      </c>
      <c r="F119">
        <v>2</v>
      </c>
      <c r="G119">
        <v>203</v>
      </c>
      <c r="H119" t="s">
        <v>3055</v>
      </c>
      <c r="I119">
        <v>336.73</v>
      </c>
      <c r="J119">
        <v>162.16</v>
      </c>
      <c r="K119">
        <v>0</v>
      </c>
      <c r="L119">
        <v>174.57</v>
      </c>
    </row>
    <row r="120" spans="3:12">
      <c r="C120">
        <v>116</v>
      </c>
      <c r="D120" t="s">
        <v>3054</v>
      </c>
      <c r="E120">
        <v>4</v>
      </c>
      <c r="F120">
        <v>2</v>
      </c>
      <c r="G120">
        <v>204</v>
      </c>
      <c r="H120" t="s">
        <v>3055</v>
      </c>
      <c r="I120">
        <v>318.18</v>
      </c>
      <c r="J120">
        <v>162.16</v>
      </c>
      <c r="K120">
        <v>0</v>
      </c>
      <c r="L120">
        <v>156.02000000000001</v>
      </c>
    </row>
    <row r="121" spans="3:12">
      <c r="C121">
        <v>117</v>
      </c>
      <c r="D121" t="s">
        <v>3054</v>
      </c>
      <c r="E121">
        <v>4</v>
      </c>
      <c r="F121">
        <v>2</v>
      </c>
      <c r="G121">
        <v>303</v>
      </c>
      <c r="H121" t="s">
        <v>3055</v>
      </c>
      <c r="I121">
        <v>155.62</v>
      </c>
      <c r="J121">
        <v>155.62</v>
      </c>
      <c r="K121">
        <v>0</v>
      </c>
      <c r="L121">
        <v>0</v>
      </c>
    </row>
    <row r="122" spans="3:12">
      <c r="C122">
        <v>118</v>
      </c>
      <c r="D122" t="s">
        <v>3054</v>
      </c>
      <c r="E122">
        <v>4</v>
      </c>
      <c r="F122">
        <v>2</v>
      </c>
      <c r="G122">
        <v>304</v>
      </c>
      <c r="H122" t="s">
        <v>3055</v>
      </c>
      <c r="I122">
        <v>155.62</v>
      </c>
      <c r="J122">
        <v>155.62</v>
      </c>
      <c r="K122">
        <v>0</v>
      </c>
      <c r="L122">
        <v>0</v>
      </c>
    </row>
    <row r="123" spans="3:12">
      <c r="C123">
        <v>119</v>
      </c>
      <c r="D123" t="s">
        <v>3054</v>
      </c>
      <c r="E123">
        <v>4</v>
      </c>
      <c r="F123">
        <v>2</v>
      </c>
      <c r="G123">
        <v>403</v>
      </c>
      <c r="H123" t="s">
        <v>3055</v>
      </c>
      <c r="I123">
        <v>155.62</v>
      </c>
      <c r="J123">
        <v>155.62</v>
      </c>
      <c r="K123">
        <v>0</v>
      </c>
      <c r="L123">
        <v>0</v>
      </c>
    </row>
    <row r="124" spans="3:12">
      <c r="C124">
        <v>120</v>
      </c>
      <c r="D124" t="s">
        <v>3054</v>
      </c>
      <c r="E124">
        <v>4</v>
      </c>
      <c r="F124">
        <v>2</v>
      </c>
      <c r="G124">
        <v>404</v>
      </c>
      <c r="H124" t="s">
        <v>3055</v>
      </c>
      <c r="I124">
        <v>155.62</v>
      </c>
      <c r="J124">
        <v>155.62</v>
      </c>
      <c r="K124">
        <v>0</v>
      </c>
      <c r="L124">
        <v>0</v>
      </c>
    </row>
    <row r="125" spans="3:12">
      <c r="C125">
        <v>121</v>
      </c>
      <c r="D125" t="s">
        <v>3054</v>
      </c>
      <c r="E125">
        <v>4</v>
      </c>
      <c r="F125">
        <v>2</v>
      </c>
      <c r="G125">
        <v>503</v>
      </c>
      <c r="H125" t="s">
        <v>3055</v>
      </c>
      <c r="I125">
        <v>155.62</v>
      </c>
      <c r="J125">
        <v>155.62</v>
      </c>
      <c r="K125">
        <v>0</v>
      </c>
      <c r="L125">
        <v>0</v>
      </c>
    </row>
    <row r="126" spans="3:12">
      <c r="C126">
        <v>122</v>
      </c>
      <c r="D126" t="s">
        <v>3054</v>
      </c>
      <c r="E126">
        <v>4</v>
      </c>
      <c r="F126">
        <v>2</v>
      </c>
      <c r="G126">
        <v>504</v>
      </c>
      <c r="H126" t="s">
        <v>3055</v>
      </c>
      <c r="I126">
        <v>155.62</v>
      </c>
      <c r="J126">
        <v>155.62</v>
      </c>
      <c r="K126">
        <v>0</v>
      </c>
      <c r="L126">
        <v>0</v>
      </c>
    </row>
    <row r="127" spans="3:12">
      <c r="C127">
        <v>123</v>
      </c>
      <c r="D127" t="s">
        <v>3054</v>
      </c>
      <c r="E127">
        <v>4</v>
      </c>
      <c r="F127">
        <v>2</v>
      </c>
      <c r="G127">
        <v>603</v>
      </c>
      <c r="H127" t="s">
        <v>3055</v>
      </c>
      <c r="I127">
        <v>155.62</v>
      </c>
      <c r="J127">
        <v>155.62</v>
      </c>
      <c r="K127">
        <v>0</v>
      </c>
      <c r="L127">
        <v>0</v>
      </c>
    </row>
    <row r="128" spans="3:12">
      <c r="C128">
        <v>124</v>
      </c>
      <c r="D128" t="s">
        <v>3054</v>
      </c>
      <c r="E128">
        <v>4</v>
      </c>
      <c r="F128">
        <v>2</v>
      </c>
      <c r="G128">
        <v>604</v>
      </c>
      <c r="H128" t="s">
        <v>3055</v>
      </c>
      <c r="I128">
        <v>155.62</v>
      </c>
      <c r="J128">
        <v>155.62</v>
      </c>
      <c r="K128">
        <v>0</v>
      </c>
      <c r="L128">
        <v>0</v>
      </c>
    </row>
    <row r="129" spans="3:12">
      <c r="C129">
        <v>125</v>
      </c>
      <c r="D129" t="s">
        <v>3054</v>
      </c>
      <c r="E129">
        <v>4</v>
      </c>
      <c r="F129">
        <v>2</v>
      </c>
      <c r="G129">
        <v>703</v>
      </c>
      <c r="H129" t="s">
        <v>3055</v>
      </c>
      <c r="I129">
        <v>155.62</v>
      </c>
      <c r="J129">
        <v>155.62</v>
      </c>
      <c r="K129">
        <v>0</v>
      </c>
      <c r="L129">
        <v>0</v>
      </c>
    </row>
    <row r="130" spans="3:12">
      <c r="C130">
        <v>126</v>
      </c>
      <c r="D130" t="s">
        <v>3054</v>
      </c>
      <c r="E130">
        <v>4</v>
      </c>
      <c r="F130">
        <v>2</v>
      </c>
      <c r="G130">
        <v>704</v>
      </c>
      <c r="H130" t="s">
        <v>3055</v>
      </c>
      <c r="I130">
        <v>155.62</v>
      </c>
      <c r="J130">
        <v>155.62</v>
      </c>
      <c r="K130">
        <v>0</v>
      </c>
      <c r="L130">
        <v>0</v>
      </c>
    </row>
    <row r="131" spans="3:12">
      <c r="C131">
        <v>127</v>
      </c>
      <c r="D131" t="s">
        <v>3054</v>
      </c>
      <c r="E131">
        <v>4</v>
      </c>
      <c r="F131">
        <v>2</v>
      </c>
      <c r="G131">
        <v>803</v>
      </c>
      <c r="H131" t="s">
        <v>3055</v>
      </c>
      <c r="I131">
        <v>155.62</v>
      </c>
      <c r="J131">
        <v>155.62</v>
      </c>
      <c r="K131">
        <v>0</v>
      </c>
      <c r="L131">
        <v>0</v>
      </c>
    </row>
    <row r="132" spans="3:12">
      <c r="C132">
        <v>128</v>
      </c>
      <c r="D132" t="s">
        <v>3054</v>
      </c>
      <c r="E132">
        <v>4</v>
      </c>
      <c r="F132">
        <v>2</v>
      </c>
      <c r="G132">
        <v>804</v>
      </c>
      <c r="H132" t="s">
        <v>3055</v>
      </c>
      <c r="I132">
        <v>155.62</v>
      </c>
      <c r="J132">
        <v>155.62</v>
      </c>
      <c r="K132">
        <v>0</v>
      </c>
      <c r="L132">
        <v>0</v>
      </c>
    </row>
    <row r="133" spans="3:12">
      <c r="C133">
        <v>129</v>
      </c>
      <c r="D133" t="s">
        <v>3054</v>
      </c>
      <c r="E133">
        <v>4</v>
      </c>
      <c r="F133">
        <v>2</v>
      </c>
      <c r="G133">
        <v>903</v>
      </c>
      <c r="H133" t="s">
        <v>3055</v>
      </c>
      <c r="I133">
        <v>155.62</v>
      </c>
      <c r="J133">
        <v>155.62</v>
      </c>
      <c r="K133">
        <v>0</v>
      </c>
      <c r="L133">
        <v>0</v>
      </c>
    </row>
    <row r="134" spans="3:12">
      <c r="C134">
        <v>130</v>
      </c>
      <c r="D134" t="s">
        <v>3054</v>
      </c>
      <c r="E134">
        <v>4</v>
      </c>
      <c r="F134">
        <v>2</v>
      </c>
      <c r="G134">
        <v>904</v>
      </c>
      <c r="H134" t="s">
        <v>3055</v>
      </c>
      <c r="I134">
        <v>155.62</v>
      </c>
      <c r="J134">
        <v>155.62</v>
      </c>
      <c r="K134">
        <v>0</v>
      </c>
      <c r="L134">
        <v>0</v>
      </c>
    </row>
    <row r="135" spans="3:12">
      <c r="C135">
        <v>131</v>
      </c>
      <c r="D135" t="s">
        <v>3054</v>
      </c>
      <c r="E135">
        <v>4</v>
      </c>
      <c r="F135">
        <v>2</v>
      </c>
      <c r="G135">
        <v>1003</v>
      </c>
      <c r="H135" t="s">
        <v>3055</v>
      </c>
      <c r="I135">
        <v>155.62</v>
      </c>
      <c r="J135">
        <v>155.62</v>
      </c>
      <c r="K135">
        <v>0</v>
      </c>
      <c r="L135">
        <v>0</v>
      </c>
    </row>
    <row r="136" spans="3:12">
      <c r="C136">
        <v>132</v>
      </c>
      <c r="D136" t="s">
        <v>3054</v>
      </c>
      <c r="E136">
        <v>4</v>
      </c>
      <c r="F136">
        <v>2</v>
      </c>
      <c r="G136">
        <v>1004</v>
      </c>
      <c r="H136" t="s">
        <v>3055</v>
      </c>
      <c r="I136">
        <v>155.62</v>
      </c>
      <c r="J136">
        <v>155.62</v>
      </c>
      <c r="K136">
        <v>0</v>
      </c>
      <c r="L136">
        <v>0</v>
      </c>
    </row>
    <row r="137" spans="3:12">
      <c r="C137">
        <v>133</v>
      </c>
      <c r="D137" t="s">
        <v>3054</v>
      </c>
      <c r="E137">
        <v>4</v>
      </c>
      <c r="F137">
        <v>2</v>
      </c>
      <c r="G137">
        <v>1103</v>
      </c>
      <c r="H137" t="s">
        <v>3055</v>
      </c>
      <c r="I137">
        <v>229.96</v>
      </c>
      <c r="J137">
        <v>155.62</v>
      </c>
      <c r="K137">
        <v>74.34</v>
      </c>
      <c r="L137">
        <v>0</v>
      </c>
    </row>
    <row r="138" spans="3:12">
      <c r="C138">
        <v>134</v>
      </c>
      <c r="D138" t="s">
        <v>3054</v>
      </c>
      <c r="E138">
        <v>4</v>
      </c>
      <c r="F138">
        <v>2</v>
      </c>
      <c r="G138">
        <v>1104</v>
      </c>
      <c r="H138" t="s">
        <v>3055</v>
      </c>
      <c r="I138">
        <v>213.81</v>
      </c>
      <c r="J138">
        <v>155.62</v>
      </c>
      <c r="K138">
        <v>58.19</v>
      </c>
      <c r="L138">
        <v>0</v>
      </c>
    </row>
    <row r="139" spans="3:12">
      <c r="C139">
        <v>135</v>
      </c>
      <c r="D139" t="s">
        <v>3054</v>
      </c>
      <c r="E139">
        <v>5</v>
      </c>
      <c r="F139">
        <v>1</v>
      </c>
      <c r="G139">
        <v>101</v>
      </c>
      <c r="H139" t="s">
        <v>3055</v>
      </c>
      <c r="I139">
        <v>411.69</v>
      </c>
      <c r="J139">
        <v>143.26</v>
      </c>
      <c r="K139">
        <v>0</v>
      </c>
      <c r="L139">
        <v>268.43</v>
      </c>
    </row>
    <row r="140" spans="3:12">
      <c r="C140">
        <v>136</v>
      </c>
      <c r="D140" t="s">
        <v>3054</v>
      </c>
      <c r="E140">
        <v>5</v>
      </c>
      <c r="F140">
        <v>1</v>
      </c>
      <c r="G140">
        <v>102</v>
      </c>
      <c r="H140" t="s">
        <v>3055</v>
      </c>
      <c r="I140">
        <v>411.69</v>
      </c>
      <c r="J140">
        <v>143.26</v>
      </c>
      <c r="K140">
        <v>0</v>
      </c>
      <c r="L140">
        <v>268.43</v>
      </c>
    </row>
    <row r="141" spans="3:12">
      <c r="C141">
        <v>137</v>
      </c>
      <c r="D141" t="s">
        <v>3054</v>
      </c>
      <c r="E141">
        <v>5</v>
      </c>
      <c r="F141">
        <v>1</v>
      </c>
      <c r="G141">
        <v>201</v>
      </c>
      <c r="H141" t="s">
        <v>3055</v>
      </c>
      <c r="I141">
        <v>312.44</v>
      </c>
      <c r="J141">
        <v>162.47999999999999</v>
      </c>
      <c r="K141">
        <v>0</v>
      </c>
      <c r="L141">
        <v>149.96</v>
      </c>
    </row>
    <row r="142" spans="3:12">
      <c r="C142">
        <v>138</v>
      </c>
      <c r="D142" t="s">
        <v>3054</v>
      </c>
      <c r="E142">
        <v>5</v>
      </c>
      <c r="F142">
        <v>1</v>
      </c>
      <c r="G142">
        <v>202</v>
      </c>
      <c r="H142" t="s">
        <v>3055</v>
      </c>
      <c r="I142">
        <v>295.89999999999998</v>
      </c>
      <c r="J142">
        <v>162.47999999999999</v>
      </c>
      <c r="K142">
        <v>0</v>
      </c>
      <c r="L142">
        <v>133.42000000000002</v>
      </c>
    </row>
    <row r="143" spans="3:12">
      <c r="C143">
        <v>139</v>
      </c>
      <c r="D143" t="s">
        <v>3054</v>
      </c>
      <c r="E143">
        <v>5</v>
      </c>
      <c r="F143">
        <v>1</v>
      </c>
      <c r="G143">
        <v>301</v>
      </c>
      <c r="H143" t="s">
        <v>3055</v>
      </c>
      <c r="I143">
        <v>155.93</v>
      </c>
      <c r="J143">
        <v>155.93</v>
      </c>
      <c r="K143">
        <v>0</v>
      </c>
      <c r="L143">
        <v>0</v>
      </c>
    </row>
    <row r="144" spans="3:12">
      <c r="C144">
        <v>140</v>
      </c>
      <c r="D144" t="s">
        <v>3054</v>
      </c>
      <c r="E144">
        <v>5</v>
      </c>
      <c r="F144">
        <v>1</v>
      </c>
      <c r="G144">
        <v>302</v>
      </c>
      <c r="H144" t="s">
        <v>3055</v>
      </c>
      <c r="I144">
        <v>155.93</v>
      </c>
      <c r="J144">
        <v>155.93</v>
      </c>
      <c r="K144">
        <v>0</v>
      </c>
      <c r="L144">
        <v>0</v>
      </c>
    </row>
    <row r="145" spans="3:12">
      <c r="C145">
        <v>141</v>
      </c>
      <c r="D145" t="s">
        <v>3054</v>
      </c>
      <c r="E145">
        <v>5</v>
      </c>
      <c r="F145">
        <v>1</v>
      </c>
      <c r="G145">
        <v>401</v>
      </c>
      <c r="H145" t="s">
        <v>3055</v>
      </c>
      <c r="I145">
        <v>155.93</v>
      </c>
      <c r="J145">
        <v>155.93</v>
      </c>
      <c r="K145">
        <v>0</v>
      </c>
      <c r="L145">
        <v>0</v>
      </c>
    </row>
    <row r="146" spans="3:12">
      <c r="C146">
        <v>142</v>
      </c>
      <c r="D146" t="s">
        <v>3054</v>
      </c>
      <c r="E146">
        <v>5</v>
      </c>
      <c r="F146">
        <v>1</v>
      </c>
      <c r="G146">
        <v>402</v>
      </c>
      <c r="H146" t="s">
        <v>3055</v>
      </c>
      <c r="I146">
        <v>155.93</v>
      </c>
      <c r="J146">
        <v>155.93</v>
      </c>
      <c r="K146">
        <v>0</v>
      </c>
      <c r="L146">
        <v>0</v>
      </c>
    </row>
    <row r="147" spans="3:12">
      <c r="C147">
        <v>143</v>
      </c>
      <c r="D147" t="s">
        <v>3054</v>
      </c>
      <c r="E147">
        <v>5</v>
      </c>
      <c r="F147">
        <v>1</v>
      </c>
      <c r="G147">
        <v>501</v>
      </c>
      <c r="H147" t="s">
        <v>3055</v>
      </c>
      <c r="I147">
        <v>155.93</v>
      </c>
      <c r="J147">
        <v>155.93</v>
      </c>
      <c r="K147">
        <v>0</v>
      </c>
      <c r="L147">
        <v>0</v>
      </c>
    </row>
    <row r="148" spans="3:12">
      <c r="C148">
        <v>144</v>
      </c>
      <c r="D148" t="s">
        <v>3054</v>
      </c>
      <c r="E148">
        <v>5</v>
      </c>
      <c r="F148">
        <v>1</v>
      </c>
      <c r="G148">
        <v>502</v>
      </c>
      <c r="H148" t="s">
        <v>3055</v>
      </c>
      <c r="I148">
        <v>155.93</v>
      </c>
      <c r="J148">
        <v>155.93</v>
      </c>
      <c r="K148">
        <v>0</v>
      </c>
      <c r="L148">
        <v>0</v>
      </c>
    </row>
    <row r="149" spans="3:12">
      <c r="C149">
        <v>145</v>
      </c>
      <c r="D149" t="s">
        <v>3054</v>
      </c>
      <c r="E149">
        <v>5</v>
      </c>
      <c r="F149">
        <v>1</v>
      </c>
      <c r="G149">
        <v>601</v>
      </c>
      <c r="H149" t="s">
        <v>3055</v>
      </c>
      <c r="I149">
        <v>155.93</v>
      </c>
      <c r="J149">
        <v>155.93</v>
      </c>
      <c r="K149">
        <v>0</v>
      </c>
      <c r="L149">
        <v>0</v>
      </c>
    </row>
    <row r="150" spans="3:12">
      <c r="C150">
        <v>146</v>
      </c>
      <c r="D150" t="s">
        <v>3054</v>
      </c>
      <c r="E150">
        <v>5</v>
      </c>
      <c r="F150">
        <v>1</v>
      </c>
      <c r="G150">
        <v>602</v>
      </c>
      <c r="H150" t="s">
        <v>3055</v>
      </c>
      <c r="I150">
        <v>155.93</v>
      </c>
      <c r="J150">
        <v>155.93</v>
      </c>
      <c r="K150">
        <v>0</v>
      </c>
      <c r="L150">
        <v>0</v>
      </c>
    </row>
    <row r="151" spans="3:12">
      <c r="C151">
        <v>147</v>
      </c>
      <c r="D151" t="s">
        <v>3054</v>
      </c>
      <c r="E151">
        <v>5</v>
      </c>
      <c r="F151">
        <v>1</v>
      </c>
      <c r="G151">
        <v>701</v>
      </c>
      <c r="H151" t="s">
        <v>3055</v>
      </c>
      <c r="I151">
        <v>155.93</v>
      </c>
      <c r="J151">
        <v>155.93</v>
      </c>
      <c r="K151">
        <v>0</v>
      </c>
      <c r="L151">
        <v>0</v>
      </c>
    </row>
    <row r="152" spans="3:12">
      <c r="C152">
        <v>148</v>
      </c>
      <c r="D152" t="s">
        <v>3054</v>
      </c>
      <c r="E152">
        <v>5</v>
      </c>
      <c r="F152">
        <v>1</v>
      </c>
      <c r="G152">
        <v>702</v>
      </c>
      <c r="H152" t="s">
        <v>3055</v>
      </c>
      <c r="I152">
        <v>155.93</v>
      </c>
      <c r="J152">
        <v>155.93</v>
      </c>
      <c r="K152">
        <v>0</v>
      </c>
      <c r="L152">
        <v>0</v>
      </c>
    </row>
    <row r="153" spans="3:12">
      <c r="C153">
        <v>149</v>
      </c>
      <c r="D153" t="s">
        <v>3054</v>
      </c>
      <c r="E153">
        <v>5</v>
      </c>
      <c r="F153">
        <v>1</v>
      </c>
      <c r="G153">
        <v>801</v>
      </c>
      <c r="H153" t="s">
        <v>3055</v>
      </c>
      <c r="I153">
        <v>155.93</v>
      </c>
      <c r="J153">
        <v>155.93</v>
      </c>
      <c r="K153">
        <v>0</v>
      </c>
      <c r="L153">
        <v>0</v>
      </c>
    </row>
    <row r="154" spans="3:12">
      <c r="C154">
        <v>150</v>
      </c>
      <c r="D154" t="s">
        <v>3054</v>
      </c>
      <c r="E154">
        <v>5</v>
      </c>
      <c r="F154">
        <v>1</v>
      </c>
      <c r="G154">
        <v>802</v>
      </c>
      <c r="H154" t="s">
        <v>3055</v>
      </c>
      <c r="I154">
        <v>155.93</v>
      </c>
      <c r="J154">
        <v>155.93</v>
      </c>
      <c r="K154">
        <v>0</v>
      </c>
      <c r="L154">
        <v>0</v>
      </c>
    </row>
    <row r="155" spans="3:12">
      <c r="C155">
        <v>151</v>
      </c>
      <c r="D155" t="s">
        <v>3054</v>
      </c>
      <c r="E155">
        <v>5</v>
      </c>
      <c r="F155">
        <v>1</v>
      </c>
      <c r="G155">
        <v>901</v>
      </c>
      <c r="H155" t="s">
        <v>3055</v>
      </c>
      <c r="I155">
        <v>155.93</v>
      </c>
      <c r="J155">
        <v>155.93</v>
      </c>
      <c r="K155">
        <v>0</v>
      </c>
      <c r="L155">
        <v>0</v>
      </c>
    </row>
    <row r="156" spans="3:12">
      <c r="C156">
        <v>152</v>
      </c>
      <c r="D156" t="s">
        <v>3054</v>
      </c>
      <c r="E156">
        <v>5</v>
      </c>
      <c r="F156">
        <v>1</v>
      </c>
      <c r="G156">
        <v>902</v>
      </c>
      <c r="H156" t="s">
        <v>3055</v>
      </c>
      <c r="I156">
        <v>155.93</v>
      </c>
      <c r="J156">
        <v>155.93</v>
      </c>
      <c r="K156">
        <v>0</v>
      </c>
      <c r="L156">
        <v>0</v>
      </c>
    </row>
    <row r="157" spans="3:12">
      <c r="C157">
        <v>153</v>
      </c>
      <c r="D157" t="s">
        <v>3054</v>
      </c>
      <c r="E157">
        <v>5</v>
      </c>
      <c r="F157">
        <v>1</v>
      </c>
      <c r="G157">
        <v>1001</v>
      </c>
      <c r="H157" t="s">
        <v>3055</v>
      </c>
      <c r="I157">
        <v>155.93</v>
      </c>
      <c r="J157">
        <v>155.93</v>
      </c>
      <c r="K157">
        <v>0</v>
      </c>
      <c r="L157">
        <v>0</v>
      </c>
    </row>
    <row r="158" spans="3:12">
      <c r="C158">
        <v>154</v>
      </c>
      <c r="D158" t="s">
        <v>3054</v>
      </c>
      <c r="E158">
        <v>5</v>
      </c>
      <c r="F158">
        <v>1</v>
      </c>
      <c r="G158">
        <v>1002</v>
      </c>
      <c r="H158" t="s">
        <v>3055</v>
      </c>
      <c r="I158">
        <v>155.93</v>
      </c>
      <c r="J158">
        <v>155.93</v>
      </c>
      <c r="K158">
        <v>0</v>
      </c>
      <c r="L158">
        <v>0</v>
      </c>
    </row>
    <row r="159" spans="3:12">
      <c r="C159">
        <v>155</v>
      </c>
      <c r="D159" t="s">
        <v>3054</v>
      </c>
      <c r="E159">
        <v>5</v>
      </c>
      <c r="F159">
        <v>1</v>
      </c>
      <c r="G159">
        <v>1101</v>
      </c>
      <c r="H159" t="s">
        <v>3055</v>
      </c>
      <c r="I159">
        <v>214.22</v>
      </c>
      <c r="J159">
        <v>155.93</v>
      </c>
      <c r="K159">
        <v>58.29</v>
      </c>
      <c r="L159">
        <v>0</v>
      </c>
    </row>
    <row r="160" spans="3:12">
      <c r="C160">
        <v>156</v>
      </c>
      <c r="D160" t="s">
        <v>3054</v>
      </c>
      <c r="E160">
        <v>5</v>
      </c>
      <c r="F160">
        <v>1</v>
      </c>
      <c r="G160">
        <v>1102</v>
      </c>
      <c r="H160" t="s">
        <v>3055</v>
      </c>
      <c r="I160">
        <v>214.22</v>
      </c>
      <c r="J160">
        <v>155.93</v>
      </c>
      <c r="K160">
        <v>58.29</v>
      </c>
      <c r="L160">
        <v>0</v>
      </c>
    </row>
    <row r="161" spans="3:12">
      <c r="C161">
        <v>157</v>
      </c>
      <c r="D161" t="s">
        <v>3054</v>
      </c>
      <c r="E161">
        <v>6</v>
      </c>
      <c r="F161">
        <v>1</v>
      </c>
      <c r="G161">
        <v>101</v>
      </c>
      <c r="H161" t="s">
        <v>3055</v>
      </c>
      <c r="I161">
        <v>410.55</v>
      </c>
      <c r="J161">
        <v>143.28</v>
      </c>
      <c r="K161">
        <v>0</v>
      </c>
      <c r="L161">
        <v>267.27</v>
      </c>
    </row>
    <row r="162" spans="3:12">
      <c r="C162">
        <v>158</v>
      </c>
      <c r="D162" t="s">
        <v>3054</v>
      </c>
      <c r="E162">
        <v>6</v>
      </c>
      <c r="F162">
        <v>1</v>
      </c>
      <c r="G162">
        <v>102</v>
      </c>
      <c r="H162" t="s">
        <v>3055</v>
      </c>
      <c r="I162">
        <v>410.55</v>
      </c>
      <c r="J162">
        <v>143.28</v>
      </c>
      <c r="K162">
        <v>0</v>
      </c>
      <c r="L162">
        <v>267.27</v>
      </c>
    </row>
    <row r="163" spans="3:12">
      <c r="C163">
        <v>159</v>
      </c>
      <c r="D163" t="s">
        <v>3054</v>
      </c>
      <c r="E163">
        <v>6</v>
      </c>
      <c r="F163">
        <v>1</v>
      </c>
      <c r="G163">
        <v>201</v>
      </c>
      <c r="H163" t="s">
        <v>3055</v>
      </c>
      <c r="I163">
        <v>318.85000000000002</v>
      </c>
      <c r="J163">
        <v>162.5</v>
      </c>
      <c r="K163">
        <v>0</v>
      </c>
      <c r="L163">
        <v>156.35</v>
      </c>
    </row>
    <row r="164" spans="3:12">
      <c r="C164">
        <v>160</v>
      </c>
      <c r="D164" t="s">
        <v>3054</v>
      </c>
      <c r="E164">
        <v>6</v>
      </c>
      <c r="F164">
        <v>1</v>
      </c>
      <c r="G164">
        <v>202</v>
      </c>
      <c r="H164" t="s">
        <v>3055</v>
      </c>
      <c r="I164">
        <v>318.61</v>
      </c>
      <c r="J164">
        <v>162.5</v>
      </c>
      <c r="K164">
        <v>0</v>
      </c>
      <c r="L164">
        <v>156.11000000000001</v>
      </c>
    </row>
    <row r="165" spans="3:12">
      <c r="C165">
        <v>161</v>
      </c>
      <c r="D165" t="s">
        <v>3054</v>
      </c>
      <c r="E165">
        <v>6</v>
      </c>
      <c r="F165">
        <v>1</v>
      </c>
      <c r="G165">
        <v>301</v>
      </c>
      <c r="H165" t="s">
        <v>3055</v>
      </c>
      <c r="I165">
        <v>155.94999999999999</v>
      </c>
      <c r="J165">
        <v>155.94999999999999</v>
      </c>
      <c r="K165">
        <v>0</v>
      </c>
      <c r="L165">
        <v>0</v>
      </c>
    </row>
    <row r="166" spans="3:12">
      <c r="C166">
        <v>162</v>
      </c>
      <c r="D166" t="s">
        <v>3054</v>
      </c>
      <c r="E166">
        <v>6</v>
      </c>
      <c r="F166">
        <v>1</v>
      </c>
      <c r="G166">
        <v>302</v>
      </c>
      <c r="H166" t="s">
        <v>3055</v>
      </c>
      <c r="I166">
        <v>155.94999999999999</v>
      </c>
      <c r="J166">
        <v>155.94999999999999</v>
      </c>
      <c r="K166">
        <v>0</v>
      </c>
      <c r="L166">
        <v>0</v>
      </c>
    </row>
    <row r="167" spans="3:12">
      <c r="C167">
        <v>163</v>
      </c>
      <c r="D167" t="s">
        <v>3054</v>
      </c>
      <c r="E167">
        <v>6</v>
      </c>
      <c r="F167">
        <v>1</v>
      </c>
      <c r="G167">
        <v>401</v>
      </c>
      <c r="H167" t="s">
        <v>3055</v>
      </c>
      <c r="I167">
        <v>155.94999999999999</v>
      </c>
      <c r="J167">
        <v>155.94999999999999</v>
      </c>
      <c r="K167">
        <v>0</v>
      </c>
      <c r="L167">
        <v>0</v>
      </c>
    </row>
    <row r="168" spans="3:12">
      <c r="C168">
        <v>164</v>
      </c>
      <c r="D168" t="s">
        <v>3054</v>
      </c>
      <c r="E168">
        <v>6</v>
      </c>
      <c r="F168">
        <v>1</v>
      </c>
      <c r="G168">
        <v>402</v>
      </c>
      <c r="H168" t="s">
        <v>3055</v>
      </c>
      <c r="I168">
        <v>155.94999999999999</v>
      </c>
      <c r="J168">
        <v>155.94999999999999</v>
      </c>
      <c r="K168">
        <v>0</v>
      </c>
      <c r="L168">
        <v>0</v>
      </c>
    </row>
    <row r="169" spans="3:12">
      <c r="C169">
        <v>165</v>
      </c>
      <c r="D169" t="s">
        <v>3054</v>
      </c>
      <c r="E169">
        <v>6</v>
      </c>
      <c r="F169">
        <v>1</v>
      </c>
      <c r="G169">
        <v>501</v>
      </c>
      <c r="H169" t="s">
        <v>3055</v>
      </c>
      <c r="I169">
        <v>155.94999999999999</v>
      </c>
      <c r="J169">
        <v>155.94999999999999</v>
      </c>
      <c r="K169">
        <v>0</v>
      </c>
      <c r="L169">
        <v>0</v>
      </c>
    </row>
    <row r="170" spans="3:12">
      <c r="C170">
        <v>166</v>
      </c>
      <c r="D170" t="s">
        <v>3054</v>
      </c>
      <c r="E170">
        <v>6</v>
      </c>
      <c r="F170">
        <v>1</v>
      </c>
      <c r="G170">
        <v>502</v>
      </c>
      <c r="H170" t="s">
        <v>3055</v>
      </c>
      <c r="I170">
        <v>155.94999999999999</v>
      </c>
      <c r="J170">
        <v>155.94999999999999</v>
      </c>
      <c r="K170">
        <v>0</v>
      </c>
      <c r="L170">
        <v>0</v>
      </c>
    </row>
    <row r="171" spans="3:12">
      <c r="C171">
        <v>167</v>
      </c>
      <c r="D171" t="s">
        <v>3054</v>
      </c>
      <c r="E171">
        <v>6</v>
      </c>
      <c r="F171">
        <v>1</v>
      </c>
      <c r="G171">
        <v>601</v>
      </c>
      <c r="H171" t="s">
        <v>3055</v>
      </c>
      <c r="I171">
        <v>155.94999999999999</v>
      </c>
      <c r="J171">
        <v>155.94999999999999</v>
      </c>
      <c r="K171">
        <v>0</v>
      </c>
      <c r="L171">
        <v>0</v>
      </c>
    </row>
    <row r="172" spans="3:12">
      <c r="C172">
        <v>168</v>
      </c>
      <c r="D172" t="s">
        <v>3054</v>
      </c>
      <c r="E172">
        <v>6</v>
      </c>
      <c r="F172">
        <v>1</v>
      </c>
      <c r="G172">
        <v>602</v>
      </c>
      <c r="H172" t="s">
        <v>3055</v>
      </c>
      <c r="I172">
        <v>155.94999999999999</v>
      </c>
      <c r="J172">
        <v>155.94999999999999</v>
      </c>
      <c r="K172">
        <v>0</v>
      </c>
      <c r="L172">
        <v>0</v>
      </c>
    </row>
    <row r="173" spans="3:12">
      <c r="C173">
        <v>169</v>
      </c>
      <c r="D173" t="s">
        <v>3054</v>
      </c>
      <c r="E173">
        <v>6</v>
      </c>
      <c r="F173">
        <v>1</v>
      </c>
      <c r="G173">
        <v>701</v>
      </c>
      <c r="H173" t="s">
        <v>3055</v>
      </c>
      <c r="I173">
        <v>155.94999999999999</v>
      </c>
      <c r="J173">
        <v>155.94999999999999</v>
      </c>
      <c r="K173">
        <v>0</v>
      </c>
      <c r="L173">
        <v>0</v>
      </c>
    </row>
    <row r="174" spans="3:12">
      <c r="C174">
        <v>170</v>
      </c>
      <c r="D174" t="s">
        <v>3054</v>
      </c>
      <c r="E174">
        <v>6</v>
      </c>
      <c r="F174">
        <v>1</v>
      </c>
      <c r="G174">
        <v>702</v>
      </c>
      <c r="H174" t="s">
        <v>3055</v>
      </c>
      <c r="I174">
        <v>155.94999999999999</v>
      </c>
      <c r="J174">
        <v>155.94999999999999</v>
      </c>
      <c r="K174">
        <v>0</v>
      </c>
      <c r="L174">
        <v>0</v>
      </c>
    </row>
    <row r="175" spans="3:12">
      <c r="C175">
        <v>171</v>
      </c>
      <c r="D175" t="s">
        <v>3054</v>
      </c>
      <c r="E175">
        <v>6</v>
      </c>
      <c r="F175">
        <v>1</v>
      </c>
      <c r="G175">
        <v>801</v>
      </c>
      <c r="H175" t="s">
        <v>3055</v>
      </c>
      <c r="I175">
        <v>155.94999999999999</v>
      </c>
      <c r="J175">
        <v>155.94999999999999</v>
      </c>
      <c r="K175">
        <v>0</v>
      </c>
      <c r="L175">
        <v>0</v>
      </c>
    </row>
    <row r="176" spans="3:12">
      <c r="C176">
        <v>172</v>
      </c>
      <c r="D176" t="s">
        <v>3054</v>
      </c>
      <c r="E176">
        <v>6</v>
      </c>
      <c r="F176">
        <v>1</v>
      </c>
      <c r="G176">
        <v>802</v>
      </c>
      <c r="H176" t="s">
        <v>3055</v>
      </c>
      <c r="I176">
        <v>155.94999999999999</v>
      </c>
      <c r="J176">
        <v>155.94999999999999</v>
      </c>
      <c r="K176">
        <v>0</v>
      </c>
      <c r="L176">
        <v>0</v>
      </c>
    </row>
    <row r="177" spans="3:12">
      <c r="C177">
        <v>173</v>
      </c>
      <c r="D177" t="s">
        <v>3054</v>
      </c>
      <c r="E177">
        <v>6</v>
      </c>
      <c r="F177">
        <v>1</v>
      </c>
      <c r="G177">
        <v>901</v>
      </c>
      <c r="H177" t="s">
        <v>3055</v>
      </c>
      <c r="I177">
        <v>155.94999999999999</v>
      </c>
      <c r="J177">
        <v>155.94999999999999</v>
      </c>
      <c r="K177">
        <v>0</v>
      </c>
      <c r="L177">
        <v>0</v>
      </c>
    </row>
    <row r="178" spans="3:12">
      <c r="C178">
        <v>174</v>
      </c>
      <c r="D178" t="s">
        <v>3054</v>
      </c>
      <c r="E178">
        <v>6</v>
      </c>
      <c r="F178">
        <v>1</v>
      </c>
      <c r="G178">
        <v>902</v>
      </c>
      <c r="H178" t="s">
        <v>3055</v>
      </c>
      <c r="I178">
        <v>155.94999999999999</v>
      </c>
      <c r="J178">
        <v>155.94999999999999</v>
      </c>
      <c r="K178">
        <v>0</v>
      </c>
      <c r="L178">
        <v>0</v>
      </c>
    </row>
    <row r="179" spans="3:12">
      <c r="C179">
        <v>175</v>
      </c>
      <c r="D179" t="s">
        <v>3054</v>
      </c>
      <c r="E179">
        <v>6</v>
      </c>
      <c r="F179">
        <v>1</v>
      </c>
      <c r="G179">
        <v>1001</v>
      </c>
      <c r="H179" t="s">
        <v>3055</v>
      </c>
      <c r="I179">
        <v>155.94999999999999</v>
      </c>
      <c r="J179">
        <v>155.94999999999999</v>
      </c>
      <c r="K179">
        <v>0</v>
      </c>
      <c r="L179">
        <v>0</v>
      </c>
    </row>
    <row r="180" spans="3:12">
      <c r="C180">
        <v>176</v>
      </c>
      <c r="D180" t="s">
        <v>3054</v>
      </c>
      <c r="E180">
        <v>6</v>
      </c>
      <c r="F180">
        <v>1</v>
      </c>
      <c r="G180">
        <v>1002</v>
      </c>
      <c r="H180" t="s">
        <v>3055</v>
      </c>
      <c r="I180">
        <v>155.94999999999999</v>
      </c>
      <c r="J180">
        <v>155.94999999999999</v>
      </c>
      <c r="K180">
        <v>0</v>
      </c>
      <c r="L180">
        <v>0</v>
      </c>
    </row>
    <row r="181" spans="3:12">
      <c r="C181">
        <v>177</v>
      </c>
      <c r="D181" t="s">
        <v>3054</v>
      </c>
      <c r="E181">
        <v>6</v>
      </c>
      <c r="F181">
        <v>1</v>
      </c>
      <c r="G181">
        <v>1101</v>
      </c>
      <c r="H181" t="s">
        <v>3055</v>
      </c>
      <c r="I181">
        <v>214.26</v>
      </c>
      <c r="J181">
        <v>155.94999999999999</v>
      </c>
      <c r="K181">
        <v>58.31</v>
      </c>
      <c r="L181">
        <v>0</v>
      </c>
    </row>
    <row r="182" spans="3:12">
      <c r="C182">
        <v>178</v>
      </c>
      <c r="D182" t="s">
        <v>3054</v>
      </c>
      <c r="E182">
        <v>6</v>
      </c>
      <c r="F182">
        <v>1</v>
      </c>
      <c r="G182">
        <v>1102</v>
      </c>
      <c r="H182" t="s">
        <v>3055</v>
      </c>
      <c r="I182">
        <v>214.26</v>
      </c>
      <c r="J182">
        <v>155.94999999999999</v>
      </c>
      <c r="K182">
        <v>58.31</v>
      </c>
      <c r="L182">
        <v>0</v>
      </c>
    </row>
    <row r="183" spans="3:12">
      <c r="C183">
        <v>179</v>
      </c>
      <c r="D183" t="s">
        <v>3054</v>
      </c>
      <c r="E183">
        <v>7</v>
      </c>
      <c r="F183">
        <v>1</v>
      </c>
      <c r="G183">
        <v>101</v>
      </c>
      <c r="H183" t="s">
        <v>3055</v>
      </c>
      <c r="I183">
        <v>399.32</v>
      </c>
      <c r="J183">
        <v>112.36</v>
      </c>
      <c r="K183">
        <v>0</v>
      </c>
      <c r="L183">
        <v>286.95999999999998</v>
      </c>
    </row>
    <row r="184" spans="3:12">
      <c r="C184">
        <v>180</v>
      </c>
      <c r="D184" t="s">
        <v>3054</v>
      </c>
      <c r="E184">
        <v>7</v>
      </c>
      <c r="F184">
        <v>1</v>
      </c>
      <c r="G184">
        <v>102</v>
      </c>
      <c r="H184" t="s">
        <v>3055</v>
      </c>
      <c r="I184">
        <v>400.06</v>
      </c>
      <c r="J184">
        <v>112.36</v>
      </c>
      <c r="K184">
        <v>0</v>
      </c>
      <c r="L184">
        <v>287.7</v>
      </c>
    </row>
    <row r="185" spans="3:12">
      <c r="C185">
        <v>181</v>
      </c>
      <c r="D185" t="s">
        <v>3054</v>
      </c>
      <c r="E185">
        <v>7</v>
      </c>
      <c r="F185">
        <v>1</v>
      </c>
      <c r="G185">
        <v>601</v>
      </c>
      <c r="H185" t="s">
        <v>3055</v>
      </c>
      <c r="I185">
        <v>145.65</v>
      </c>
      <c r="J185">
        <v>145.65</v>
      </c>
      <c r="K185">
        <v>0</v>
      </c>
      <c r="L185">
        <v>0</v>
      </c>
    </row>
    <row r="186" spans="3:12">
      <c r="C186">
        <v>182</v>
      </c>
      <c r="D186" t="s">
        <v>3054</v>
      </c>
      <c r="E186">
        <v>7</v>
      </c>
      <c r="F186">
        <v>1</v>
      </c>
      <c r="G186">
        <v>1001</v>
      </c>
      <c r="H186" t="s">
        <v>3055</v>
      </c>
      <c r="I186">
        <v>145.65</v>
      </c>
      <c r="J186">
        <v>145.65</v>
      </c>
      <c r="K186">
        <v>0</v>
      </c>
      <c r="L186">
        <v>0</v>
      </c>
    </row>
    <row r="187" spans="3:12">
      <c r="C187">
        <v>183</v>
      </c>
      <c r="D187" t="s">
        <v>3054</v>
      </c>
      <c r="E187">
        <v>7</v>
      </c>
      <c r="F187">
        <v>1</v>
      </c>
      <c r="G187">
        <v>1101</v>
      </c>
      <c r="H187" t="s">
        <v>3055</v>
      </c>
      <c r="I187">
        <v>203.16</v>
      </c>
      <c r="J187">
        <v>145.87</v>
      </c>
      <c r="K187">
        <v>57.29</v>
      </c>
      <c r="L187">
        <v>0</v>
      </c>
    </row>
    <row r="188" spans="3:12">
      <c r="C188">
        <v>184</v>
      </c>
      <c r="D188" t="s">
        <v>3054</v>
      </c>
      <c r="E188">
        <v>7</v>
      </c>
      <c r="F188">
        <v>2</v>
      </c>
      <c r="G188">
        <v>103</v>
      </c>
      <c r="H188" t="s">
        <v>3055</v>
      </c>
      <c r="I188">
        <v>400.64</v>
      </c>
      <c r="J188">
        <v>112.33</v>
      </c>
      <c r="K188">
        <v>0</v>
      </c>
      <c r="L188">
        <v>288.31</v>
      </c>
    </row>
    <row r="189" spans="3:12">
      <c r="C189">
        <v>185</v>
      </c>
      <c r="D189" t="s">
        <v>3054</v>
      </c>
      <c r="E189">
        <v>7</v>
      </c>
      <c r="F189">
        <v>2</v>
      </c>
      <c r="G189">
        <v>104</v>
      </c>
      <c r="H189" t="s">
        <v>3055</v>
      </c>
      <c r="I189">
        <v>387.85</v>
      </c>
      <c r="J189">
        <v>112.33</v>
      </c>
      <c r="K189">
        <v>0</v>
      </c>
      <c r="L189">
        <v>275.52</v>
      </c>
    </row>
    <row r="190" spans="3:12">
      <c r="C190">
        <v>186</v>
      </c>
      <c r="D190" t="s">
        <v>3054</v>
      </c>
      <c r="E190">
        <v>7</v>
      </c>
      <c r="F190">
        <v>2</v>
      </c>
      <c r="G190">
        <v>603</v>
      </c>
      <c r="H190" t="s">
        <v>3055</v>
      </c>
      <c r="I190">
        <v>145.62</v>
      </c>
      <c r="J190">
        <v>145.62</v>
      </c>
      <c r="K190">
        <v>0</v>
      </c>
      <c r="L190">
        <v>0</v>
      </c>
    </row>
    <row r="191" spans="3:12">
      <c r="C191">
        <v>187</v>
      </c>
      <c r="D191" t="s">
        <v>3054</v>
      </c>
      <c r="E191">
        <v>7</v>
      </c>
      <c r="F191">
        <v>2</v>
      </c>
      <c r="G191">
        <v>1103</v>
      </c>
      <c r="H191" t="s">
        <v>3055</v>
      </c>
      <c r="I191">
        <v>221.41</v>
      </c>
      <c r="J191">
        <v>145.84</v>
      </c>
      <c r="K191">
        <v>75.569999999999993</v>
      </c>
      <c r="L191">
        <v>0</v>
      </c>
    </row>
    <row r="192" spans="3:12">
      <c r="C192">
        <v>188</v>
      </c>
      <c r="D192" t="s">
        <v>3054</v>
      </c>
      <c r="E192">
        <v>7</v>
      </c>
      <c r="F192">
        <v>2</v>
      </c>
      <c r="G192">
        <v>1104</v>
      </c>
      <c r="H192" t="s">
        <v>3055</v>
      </c>
      <c r="I192">
        <v>203.12</v>
      </c>
      <c r="J192">
        <v>145.84</v>
      </c>
      <c r="K192">
        <v>57.28</v>
      </c>
      <c r="L192">
        <v>0</v>
      </c>
    </row>
    <row r="193" spans="3:12">
      <c r="C193">
        <v>189</v>
      </c>
      <c r="D193" t="s">
        <v>3054</v>
      </c>
      <c r="E193">
        <v>8</v>
      </c>
      <c r="F193">
        <v>1</v>
      </c>
      <c r="G193">
        <v>301</v>
      </c>
      <c r="H193" t="s">
        <v>3055</v>
      </c>
      <c r="I193">
        <v>143.88999999999999</v>
      </c>
      <c r="J193">
        <v>143.88999999999999</v>
      </c>
      <c r="K193">
        <v>0</v>
      </c>
      <c r="L193">
        <v>0</v>
      </c>
    </row>
    <row r="194" spans="3:12">
      <c r="C194">
        <v>190</v>
      </c>
      <c r="D194" t="s">
        <v>3054</v>
      </c>
      <c r="E194">
        <v>8</v>
      </c>
      <c r="F194">
        <v>1</v>
      </c>
      <c r="G194">
        <v>401</v>
      </c>
      <c r="H194" t="s">
        <v>3055</v>
      </c>
      <c r="I194">
        <v>143.88999999999999</v>
      </c>
      <c r="J194">
        <v>143.88999999999999</v>
      </c>
      <c r="K194">
        <v>0</v>
      </c>
      <c r="L194">
        <v>0</v>
      </c>
    </row>
    <row r="195" spans="3:12">
      <c r="C195">
        <v>191</v>
      </c>
      <c r="D195" t="s">
        <v>3054</v>
      </c>
      <c r="E195">
        <v>8</v>
      </c>
      <c r="F195">
        <v>1</v>
      </c>
      <c r="G195">
        <v>601</v>
      </c>
      <c r="H195" t="s">
        <v>3055</v>
      </c>
      <c r="I195">
        <v>143.88999999999999</v>
      </c>
      <c r="J195">
        <v>143.88999999999999</v>
      </c>
      <c r="K195">
        <v>0</v>
      </c>
      <c r="L195">
        <v>0</v>
      </c>
    </row>
    <row r="196" spans="3:12">
      <c r="C196">
        <v>192</v>
      </c>
      <c r="D196" t="s">
        <v>3054</v>
      </c>
      <c r="E196">
        <v>8</v>
      </c>
      <c r="F196">
        <v>1</v>
      </c>
      <c r="G196">
        <v>701</v>
      </c>
      <c r="H196" t="s">
        <v>3055</v>
      </c>
      <c r="I196">
        <v>143.88999999999999</v>
      </c>
      <c r="J196">
        <v>143.88999999999999</v>
      </c>
      <c r="K196">
        <v>0</v>
      </c>
      <c r="L196">
        <v>0</v>
      </c>
    </row>
    <row r="197" spans="3:12">
      <c r="C197">
        <v>193</v>
      </c>
      <c r="D197" t="s">
        <v>3054</v>
      </c>
      <c r="E197">
        <v>8</v>
      </c>
      <c r="F197">
        <v>1</v>
      </c>
      <c r="G197">
        <v>901</v>
      </c>
      <c r="H197" t="s">
        <v>3055</v>
      </c>
      <c r="I197">
        <v>200.79</v>
      </c>
      <c r="J197">
        <v>143.88999999999999</v>
      </c>
      <c r="K197">
        <v>56.9</v>
      </c>
      <c r="L197">
        <v>0</v>
      </c>
    </row>
    <row r="198" spans="3:12">
      <c r="C198">
        <v>194</v>
      </c>
      <c r="D198" t="s">
        <v>3054</v>
      </c>
      <c r="E198">
        <v>8</v>
      </c>
      <c r="F198">
        <v>2</v>
      </c>
      <c r="G198">
        <v>203</v>
      </c>
      <c r="H198" t="s">
        <v>3055</v>
      </c>
      <c r="I198">
        <v>305.49</v>
      </c>
      <c r="J198">
        <v>151.81</v>
      </c>
      <c r="K198">
        <v>0</v>
      </c>
      <c r="L198">
        <v>153.68</v>
      </c>
    </row>
    <row r="199" spans="3:12">
      <c r="C199">
        <v>195</v>
      </c>
      <c r="D199" t="s">
        <v>3054</v>
      </c>
      <c r="E199">
        <v>9</v>
      </c>
      <c r="F199">
        <v>1</v>
      </c>
      <c r="G199">
        <v>101</v>
      </c>
      <c r="H199" t="s">
        <v>3055</v>
      </c>
      <c r="I199">
        <v>414.58</v>
      </c>
      <c r="J199">
        <v>143.21</v>
      </c>
      <c r="K199">
        <v>0</v>
      </c>
      <c r="L199">
        <v>271.37</v>
      </c>
    </row>
    <row r="200" spans="3:12">
      <c r="C200">
        <v>196</v>
      </c>
      <c r="D200" t="s">
        <v>3054</v>
      </c>
      <c r="E200">
        <v>9</v>
      </c>
      <c r="F200">
        <v>1</v>
      </c>
      <c r="G200">
        <v>102</v>
      </c>
      <c r="H200" t="s">
        <v>3055</v>
      </c>
      <c r="I200">
        <v>414.33</v>
      </c>
      <c r="J200">
        <v>143.21</v>
      </c>
      <c r="K200">
        <v>0</v>
      </c>
      <c r="L200">
        <v>271.12</v>
      </c>
    </row>
    <row r="201" spans="3:12">
      <c r="C201">
        <v>197</v>
      </c>
      <c r="D201" t="s">
        <v>3054</v>
      </c>
      <c r="E201">
        <v>9</v>
      </c>
      <c r="F201">
        <v>1</v>
      </c>
      <c r="G201">
        <v>201</v>
      </c>
      <c r="H201" t="s">
        <v>3055</v>
      </c>
      <c r="I201">
        <v>340.61</v>
      </c>
      <c r="J201">
        <v>162.43</v>
      </c>
      <c r="K201">
        <v>0</v>
      </c>
      <c r="L201">
        <v>178.18</v>
      </c>
    </row>
    <row r="202" spans="3:12">
      <c r="C202">
        <v>198</v>
      </c>
      <c r="D202" t="s">
        <v>3054</v>
      </c>
      <c r="E202">
        <v>9</v>
      </c>
      <c r="F202">
        <v>1</v>
      </c>
      <c r="G202">
        <v>202</v>
      </c>
      <c r="H202" t="s">
        <v>3055</v>
      </c>
      <c r="I202">
        <v>321.39</v>
      </c>
      <c r="J202">
        <v>162.43</v>
      </c>
      <c r="K202">
        <v>0</v>
      </c>
      <c r="L202">
        <v>158.95999999999998</v>
      </c>
    </row>
    <row r="203" spans="3:12">
      <c r="C203">
        <v>199</v>
      </c>
      <c r="D203" t="s">
        <v>3054</v>
      </c>
      <c r="E203">
        <v>9</v>
      </c>
      <c r="F203">
        <v>1</v>
      </c>
      <c r="G203">
        <v>301</v>
      </c>
      <c r="H203" t="s">
        <v>3055</v>
      </c>
      <c r="I203">
        <v>155.88999999999999</v>
      </c>
      <c r="J203">
        <v>155.88999999999999</v>
      </c>
      <c r="K203">
        <v>0</v>
      </c>
      <c r="L203">
        <v>0</v>
      </c>
    </row>
    <row r="204" spans="3:12">
      <c r="C204">
        <v>200</v>
      </c>
      <c r="D204" t="s">
        <v>3054</v>
      </c>
      <c r="E204">
        <v>9</v>
      </c>
      <c r="F204">
        <v>1</v>
      </c>
      <c r="G204">
        <v>302</v>
      </c>
      <c r="H204" t="s">
        <v>3055</v>
      </c>
      <c r="I204">
        <v>155.88999999999999</v>
      </c>
      <c r="J204">
        <v>155.88999999999999</v>
      </c>
      <c r="K204">
        <v>0</v>
      </c>
      <c r="L204">
        <v>0</v>
      </c>
    </row>
    <row r="205" spans="3:12">
      <c r="C205">
        <v>201</v>
      </c>
      <c r="D205" t="s">
        <v>3054</v>
      </c>
      <c r="E205">
        <v>9</v>
      </c>
      <c r="F205">
        <v>1</v>
      </c>
      <c r="G205">
        <v>401</v>
      </c>
      <c r="H205" t="s">
        <v>3055</v>
      </c>
      <c r="I205">
        <v>155.88999999999999</v>
      </c>
      <c r="J205">
        <v>155.88999999999999</v>
      </c>
      <c r="K205">
        <v>0</v>
      </c>
      <c r="L205">
        <v>0</v>
      </c>
    </row>
    <row r="206" spans="3:12">
      <c r="C206">
        <v>202</v>
      </c>
      <c r="D206" t="s">
        <v>3054</v>
      </c>
      <c r="E206">
        <v>9</v>
      </c>
      <c r="F206">
        <v>1</v>
      </c>
      <c r="G206">
        <v>402</v>
      </c>
      <c r="H206" t="s">
        <v>3055</v>
      </c>
      <c r="I206">
        <v>155.88999999999999</v>
      </c>
      <c r="J206">
        <v>155.88999999999999</v>
      </c>
      <c r="K206">
        <v>0</v>
      </c>
      <c r="L206">
        <v>0</v>
      </c>
    </row>
    <row r="207" spans="3:12">
      <c r="C207">
        <v>203</v>
      </c>
      <c r="D207" t="s">
        <v>3054</v>
      </c>
      <c r="E207">
        <v>9</v>
      </c>
      <c r="F207">
        <v>1</v>
      </c>
      <c r="G207">
        <v>501</v>
      </c>
      <c r="H207" t="s">
        <v>3055</v>
      </c>
      <c r="I207">
        <v>155.88999999999999</v>
      </c>
      <c r="J207">
        <v>155.88999999999999</v>
      </c>
      <c r="K207">
        <v>0</v>
      </c>
      <c r="L207">
        <v>0</v>
      </c>
    </row>
    <row r="208" spans="3:12">
      <c r="C208">
        <v>204</v>
      </c>
      <c r="D208" t="s">
        <v>3054</v>
      </c>
      <c r="E208">
        <v>9</v>
      </c>
      <c r="F208">
        <v>1</v>
      </c>
      <c r="G208">
        <v>502</v>
      </c>
      <c r="H208" t="s">
        <v>3055</v>
      </c>
      <c r="I208">
        <v>155.88999999999999</v>
      </c>
      <c r="J208">
        <v>155.88999999999999</v>
      </c>
      <c r="K208">
        <v>0</v>
      </c>
      <c r="L208">
        <v>0</v>
      </c>
    </row>
    <row r="209" spans="3:12">
      <c r="C209">
        <v>205</v>
      </c>
      <c r="D209" t="s">
        <v>3054</v>
      </c>
      <c r="E209">
        <v>9</v>
      </c>
      <c r="F209">
        <v>1</v>
      </c>
      <c r="G209">
        <v>601</v>
      </c>
      <c r="H209" t="s">
        <v>3055</v>
      </c>
      <c r="I209">
        <v>155.88999999999999</v>
      </c>
      <c r="J209">
        <v>155.88999999999999</v>
      </c>
      <c r="K209">
        <v>0</v>
      </c>
      <c r="L209">
        <v>0</v>
      </c>
    </row>
    <row r="210" spans="3:12">
      <c r="C210">
        <v>206</v>
      </c>
      <c r="D210" t="s">
        <v>3054</v>
      </c>
      <c r="E210">
        <v>9</v>
      </c>
      <c r="F210">
        <v>1</v>
      </c>
      <c r="G210">
        <v>602</v>
      </c>
      <c r="H210" t="s">
        <v>3055</v>
      </c>
      <c r="I210">
        <v>155.88999999999999</v>
      </c>
      <c r="J210">
        <v>155.88999999999999</v>
      </c>
      <c r="K210">
        <v>0</v>
      </c>
      <c r="L210">
        <v>0</v>
      </c>
    </row>
    <row r="211" spans="3:12">
      <c r="C211">
        <v>207</v>
      </c>
      <c r="D211" t="s">
        <v>3054</v>
      </c>
      <c r="E211">
        <v>9</v>
      </c>
      <c r="F211">
        <v>1</v>
      </c>
      <c r="G211">
        <v>701</v>
      </c>
      <c r="H211" t="s">
        <v>3055</v>
      </c>
      <c r="I211">
        <v>155.88999999999999</v>
      </c>
      <c r="J211">
        <v>155.88999999999999</v>
      </c>
      <c r="K211">
        <v>0</v>
      </c>
      <c r="L211">
        <v>0</v>
      </c>
    </row>
    <row r="212" spans="3:12">
      <c r="C212">
        <v>208</v>
      </c>
      <c r="D212" t="s">
        <v>3054</v>
      </c>
      <c r="E212">
        <v>9</v>
      </c>
      <c r="F212">
        <v>1</v>
      </c>
      <c r="G212">
        <v>702</v>
      </c>
      <c r="H212" t="s">
        <v>3055</v>
      </c>
      <c r="I212">
        <v>155.88999999999999</v>
      </c>
      <c r="J212">
        <v>155.88999999999999</v>
      </c>
      <c r="K212">
        <v>0</v>
      </c>
      <c r="L212">
        <v>0</v>
      </c>
    </row>
    <row r="213" spans="3:12">
      <c r="C213">
        <v>209</v>
      </c>
      <c r="D213" t="s">
        <v>3054</v>
      </c>
      <c r="E213">
        <v>9</v>
      </c>
      <c r="F213">
        <v>1</v>
      </c>
      <c r="G213">
        <v>801</v>
      </c>
      <c r="H213" t="s">
        <v>3055</v>
      </c>
      <c r="I213">
        <v>155.88999999999999</v>
      </c>
      <c r="J213">
        <v>155.88999999999999</v>
      </c>
      <c r="K213">
        <v>0</v>
      </c>
      <c r="L213">
        <v>0</v>
      </c>
    </row>
    <row r="214" spans="3:12">
      <c r="C214">
        <v>210</v>
      </c>
      <c r="D214" t="s">
        <v>3054</v>
      </c>
      <c r="E214">
        <v>9</v>
      </c>
      <c r="F214">
        <v>1</v>
      </c>
      <c r="G214">
        <v>802</v>
      </c>
      <c r="H214" t="s">
        <v>3055</v>
      </c>
      <c r="I214">
        <v>155.88999999999999</v>
      </c>
      <c r="J214">
        <v>155.88999999999999</v>
      </c>
      <c r="K214">
        <v>0</v>
      </c>
      <c r="L214">
        <v>0</v>
      </c>
    </row>
    <row r="215" spans="3:12">
      <c r="C215">
        <v>211</v>
      </c>
      <c r="D215" t="s">
        <v>3054</v>
      </c>
      <c r="E215">
        <v>9</v>
      </c>
      <c r="F215">
        <v>1</v>
      </c>
      <c r="G215">
        <v>901</v>
      </c>
      <c r="H215" t="s">
        <v>3055</v>
      </c>
      <c r="I215">
        <v>155.88999999999999</v>
      </c>
      <c r="J215">
        <v>155.88999999999999</v>
      </c>
      <c r="K215">
        <v>0</v>
      </c>
      <c r="L215">
        <v>0</v>
      </c>
    </row>
    <row r="216" spans="3:12">
      <c r="C216">
        <v>212</v>
      </c>
      <c r="D216" t="s">
        <v>3054</v>
      </c>
      <c r="E216">
        <v>9</v>
      </c>
      <c r="F216">
        <v>1</v>
      </c>
      <c r="G216">
        <v>902</v>
      </c>
      <c r="H216" t="s">
        <v>3055</v>
      </c>
      <c r="I216">
        <v>155.88999999999999</v>
      </c>
      <c r="J216">
        <v>155.88999999999999</v>
      </c>
      <c r="K216">
        <v>0</v>
      </c>
      <c r="L216">
        <v>0</v>
      </c>
    </row>
    <row r="217" spans="3:12">
      <c r="C217">
        <v>213</v>
      </c>
      <c r="D217" t="s">
        <v>3054</v>
      </c>
      <c r="E217">
        <v>9</v>
      </c>
      <c r="F217">
        <v>1</v>
      </c>
      <c r="G217">
        <v>1001</v>
      </c>
      <c r="H217" t="s">
        <v>3055</v>
      </c>
      <c r="I217">
        <v>155.88999999999999</v>
      </c>
      <c r="J217">
        <v>155.88999999999999</v>
      </c>
      <c r="K217">
        <v>0</v>
      </c>
      <c r="L217">
        <v>0</v>
      </c>
    </row>
    <row r="218" spans="3:12">
      <c r="C218">
        <v>214</v>
      </c>
      <c r="D218" t="s">
        <v>3054</v>
      </c>
      <c r="E218">
        <v>9</v>
      </c>
      <c r="F218">
        <v>1</v>
      </c>
      <c r="G218">
        <v>1002</v>
      </c>
      <c r="H218" t="s">
        <v>3055</v>
      </c>
      <c r="I218">
        <v>155.88999999999999</v>
      </c>
      <c r="J218">
        <v>155.88999999999999</v>
      </c>
      <c r="K218">
        <v>0</v>
      </c>
      <c r="L218">
        <v>0</v>
      </c>
    </row>
    <row r="219" spans="3:12">
      <c r="C219">
        <v>215</v>
      </c>
      <c r="D219" t="s">
        <v>3054</v>
      </c>
      <c r="E219">
        <v>9</v>
      </c>
      <c r="F219">
        <v>1</v>
      </c>
      <c r="G219">
        <v>1101</v>
      </c>
      <c r="H219" t="s">
        <v>3055</v>
      </c>
      <c r="I219">
        <v>214.18</v>
      </c>
      <c r="J219">
        <v>155.88999999999999</v>
      </c>
      <c r="K219">
        <v>58.29</v>
      </c>
      <c r="L219">
        <v>0</v>
      </c>
    </row>
    <row r="220" spans="3:12">
      <c r="C220">
        <v>216</v>
      </c>
      <c r="D220" t="s">
        <v>3054</v>
      </c>
      <c r="E220">
        <v>9</v>
      </c>
      <c r="F220">
        <v>1</v>
      </c>
      <c r="G220">
        <v>1102</v>
      </c>
      <c r="H220" t="s">
        <v>3055</v>
      </c>
      <c r="I220">
        <v>214.18</v>
      </c>
      <c r="J220">
        <v>155.88999999999999</v>
      </c>
      <c r="K220">
        <v>58.29</v>
      </c>
      <c r="L220">
        <v>0</v>
      </c>
    </row>
    <row r="221" spans="3:12">
      <c r="C221">
        <v>217</v>
      </c>
      <c r="D221" t="s">
        <v>3054</v>
      </c>
      <c r="E221">
        <v>10</v>
      </c>
      <c r="F221">
        <v>1</v>
      </c>
      <c r="G221">
        <v>101</v>
      </c>
      <c r="H221" t="s">
        <v>3055</v>
      </c>
      <c r="I221">
        <v>404.45</v>
      </c>
      <c r="J221">
        <v>143.18</v>
      </c>
      <c r="K221">
        <v>0</v>
      </c>
      <c r="L221">
        <v>261.27</v>
      </c>
    </row>
    <row r="222" spans="3:12">
      <c r="C222">
        <v>218</v>
      </c>
      <c r="D222" t="s">
        <v>3054</v>
      </c>
      <c r="E222">
        <v>10</v>
      </c>
      <c r="F222">
        <v>1</v>
      </c>
      <c r="G222">
        <v>102</v>
      </c>
      <c r="H222" t="s">
        <v>3055</v>
      </c>
      <c r="I222">
        <v>404.45</v>
      </c>
      <c r="J222">
        <v>143.18</v>
      </c>
      <c r="K222">
        <v>0</v>
      </c>
      <c r="L222">
        <v>261.27</v>
      </c>
    </row>
    <row r="223" spans="3:12">
      <c r="C223">
        <v>219</v>
      </c>
      <c r="D223" t="s">
        <v>3054</v>
      </c>
      <c r="E223">
        <v>10</v>
      </c>
      <c r="F223">
        <v>1</v>
      </c>
      <c r="G223">
        <v>201</v>
      </c>
      <c r="H223" t="s">
        <v>3055</v>
      </c>
      <c r="I223">
        <v>318.38</v>
      </c>
      <c r="J223">
        <v>162.38999999999999</v>
      </c>
      <c r="K223">
        <v>0</v>
      </c>
      <c r="L223">
        <v>155.99</v>
      </c>
    </row>
    <row r="224" spans="3:12">
      <c r="C224">
        <v>220</v>
      </c>
      <c r="D224" t="s">
        <v>3054</v>
      </c>
      <c r="E224">
        <v>10</v>
      </c>
      <c r="F224">
        <v>1</v>
      </c>
      <c r="G224">
        <v>202</v>
      </c>
      <c r="H224" t="s">
        <v>3055</v>
      </c>
      <c r="I224">
        <v>337.23</v>
      </c>
      <c r="J224">
        <v>162.38999999999999</v>
      </c>
      <c r="K224">
        <v>0</v>
      </c>
      <c r="L224">
        <v>174.84</v>
      </c>
    </row>
    <row r="225" spans="3:12">
      <c r="C225">
        <v>221</v>
      </c>
      <c r="D225" t="s">
        <v>3054</v>
      </c>
      <c r="E225">
        <v>10</v>
      </c>
      <c r="F225">
        <v>1</v>
      </c>
      <c r="G225">
        <v>301</v>
      </c>
      <c r="H225" t="s">
        <v>3055</v>
      </c>
      <c r="I225">
        <v>155.85</v>
      </c>
      <c r="J225">
        <v>155.85</v>
      </c>
      <c r="K225">
        <v>0</v>
      </c>
      <c r="L225">
        <v>0</v>
      </c>
    </row>
    <row r="226" spans="3:12">
      <c r="C226">
        <v>222</v>
      </c>
      <c r="D226" t="s">
        <v>3054</v>
      </c>
      <c r="E226">
        <v>10</v>
      </c>
      <c r="F226">
        <v>1</v>
      </c>
      <c r="G226">
        <v>302</v>
      </c>
      <c r="H226" t="s">
        <v>3055</v>
      </c>
      <c r="I226">
        <v>155.85</v>
      </c>
      <c r="J226">
        <v>155.85</v>
      </c>
      <c r="K226">
        <v>0</v>
      </c>
      <c r="L226">
        <v>0</v>
      </c>
    </row>
    <row r="227" spans="3:12">
      <c r="C227">
        <v>223</v>
      </c>
      <c r="D227" t="s">
        <v>3054</v>
      </c>
      <c r="E227">
        <v>10</v>
      </c>
      <c r="F227">
        <v>1</v>
      </c>
      <c r="G227">
        <v>401</v>
      </c>
      <c r="H227" t="s">
        <v>3055</v>
      </c>
      <c r="I227">
        <v>155.85</v>
      </c>
      <c r="J227">
        <v>155.85</v>
      </c>
      <c r="K227">
        <v>0</v>
      </c>
      <c r="L227">
        <v>0</v>
      </c>
    </row>
    <row r="228" spans="3:12">
      <c r="C228">
        <v>224</v>
      </c>
      <c r="D228" t="s">
        <v>3054</v>
      </c>
      <c r="E228">
        <v>10</v>
      </c>
      <c r="F228">
        <v>1</v>
      </c>
      <c r="G228">
        <v>402</v>
      </c>
      <c r="H228" t="s">
        <v>3055</v>
      </c>
      <c r="I228">
        <v>155.85</v>
      </c>
      <c r="J228">
        <v>155.85</v>
      </c>
      <c r="K228">
        <v>0</v>
      </c>
      <c r="L228">
        <v>0</v>
      </c>
    </row>
    <row r="229" spans="3:12">
      <c r="C229">
        <v>225</v>
      </c>
      <c r="D229" t="s">
        <v>3054</v>
      </c>
      <c r="E229">
        <v>10</v>
      </c>
      <c r="F229">
        <v>1</v>
      </c>
      <c r="G229">
        <v>501</v>
      </c>
      <c r="H229" t="s">
        <v>3055</v>
      </c>
      <c r="I229">
        <v>155.85</v>
      </c>
      <c r="J229">
        <v>155.85</v>
      </c>
      <c r="K229">
        <v>0</v>
      </c>
      <c r="L229">
        <v>0</v>
      </c>
    </row>
    <row r="230" spans="3:12">
      <c r="C230">
        <v>226</v>
      </c>
      <c r="D230" t="s">
        <v>3054</v>
      </c>
      <c r="E230">
        <v>10</v>
      </c>
      <c r="F230">
        <v>1</v>
      </c>
      <c r="G230">
        <v>502</v>
      </c>
      <c r="H230" t="s">
        <v>3055</v>
      </c>
      <c r="I230">
        <v>155.85</v>
      </c>
      <c r="J230">
        <v>155.85</v>
      </c>
      <c r="K230">
        <v>0</v>
      </c>
      <c r="L230">
        <v>0</v>
      </c>
    </row>
    <row r="231" spans="3:12">
      <c r="C231">
        <v>227</v>
      </c>
      <c r="D231" t="s">
        <v>3054</v>
      </c>
      <c r="E231">
        <v>10</v>
      </c>
      <c r="F231">
        <v>1</v>
      </c>
      <c r="G231">
        <v>601</v>
      </c>
      <c r="H231" t="s">
        <v>3055</v>
      </c>
      <c r="I231">
        <v>155.85</v>
      </c>
      <c r="J231">
        <v>155.85</v>
      </c>
      <c r="K231">
        <v>0</v>
      </c>
      <c r="L231">
        <v>0</v>
      </c>
    </row>
    <row r="232" spans="3:12">
      <c r="C232">
        <v>228</v>
      </c>
      <c r="D232" t="s">
        <v>3054</v>
      </c>
      <c r="E232">
        <v>10</v>
      </c>
      <c r="F232">
        <v>1</v>
      </c>
      <c r="G232">
        <v>602</v>
      </c>
      <c r="H232" t="s">
        <v>3055</v>
      </c>
      <c r="I232">
        <v>155.85</v>
      </c>
      <c r="J232">
        <v>155.85</v>
      </c>
      <c r="K232">
        <v>0</v>
      </c>
      <c r="L232">
        <v>0</v>
      </c>
    </row>
    <row r="233" spans="3:12">
      <c r="C233">
        <v>229</v>
      </c>
      <c r="D233" t="s">
        <v>3054</v>
      </c>
      <c r="E233">
        <v>10</v>
      </c>
      <c r="F233">
        <v>1</v>
      </c>
      <c r="G233">
        <v>701</v>
      </c>
      <c r="H233" t="s">
        <v>3055</v>
      </c>
      <c r="I233">
        <v>155.85</v>
      </c>
      <c r="J233">
        <v>155.85</v>
      </c>
      <c r="K233">
        <v>0</v>
      </c>
      <c r="L233">
        <v>0</v>
      </c>
    </row>
    <row r="234" spans="3:12">
      <c r="C234">
        <v>230</v>
      </c>
      <c r="D234" t="s">
        <v>3054</v>
      </c>
      <c r="E234">
        <v>10</v>
      </c>
      <c r="F234">
        <v>1</v>
      </c>
      <c r="G234">
        <v>702</v>
      </c>
      <c r="H234" t="s">
        <v>3055</v>
      </c>
      <c r="I234">
        <v>155.85</v>
      </c>
      <c r="J234">
        <v>155.85</v>
      </c>
      <c r="K234">
        <v>0</v>
      </c>
      <c r="L234">
        <v>0</v>
      </c>
    </row>
    <row r="235" spans="3:12">
      <c r="C235">
        <v>231</v>
      </c>
      <c r="D235" t="s">
        <v>3054</v>
      </c>
      <c r="E235">
        <v>10</v>
      </c>
      <c r="F235">
        <v>1</v>
      </c>
      <c r="G235">
        <v>801</v>
      </c>
      <c r="H235" t="s">
        <v>3055</v>
      </c>
      <c r="I235">
        <v>155.85</v>
      </c>
      <c r="J235">
        <v>155.85</v>
      </c>
      <c r="K235">
        <v>0</v>
      </c>
      <c r="L235">
        <v>0</v>
      </c>
    </row>
    <row r="236" spans="3:12">
      <c r="C236">
        <v>232</v>
      </c>
      <c r="D236" t="s">
        <v>3054</v>
      </c>
      <c r="E236">
        <v>10</v>
      </c>
      <c r="F236">
        <v>1</v>
      </c>
      <c r="G236">
        <v>802</v>
      </c>
      <c r="H236" t="s">
        <v>3055</v>
      </c>
      <c r="I236">
        <v>155.85</v>
      </c>
      <c r="J236">
        <v>155.85</v>
      </c>
      <c r="K236">
        <v>0</v>
      </c>
      <c r="L236">
        <v>0</v>
      </c>
    </row>
    <row r="237" spans="3:12">
      <c r="C237">
        <v>233</v>
      </c>
      <c r="D237" t="s">
        <v>3054</v>
      </c>
      <c r="E237">
        <v>10</v>
      </c>
      <c r="F237">
        <v>1</v>
      </c>
      <c r="G237">
        <v>901</v>
      </c>
      <c r="H237" t="s">
        <v>3055</v>
      </c>
      <c r="I237">
        <v>155.85</v>
      </c>
      <c r="J237">
        <v>155.85</v>
      </c>
      <c r="K237">
        <v>0</v>
      </c>
      <c r="L237">
        <v>0</v>
      </c>
    </row>
    <row r="238" spans="3:12">
      <c r="C238">
        <v>234</v>
      </c>
      <c r="D238" t="s">
        <v>3054</v>
      </c>
      <c r="E238">
        <v>10</v>
      </c>
      <c r="F238">
        <v>1</v>
      </c>
      <c r="G238">
        <v>902</v>
      </c>
      <c r="H238" t="s">
        <v>3055</v>
      </c>
      <c r="I238">
        <v>155.85</v>
      </c>
      <c r="J238">
        <v>155.85</v>
      </c>
      <c r="K238">
        <v>0</v>
      </c>
      <c r="L238">
        <v>0</v>
      </c>
    </row>
    <row r="239" spans="3:12">
      <c r="C239">
        <v>235</v>
      </c>
      <c r="D239" t="s">
        <v>3054</v>
      </c>
      <c r="E239">
        <v>10</v>
      </c>
      <c r="F239">
        <v>1</v>
      </c>
      <c r="G239">
        <v>1001</v>
      </c>
      <c r="H239" t="s">
        <v>3055</v>
      </c>
      <c r="I239">
        <v>155.85</v>
      </c>
      <c r="J239">
        <v>155.85</v>
      </c>
      <c r="K239">
        <v>0</v>
      </c>
      <c r="L239">
        <v>0</v>
      </c>
    </row>
    <row r="240" spans="3:12">
      <c r="C240">
        <v>236</v>
      </c>
      <c r="D240" t="s">
        <v>3054</v>
      </c>
      <c r="E240">
        <v>10</v>
      </c>
      <c r="F240">
        <v>1</v>
      </c>
      <c r="G240">
        <v>1002</v>
      </c>
      <c r="H240" t="s">
        <v>3055</v>
      </c>
      <c r="I240">
        <v>155.85</v>
      </c>
      <c r="J240">
        <v>155.85</v>
      </c>
      <c r="K240">
        <v>0</v>
      </c>
      <c r="L240">
        <v>0</v>
      </c>
    </row>
    <row r="241" spans="3:12">
      <c r="C241">
        <v>237</v>
      </c>
      <c r="D241" t="s">
        <v>3054</v>
      </c>
      <c r="E241">
        <v>10</v>
      </c>
      <c r="F241">
        <v>1</v>
      </c>
      <c r="G241">
        <v>1101</v>
      </c>
      <c r="H241" t="s">
        <v>3055</v>
      </c>
      <c r="I241">
        <v>214.12</v>
      </c>
      <c r="J241">
        <v>155.85</v>
      </c>
      <c r="K241">
        <v>58.27</v>
      </c>
      <c r="L241">
        <v>0</v>
      </c>
    </row>
    <row r="242" spans="3:12">
      <c r="C242">
        <v>238</v>
      </c>
      <c r="D242" t="s">
        <v>3054</v>
      </c>
      <c r="E242">
        <v>10</v>
      </c>
      <c r="F242">
        <v>1</v>
      </c>
      <c r="G242">
        <v>1102</v>
      </c>
      <c r="H242" t="s">
        <v>3055</v>
      </c>
      <c r="I242">
        <v>214.12</v>
      </c>
      <c r="J242">
        <v>155.85</v>
      </c>
      <c r="K242">
        <v>58.27</v>
      </c>
      <c r="L242">
        <v>0</v>
      </c>
    </row>
    <row r="243" spans="3:12">
      <c r="C243">
        <v>239</v>
      </c>
      <c r="D243" t="s">
        <v>3054</v>
      </c>
      <c r="E243">
        <v>10</v>
      </c>
      <c r="F243">
        <v>2</v>
      </c>
      <c r="G243">
        <v>103</v>
      </c>
      <c r="H243" t="s">
        <v>3055</v>
      </c>
      <c r="I243">
        <v>406.07</v>
      </c>
      <c r="J243">
        <v>143.19</v>
      </c>
      <c r="K243">
        <v>0</v>
      </c>
      <c r="L243">
        <v>262.88</v>
      </c>
    </row>
    <row r="244" spans="3:12">
      <c r="C244">
        <v>240</v>
      </c>
      <c r="D244" t="s">
        <v>3054</v>
      </c>
      <c r="E244">
        <v>10</v>
      </c>
      <c r="F244">
        <v>2</v>
      </c>
      <c r="G244">
        <v>104</v>
      </c>
      <c r="H244" t="s">
        <v>3055</v>
      </c>
      <c r="I244">
        <v>406.07</v>
      </c>
      <c r="J244">
        <v>143.19</v>
      </c>
      <c r="K244">
        <v>0</v>
      </c>
      <c r="L244">
        <v>262.88</v>
      </c>
    </row>
    <row r="245" spans="3:12">
      <c r="C245">
        <v>241</v>
      </c>
      <c r="D245" t="s">
        <v>3054</v>
      </c>
      <c r="E245">
        <v>10</v>
      </c>
      <c r="F245">
        <v>2</v>
      </c>
      <c r="G245">
        <v>203</v>
      </c>
      <c r="H245" t="s">
        <v>3055</v>
      </c>
      <c r="I245">
        <v>338.32</v>
      </c>
      <c r="J245">
        <v>162.4</v>
      </c>
      <c r="K245">
        <v>0</v>
      </c>
      <c r="L245">
        <v>175.92000000000002</v>
      </c>
    </row>
    <row r="246" spans="3:12">
      <c r="C246">
        <v>242</v>
      </c>
      <c r="D246" t="s">
        <v>3054</v>
      </c>
      <c r="E246">
        <v>10</v>
      </c>
      <c r="F246">
        <v>2</v>
      </c>
      <c r="G246">
        <v>204</v>
      </c>
      <c r="H246" t="s">
        <v>3055</v>
      </c>
      <c r="I246">
        <v>319.02999999999997</v>
      </c>
      <c r="J246">
        <v>162.4</v>
      </c>
      <c r="K246">
        <v>0</v>
      </c>
      <c r="L246">
        <v>156.63</v>
      </c>
    </row>
    <row r="247" spans="3:12">
      <c r="C247">
        <v>243</v>
      </c>
      <c r="D247" t="s">
        <v>3054</v>
      </c>
      <c r="E247">
        <v>10</v>
      </c>
      <c r="F247">
        <v>2</v>
      </c>
      <c r="G247">
        <v>303</v>
      </c>
      <c r="H247" t="s">
        <v>3055</v>
      </c>
      <c r="I247">
        <v>155.86000000000001</v>
      </c>
      <c r="J247">
        <v>155.86000000000001</v>
      </c>
      <c r="K247">
        <v>0</v>
      </c>
      <c r="L247">
        <v>0</v>
      </c>
    </row>
    <row r="248" spans="3:12">
      <c r="C248">
        <v>244</v>
      </c>
      <c r="D248" t="s">
        <v>3054</v>
      </c>
      <c r="E248">
        <v>10</v>
      </c>
      <c r="F248">
        <v>2</v>
      </c>
      <c r="G248">
        <v>304</v>
      </c>
      <c r="H248" t="s">
        <v>3055</v>
      </c>
      <c r="I248">
        <v>155.86000000000001</v>
      </c>
      <c r="J248">
        <v>155.86000000000001</v>
      </c>
      <c r="K248">
        <v>0</v>
      </c>
      <c r="L248">
        <v>0</v>
      </c>
    </row>
    <row r="249" spans="3:12">
      <c r="C249">
        <v>245</v>
      </c>
      <c r="D249" t="s">
        <v>3054</v>
      </c>
      <c r="E249">
        <v>10</v>
      </c>
      <c r="F249">
        <v>2</v>
      </c>
      <c r="G249">
        <v>403</v>
      </c>
      <c r="H249" t="s">
        <v>3055</v>
      </c>
      <c r="I249">
        <v>155.86000000000001</v>
      </c>
      <c r="J249">
        <v>155.86000000000001</v>
      </c>
      <c r="K249">
        <v>0</v>
      </c>
      <c r="L249">
        <v>0</v>
      </c>
    </row>
    <row r="250" spans="3:12">
      <c r="C250">
        <v>246</v>
      </c>
      <c r="D250" t="s">
        <v>3054</v>
      </c>
      <c r="E250">
        <v>10</v>
      </c>
      <c r="F250">
        <v>2</v>
      </c>
      <c r="G250">
        <v>404</v>
      </c>
      <c r="H250" t="s">
        <v>3055</v>
      </c>
      <c r="I250">
        <v>155.86000000000001</v>
      </c>
      <c r="J250">
        <v>155.86000000000001</v>
      </c>
      <c r="K250">
        <v>0</v>
      </c>
      <c r="L250">
        <v>0</v>
      </c>
    </row>
    <row r="251" spans="3:12">
      <c r="C251">
        <v>247</v>
      </c>
      <c r="D251" t="s">
        <v>3054</v>
      </c>
      <c r="E251">
        <v>10</v>
      </c>
      <c r="F251">
        <v>2</v>
      </c>
      <c r="G251">
        <v>503</v>
      </c>
      <c r="H251" t="s">
        <v>3055</v>
      </c>
      <c r="I251">
        <v>155.86000000000001</v>
      </c>
      <c r="J251">
        <v>155.86000000000001</v>
      </c>
      <c r="K251">
        <v>0</v>
      </c>
      <c r="L251">
        <v>0</v>
      </c>
    </row>
    <row r="252" spans="3:12">
      <c r="C252">
        <v>248</v>
      </c>
      <c r="D252" t="s">
        <v>3054</v>
      </c>
      <c r="E252">
        <v>10</v>
      </c>
      <c r="F252">
        <v>2</v>
      </c>
      <c r="G252">
        <v>504</v>
      </c>
      <c r="H252" t="s">
        <v>3055</v>
      </c>
      <c r="I252">
        <v>155.86000000000001</v>
      </c>
      <c r="J252">
        <v>155.86000000000001</v>
      </c>
      <c r="K252">
        <v>0</v>
      </c>
      <c r="L252">
        <v>0</v>
      </c>
    </row>
    <row r="253" spans="3:12">
      <c r="C253">
        <v>249</v>
      </c>
      <c r="D253" t="s">
        <v>3054</v>
      </c>
      <c r="E253">
        <v>10</v>
      </c>
      <c r="F253">
        <v>2</v>
      </c>
      <c r="G253">
        <v>603</v>
      </c>
      <c r="H253" t="s">
        <v>3055</v>
      </c>
      <c r="I253">
        <v>155.86000000000001</v>
      </c>
      <c r="J253">
        <v>155.86000000000001</v>
      </c>
      <c r="K253">
        <v>0</v>
      </c>
      <c r="L253">
        <v>0</v>
      </c>
    </row>
    <row r="254" spans="3:12">
      <c r="C254">
        <v>250</v>
      </c>
      <c r="D254" t="s">
        <v>3054</v>
      </c>
      <c r="E254">
        <v>10</v>
      </c>
      <c r="F254">
        <v>2</v>
      </c>
      <c r="G254">
        <v>604</v>
      </c>
      <c r="H254" t="s">
        <v>3055</v>
      </c>
      <c r="I254">
        <v>155.86000000000001</v>
      </c>
      <c r="J254">
        <v>155.86000000000001</v>
      </c>
      <c r="K254">
        <v>0</v>
      </c>
      <c r="L254">
        <v>0</v>
      </c>
    </row>
    <row r="255" spans="3:12">
      <c r="C255">
        <v>251</v>
      </c>
      <c r="D255" t="s">
        <v>3054</v>
      </c>
      <c r="E255">
        <v>10</v>
      </c>
      <c r="F255">
        <v>2</v>
      </c>
      <c r="G255">
        <v>703</v>
      </c>
      <c r="H255" t="s">
        <v>3055</v>
      </c>
      <c r="I255">
        <v>214.21</v>
      </c>
      <c r="J255">
        <v>155.86000000000001</v>
      </c>
      <c r="K255">
        <v>58.35</v>
      </c>
      <c r="L255">
        <v>0</v>
      </c>
    </row>
    <row r="256" spans="3:12">
      <c r="C256">
        <v>252</v>
      </c>
      <c r="D256" t="s">
        <v>3054</v>
      </c>
      <c r="E256">
        <v>10</v>
      </c>
      <c r="F256">
        <v>2</v>
      </c>
      <c r="G256">
        <v>704</v>
      </c>
      <c r="H256" t="s">
        <v>3055</v>
      </c>
      <c r="I256">
        <v>214.21</v>
      </c>
      <c r="J256">
        <v>155.86000000000001</v>
      </c>
      <c r="K256">
        <v>58.35</v>
      </c>
      <c r="L256">
        <v>0</v>
      </c>
    </row>
    <row r="257" spans="3:12">
      <c r="C257">
        <v>253</v>
      </c>
      <c r="D257" t="s">
        <v>3054</v>
      </c>
      <c r="E257">
        <v>11</v>
      </c>
      <c r="F257">
        <v>1</v>
      </c>
      <c r="G257">
        <v>101</v>
      </c>
      <c r="H257" t="s">
        <v>3055</v>
      </c>
      <c r="I257">
        <v>409.72</v>
      </c>
      <c r="J257">
        <v>143</v>
      </c>
      <c r="K257">
        <v>0</v>
      </c>
      <c r="L257">
        <v>266.71999999999997</v>
      </c>
    </row>
    <row r="258" spans="3:12">
      <c r="C258">
        <v>254</v>
      </c>
      <c r="D258" t="s">
        <v>3054</v>
      </c>
      <c r="E258">
        <v>11</v>
      </c>
      <c r="F258">
        <v>1</v>
      </c>
      <c r="G258">
        <v>102</v>
      </c>
      <c r="H258" t="s">
        <v>3055</v>
      </c>
      <c r="I258">
        <v>409.72</v>
      </c>
      <c r="J258">
        <v>143</v>
      </c>
      <c r="K258">
        <v>0</v>
      </c>
      <c r="L258">
        <v>266.71999999999997</v>
      </c>
    </row>
    <row r="259" spans="3:12">
      <c r="C259">
        <v>255</v>
      </c>
      <c r="D259" t="s">
        <v>3054</v>
      </c>
      <c r="E259">
        <v>11</v>
      </c>
      <c r="F259">
        <v>1</v>
      </c>
      <c r="G259">
        <v>201</v>
      </c>
      <c r="H259" t="s">
        <v>3055</v>
      </c>
      <c r="I259">
        <v>317.98</v>
      </c>
      <c r="J259">
        <v>162.19</v>
      </c>
      <c r="K259">
        <v>0</v>
      </c>
      <c r="L259">
        <v>155.79000000000002</v>
      </c>
    </row>
    <row r="260" spans="3:12">
      <c r="C260">
        <v>256</v>
      </c>
      <c r="D260" t="s">
        <v>3054</v>
      </c>
      <c r="E260">
        <v>11</v>
      </c>
      <c r="F260">
        <v>1</v>
      </c>
      <c r="G260">
        <v>202</v>
      </c>
      <c r="H260" t="s">
        <v>3055</v>
      </c>
      <c r="I260">
        <v>336.82</v>
      </c>
      <c r="J260">
        <v>162.19</v>
      </c>
      <c r="K260">
        <v>0</v>
      </c>
      <c r="L260">
        <v>174.63</v>
      </c>
    </row>
    <row r="261" spans="3:12">
      <c r="C261">
        <v>257</v>
      </c>
      <c r="D261" t="s">
        <v>3054</v>
      </c>
      <c r="E261">
        <v>11</v>
      </c>
      <c r="F261">
        <v>1</v>
      </c>
      <c r="G261">
        <v>301</v>
      </c>
      <c r="H261" t="s">
        <v>3055</v>
      </c>
      <c r="I261">
        <v>155.66</v>
      </c>
      <c r="J261">
        <v>155.66</v>
      </c>
      <c r="K261">
        <v>0</v>
      </c>
      <c r="L261">
        <v>0</v>
      </c>
    </row>
    <row r="262" spans="3:12">
      <c r="C262">
        <v>258</v>
      </c>
      <c r="D262" t="s">
        <v>3054</v>
      </c>
      <c r="E262">
        <v>11</v>
      </c>
      <c r="F262">
        <v>1</v>
      </c>
      <c r="G262">
        <v>302</v>
      </c>
      <c r="H262" t="s">
        <v>3055</v>
      </c>
      <c r="I262">
        <v>155.66</v>
      </c>
      <c r="J262">
        <v>155.66</v>
      </c>
      <c r="K262">
        <v>0</v>
      </c>
      <c r="L262">
        <v>0</v>
      </c>
    </row>
    <row r="263" spans="3:12">
      <c r="C263">
        <v>259</v>
      </c>
      <c r="D263" t="s">
        <v>3054</v>
      </c>
      <c r="E263">
        <v>11</v>
      </c>
      <c r="F263">
        <v>1</v>
      </c>
      <c r="G263">
        <v>401</v>
      </c>
      <c r="H263" t="s">
        <v>3055</v>
      </c>
      <c r="I263">
        <v>155.66</v>
      </c>
      <c r="J263">
        <v>155.66</v>
      </c>
      <c r="K263">
        <v>0</v>
      </c>
      <c r="L263">
        <v>0</v>
      </c>
    </row>
    <row r="264" spans="3:12">
      <c r="C264">
        <v>260</v>
      </c>
      <c r="D264" t="s">
        <v>3054</v>
      </c>
      <c r="E264">
        <v>11</v>
      </c>
      <c r="F264">
        <v>1</v>
      </c>
      <c r="G264">
        <v>402</v>
      </c>
      <c r="H264" t="s">
        <v>3055</v>
      </c>
      <c r="I264">
        <v>155.66</v>
      </c>
      <c r="J264">
        <v>155.66</v>
      </c>
      <c r="K264">
        <v>0</v>
      </c>
      <c r="L264">
        <v>0</v>
      </c>
    </row>
    <row r="265" spans="3:12">
      <c r="C265">
        <v>261</v>
      </c>
      <c r="D265" t="s">
        <v>3054</v>
      </c>
      <c r="E265">
        <v>11</v>
      </c>
      <c r="F265">
        <v>1</v>
      </c>
      <c r="G265">
        <v>501</v>
      </c>
      <c r="H265" t="s">
        <v>3055</v>
      </c>
      <c r="I265">
        <v>155.66</v>
      </c>
      <c r="J265">
        <v>155.66</v>
      </c>
      <c r="K265">
        <v>0</v>
      </c>
      <c r="L265">
        <v>0</v>
      </c>
    </row>
    <row r="266" spans="3:12">
      <c r="C266">
        <v>262</v>
      </c>
      <c r="D266" t="s">
        <v>3054</v>
      </c>
      <c r="E266">
        <v>11</v>
      </c>
      <c r="F266">
        <v>1</v>
      </c>
      <c r="G266">
        <v>502</v>
      </c>
      <c r="H266" t="s">
        <v>3055</v>
      </c>
      <c r="I266">
        <v>155.66</v>
      </c>
      <c r="J266">
        <v>155.66</v>
      </c>
      <c r="K266">
        <v>0</v>
      </c>
      <c r="L266">
        <v>0</v>
      </c>
    </row>
    <row r="267" spans="3:12">
      <c r="C267">
        <v>263</v>
      </c>
      <c r="D267" t="s">
        <v>3054</v>
      </c>
      <c r="E267">
        <v>11</v>
      </c>
      <c r="F267">
        <v>1</v>
      </c>
      <c r="G267">
        <v>601</v>
      </c>
      <c r="H267" t="s">
        <v>3055</v>
      </c>
      <c r="I267">
        <v>155.66</v>
      </c>
      <c r="J267">
        <v>155.66</v>
      </c>
      <c r="K267">
        <v>0</v>
      </c>
      <c r="L267">
        <v>0</v>
      </c>
    </row>
    <row r="268" spans="3:12">
      <c r="C268">
        <v>264</v>
      </c>
      <c r="D268" t="s">
        <v>3054</v>
      </c>
      <c r="E268">
        <v>11</v>
      </c>
      <c r="F268">
        <v>1</v>
      </c>
      <c r="G268">
        <v>602</v>
      </c>
      <c r="H268" t="s">
        <v>3055</v>
      </c>
      <c r="I268">
        <v>155.66</v>
      </c>
      <c r="J268">
        <v>155.66</v>
      </c>
      <c r="K268">
        <v>0</v>
      </c>
      <c r="L268">
        <v>0</v>
      </c>
    </row>
    <row r="269" spans="3:12">
      <c r="C269">
        <v>265</v>
      </c>
      <c r="D269" t="s">
        <v>3054</v>
      </c>
      <c r="E269">
        <v>11</v>
      </c>
      <c r="F269">
        <v>1</v>
      </c>
      <c r="G269">
        <v>701</v>
      </c>
      <c r="H269" t="s">
        <v>3055</v>
      </c>
      <c r="I269">
        <v>155.66</v>
      </c>
      <c r="J269">
        <v>155.66</v>
      </c>
      <c r="K269">
        <v>0</v>
      </c>
      <c r="L269">
        <v>0</v>
      </c>
    </row>
    <row r="270" spans="3:12">
      <c r="C270">
        <v>266</v>
      </c>
      <c r="D270" t="s">
        <v>3054</v>
      </c>
      <c r="E270">
        <v>11</v>
      </c>
      <c r="F270">
        <v>1</v>
      </c>
      <c r="G270">
        <v>702</v>
      </c>
      <c r="H270" t="s">
        <v>3055</v>
      </c>
      <c r="I270">
        <v>155.66</v>
      </c>
      <c r="J270">
        <v>155.66</v>
      </c>
      <c r="K270">
        <v>0</v>
      </c>
      <c r="L270">
        <v>0</v>
      </c>
    </row>
    <row r="271" spans="3:12">
      <c r="C271">
        <v>267</v>
      </c>
      <c r="D271" t="s">
        <v>3054</v>
      </c>
      <c r="E271">
        <v>11</v>
      </c>
      <c r="F271">
        <v>1</v>
      </c>
      <c r="G271">
        <v>801</v>
      </c>
      <c r="H271" t="s">
        <v>3055</v>
      </c>
      <c r="I271">
        <v>155.66</v>
      </c>
      <c r="J271">
        <v>155.66</v>
      </c>
      <c r="K271">
        <v>0</v>
      </c>
      <c r="L271">
        <v>0</v>
      </c>
    </row>
    <row r="272" spans="3:12">
      <c r="C272">
        <v>268</v>
      </c>
      <c r="D272" t="s">
        <v>3054</v>
      </c>
      <c r="E272">
        <v>11</v>
      </c>
      <c r="F272">
        <v>1</v>
      </c>
      <c r="G272">
        <v>802</v>
      </c>
      <c r="H272" t="s">
        <v>3055</v>
      </c>
      <c r="I272">
        <v>155.66</v>
      </c>
      <c r="J272">
        <v>155.66</v>
      </c>
      <c r="K272">
        <v>0</v>
      </c>
      <c r="L272">
        <v>0</v>
      </c>
    </row>
    <row r="273" spans="3:12">
      <c r="C273">
        <v>269</v>
      </c>
      <c r="D273" t="s">
        <v>3054</v>
      </c>
      <c r="E273">
        <v>11</v>
      </c>
      <c r="F273">
        <v>1</v>
      </c>
      <c r="G273">
        <v>901</v>
      </c>
      <c r="H273" t="s">
        <v>3055</v>
      </c>
      <c r="I273">
        <v>155.66</v>
      </c>
      <c r="J273">
        <v>155.66</v>
      </c>
      <c r="K273">
        <v>0</v>
      </c>
      <c r="L273">
        <v>0</v>
      </c>
    </row>
    <row r="274" spans="3:12">
      <c r="C274">
        <v>270</v>
      </c>
      <c r="D274" t="s">
        <v>3054</v>
      </c>
      <c r="E274">
        <v>11</v>
      </c>
      <c r="F274">
        <v>1</v>
      </c>
      <c r="G274">
        <v>902</v>
      </c>
      <c r="H274" t="s">
        <v>3055</v>
      </c>
      <c r="I274">
        <v>155.66</v>
      </c>
      <c r="J274">
        <v>155.66</v>
      </c>
      <c r="K274">
        <v>0</v>
      </c>
      <c r="L274">
        <v>0</v>
      </c>
    </row>
    <row r="275" spans="3:12">
      <c r="C275">
        <v>271</v>
      </c>
      <c r="D275" t="s">
        <v>3054</v>
      </c>
      <c r="E275">
        <v>11</v>
      </c>
      <c r="F275">
        <v>1</v>
      </c>
      <c r="G275">
        <v>1001</v>
      </c>
      <c r="H275" t="s">
        <v>3055</v>
      </c>
      <c r="I275">
        <v>155.66</v>
      </c>
      <c r="J275">
        <v>155.66</v>
      </c>
      <c r="K275">
        <v>0</v>
      </c>
      <c r="L275">
        <v>0</v>
      </c>
    </row>
    <row r="276" spans="3:12">
      <c r="C276">
        <v>272</v>
      </c>
      <c r="D276" t="s">
        <v>3054</v>
      </c>
      <c r="E276">
        <v>11</v>
      </c>
      <c r="F276">
        <v>1</v>
      </c>
      <c r="G276">
        <v>1002</v>
      </c>
      <c r="H276" t="s">
        <v>3055</v>
      </c>
      <c r="I276">
        <v>155.66</v>
      </c>
      <c r="J276">
        <v>155.66</v>
      </c>
      <c r="K276">
        <v>0</v>
      </c>
      <c r="L276">
        <v>0</v>
      </c>
    </row>
    <row r="277" spans="3:12">
      <c r="C277">
        <v>273</v>
      </c>
      <c r="D277" t="s">
        <v>3054</v>
      </c>
      <c r="E277">
        <v>11</v>
      </c>
      <c r="F277">
        <v>1</v>
      </c>
      <c r="G277">
        <v>1101</v>
      </c>
      <c r="H277" t="s">
        <v>3055</v>
      </c>
      <c r="I277">
        <v>213.86</v>
      </c>
      <c r="J277">
        <v>155.66</v>
      </c>
      <c r="K277">
        <v>58.2</v>
      </c>
      <c r="L277">
        <v>0</v>
      </c>
    </row>
    <row r="278" spans="3:12">
      <c r="C278">
        <v>274</v>
      </c>
      <c r="D278" t="s">
        <v>3054</v>
      </c>
      <c r="E278">
        <v>11</v>
      </c>
      <c r="F278">
        <v>1</v>
      </c>
      <c r="G278">
        <v>1102</v>
      </c>
      <c r="H278" t="s">
        <v>3055</v>
      </c>
      <c r="I278">
        <v>230.01</v>
      </c>
      <c r="J278">
        <v>155.66</v>
      </c>
      <c r="K278">
        <v>74.349999999999994</v>
      </c>
      <c r="L278">
        <v>0</v>
      </c>
    </row>
    <row r="279" spans="3:12">
      <c r="C279">
        <v>275</v>
      </c>
      <c r="D279" t="s">
        <v>3054</v>
      </c>
      <c r="E279">
        <v>11</v>
      </c>
      <c r="F279">
        <v>2</v>
      </c>
      <c r="G279">
        <v>103</v>
      </c>
      <c r="H279" t="s">
        <v>3055</v>
      </c>
      <c r="I279">
        <v>409.69</v>
      </c>
      <c r="J279">
        <v>143</v>
      </c>
      <c r="K279">
        <v>0</v>
      </c>
      <c r="L279">
        <v>266.69</v>
      </c>
    </row>
    <row r="280" spans="3:12">
      <c r="C280">
        <v>276</v>
      </c>
      <c r="D280" t="s">
        <v>3054</v>
      </c>
      <c r="E280">
        <v>11</v>
      </c>
      <c r="F280">
        <v>2</v>
      </c>
      <c r="G280">
        <v>104</v>
      </c>
      <c r="H280" t="s">
        <v>3055</v>
      </c>
      <c r="I280">
        <v>410.69</v>
      </c>
      <c r="J280">
        <v>143</v>
      </c>
      <c r="K280">
        <v>0</v>
      </c>
      <c r="L280">
        <v>267.69</v>
      </c>
    </row>
    <row r="281" spans="3:12">
      <c r="C281">
        <v>277</v>
      </c>
      <c r="D281" t="s">
        <v>3054</v>
      </c>
      <c r="E281">
        <v>11</v>
      </c>
      <c r="F281">
        <v>2</v>
      </c>
      <c r="G281">
        <v>203</v>
      </c>
      <c r="H281" t="s">
        <v>3055</v>
      </c>
      <c r="I281">
        <v>336.79</v>
      </c>
      <c r="J281">
        <v>162.19</v>
      </c>
      <c r="K281">
        <v>0</v>
      </c>
      <c r="L281">
        <v>174.6</v>
      </c>
    </row>
    <row r="282" spans="3:12">
      <c r="C282">
        <v>278</v>
      </c>
      <c r="D282" t="s">
        <v>3054</v>
      </c>
      <c r="E282">
        <v>11</v>
      </c>
      <c r="F282">
        <v>2</v>
      </c>
      <c r="G282">
        <v>204</v>
      </c>
      <c r="H282" t="s">
        <v>3055</v>
      </c>
      <c r="I282">
        <v>318.52</v>
      </c>
      <c r="J282">
        <v>162.19</v>
      </c>
      <c r="K282">
        <v>0</v>
      </c>
      <c r="L282">
        <v>156.32999999999998</v>
      </c>
    </row>
    <row r="283" spans="3:12">
      <c r="C283">
        <v>279</v>
      </c>
      <c r="D283" t="s">
        <v>3054</v>
      </c>
      <c r="E283">
        <v>11</v>
      </c>
      <c r="F283">
        <v>2</v>
      </c>
      <c r="G283">
        <v>303</v>
      </c>
      <c r="H283" t="s">
        <v>3055</v>
      </c>
      <c r="I283">
        <v>155.66</v>
      </c>
      <c r="J283">
        <v>155.66</v>
      </c>
      <c r="K283">
        <v>0</v>
      </c>
      <c r="L283">
        <v>0</v>
      </c>
    </row>
    <row r="284" spans="3:12">
      <c r="C284">
        <v>280</v>
      </c>
      <c r="D284" t="s">
        <v>3054</v>
      </c>
      <c r="E284">
        <v>11</v>
      </c>
      <c r="F284">
        <v>2</v>
      </c>
      <c r="G284">
        <v>304</v>
      </c>
      <c r="H284" t="s">
        <v>3055</v>
      </c>
      <c r="I284">
        <v>155.66</v>
      </c>
      <c r="J284">
        <v>155.66</v>
      </c>
      <c r="K284">
        <v>0</v>
      </c>
      <c r="L284">
        <v>0</v>
      </c>
    </row>
    <row r="285" spans="3:12">
      <c r="C285">
        <v>281</v>
      </c>
      <c r="D285" t="s">
        <v>3054</v>
      </c>
      <c r="E285">
        <v>11</v>
      </c>
      <c r="F285">
        <v>2</v>
      </c>
      <c r="G285">
        <v>403</v>
      </c>
      <c r="H285" t="s">
        <v>3055</v>
      </c>
      <c r="I285">
        <v>155.66</v>
      </c>
      <c r="J285">
        <v>155.66</v>
      </c>
      <c r="K285">
        <v>0</v>
      </c>
      <c r="L285">
        <v>0</v>
      </c>
    </row>
    <row r="286" spans="3:12">
      <c r="C286">
        <v>282</v>
      </c>
      <c r="D286" t="s">
        <v>3054</v>
      </c>
      <c r="E286">
        <v>11</v>
      </c>
      <c r="F286">
        <v>2</v>
      </c>
      <c r="G286">
        <v>404</v>
      </c>
      <c r="H286" t="s">
        <v>3055</v>
      </c>
      <c r="I286">
        <v>155.66</v>
      </c>
      <c r="J286">
        <v>155.66</v>
      </c>
      <c r="K286">
        <v>0</v>
      </c>
      <c r="L286">
        <v>0</v>
      </c>
    </row>
    <row r="287" spans="3:12">
      <c r="C287">
        <v>283</v>
      </c>
      <c r="D287" t="s">
        <v>3054</v>
      </c>
      <c r="E287">
        <v>11</v>
      </c>
      <c r="F287">
        <v>2</v>
      </c>
      <c r="G287">
        <v>503</v>
      </c>
      <c r="H287" t="s">
        <v>3055</v>
      </c>
      <c r="I287">
        <v>155.66</v>
      </c>
      <c r="J287">
        <v>155.66</v>
      </c>
      <c r="K287">
        <v>0</v>
      </c>
      <c r="L287">
        <v>0</v>
      </c>
    </row>
    <row r="288" spans="3:12">
      <c r="C288">
        <v>284</v>
      </c>
      <c r="D288" t="s">
        <v>3054</v>
      </c>
      <c r="E288">
        <v>11</v>
      </c>
      <c r="F288">
        <v>2</v>
      </c>
      <c r="G288">
        <v>504</v>
      </c>
      <c r="H288" t="s">
        <v>3055</v>
      </c>
      <c r="I288">
        <v>155.66</v>
      </c>
      <c r="J288">
        <v>155.66</v>
      </c>
      <c r="K288">
        <v>0</v>
      </c>
      <c r="L288">
        <v>0</v>
      </c>
    </row>
    <row r="289" spans="3:12">
      <c r="C289">
        <v>285</v>
      </c>
      <c r="D289" t="s">
        <v>3054</v>
      </c>
      <c r="E289">
        <v>11</v>
      </c>
      <c r="F289">
        <v>2</v>
      </c>
      <c r="G289">
        <v>603</v>
      </c>
      <c r="H289" t="s">
        <v>3055</v>
      </c>
      <c r="I289">
        <v>155.66</v>
      </c>
      <c r="J289">
        <v>155.66</v>
      </c>
      <c r="K289">
        <v>0</v>
      </c>
      <c r="L289">
        <v>0</v>
      </c>
    </row>
    <row r="290" spans="3:12">
      <c r="C290">
        <v>286</v>
      </c>
      <c r="D290" t="s">
        <v>3054</v>
      </c>
      <c r="E290">
        <v>11</v>
      </c>
      <c r="F290">
        <v>2</v>
      </c>
      <c r="G290">
        <v>604</v>
      </c>
      <c r="H290" t="s">
        <v>3055</v>
      </c>
      <c r="I290">
        <v>155.66</v>
      </c>
      <c r="J290">
        <v>155.66</v>
      </c>
      <c r="K290">
        <v>0</v>
      </c>
      <c r="L290">
        <v>0</v>
      </c>
    </row>
    <row r="291" spans="3:12">
      <c r="C291">
        <v>287</v>
      </c>
      <c r="D291" t="s">
        <v>3054</v>
      </c>
      <c r="E291">
        <v>11</v>
      </c>
      <c r="F291">
        <v>2</v>
      </c>
      <c r="G291">
        <v>703</v>
      </c>
      <c r="H291" t="s">
        <v>3055</v>
      </c>
      <c r="I291">
        <v>155.66</v>
      </c>
      <c r="J291">
        <v>155.66</v>
      </c>
      <c r="K291">
        <v>0</v>
      </c>
      <c r="L291">
        <v>0</v>
      </c>
    </row>
    <row r="292" spans="3:12">
      <c r="C292">
        <v>288</v>
      </c>
      <c r="D292" t="s">
        <v>3054</v>
      </c>
      <c r="E292">
        <v>11</v>
      </c>
      <c r="F292">
        <v>2</v>
      </c>
      <c r="G292">
        <v>704</v>
      </c>
      <c r="H292" t="s">
        <v>3055</v>
      </c>
      <c r="I292">
        <v>155.66</v>
      </c>
      <c r="J292">
        <v>155.66</v>
      </c>
      <c r="K292">
        <v>0</v>
      </c>
      <c r="L292">
        <v>0</v>
      </c>
    </row>
    <row r="293" spans="3:12">
      <c r="C293">
        <v>289</v>
      </c>
      <c r="D293" t="s">
        <v>3054</v>
      </c>
      <c r="E293">
        <v>11</v>
      </c>
      <c r="F293">
        <v>2</v>
      </c>
      <c r="G293">
        <v>803</v>
      </c>
      <c r="H293" t="s">
        <v>3055</v>
      </c>
      <c r="I293">
        <v>155.66</v>
      </c>
      <c r="J293">
        <v>155.66</v>
      </c>
      <c r="K293">
        <v>0</v>
      </c>
      <c r="L293">
        <v>0</v>
      </c>
    </row>
    <row r="294" spans="3:12">
      <c r="C294">
        <v>290</v>
      </c>
      <c r="D294" t="s">
        <v>3054</v>
      </c>
      <c r="E294">
        <v>11</v>
      </c>
      <c r="F294">
        <v>2</v>
      </c>
      <c r="G294">
        <v>804</v>
      </c>
      <c r="H294" t="s">
        <v>3055</v>
      </c>
      <c r="I294">
        <v>155.66</v>
      </c>
      <c r="J294">
        <v>155.66</v>
      </c>
      <c r="K294">
        <v>0</v>
      </c>
      <c r="L294">
        <v>0</v>
      </c>
    </row>
    <row r="295" spans="3:12">
      <c r="C295">
        <v>291</v>
      </c>
      <c r="D295" t="s">
        <v>3054</v>
      </c>
      <c r="E295">
        <v>11</v>
      </c>
      <c r="F295">
        <v>2</v>
      </c>
      <c r="G295">
        <v>903</v>
      </c>
      <c r="H295" t="s">
        <v>3055</v>
      </c>
      <c r="I295">
        <v>155.66</v>
      </c>
      <c r="J295">
        <v>155.66</v>
      </c>
      <c r="K295">
        <v>0</v>
      </c>
      <c r="L295">
        <v>0</v>
      </c>
    </row>
    <row r="296" spans="3:12">
      <c r="C296">
        <v>292</v>
      </c>
      <c r="D296" t="s">
        <v>3054</v>
      </c>
      <c r="E296">
        <v>11</v>
      </c>
      <c r="F296">
        <v>2</v>
      </c>
      <c r="G296">
        <v>904</v>
      </c>
      <c r="H296" t="s">
        <v>3055</v>
      </c>
      <c r="I296">
        <v>155.66</v>
      </c>
      <c r="J296">
        <v>155.66</v>
      </c>
      <c r="K296">
        <v>0</v>
      </c>
      <c r="L296">
        <v>0</v>
      </c>
    </row>
    <row r="297" spans="3:12">
      <c r="C297">
        <v>293</v>
      </c>
      <c r="D297" t="s">
        <v>3054</v>
      </c>
      <c r="E297">
        <v>11</v>
      </c>
      <c r="F297">
        <v>2</v>
      </c>
      <c r="G297">
        <v>1003</v>
      </c>
      <c r="H297" t="s">
        <v>3055</v>
      </c>
      <c r="I297">
        <v>155.66</v>
      </c>
      <c r="J297">
        <v>155.66</v>
      </c>
      <c r="K297">
        <v>0</v>
      </c>
      <c r="L297">
        <v>0</v>
      </c>
    </row>
    <row r="298" spans="3:12">
      <c r="C298">
        <v>294</v>
      </c>
      <c r="D298" t="s">
        <v>3054</v>
      </c>
      <c r="E298">
        <v>11</v>
      </c>
      <c r="F298">
        <v>2</v>
      </c>
      <c r="G298">
        <v>1004</v>
      </c>
      <c r="H298" t="s">
        <v>3055</v>
      </c>
      <c r="I298">
        <v>155.66</v>
      </c>
      <c r="J298">
        <v>155.66</v>
      </c>
      <c r="K298">
        <v>0</v>
      </c>
      <c r="L298">
        <v>0</v>
      </c>
    </row>
    <row r="299" spans="3:12">
      <c r="C299">
        <v>295</v>
      </c>
      <c r="D299" t="s">
        <v>3054</v>
      </c>
      <c r="E299">
        <v>11</v>
      </c>
      <c r="F299">
        <v>2</v>
      </c>
      <c r="G299">
        <v>1103</v>
      </c>
      <c r="H299" t="s">
        <v>3055</v>
      </c>
      <c r="I299">
        <v>230.01</v>
      </c>
      <c r="J299">
        <v>155.66</v>
      </c>
      <c r="K299">
        <v>74.349999999999994</v>
      </c>
      <c r="L299">
        <v>0</v>
      </c>
    </row>
    <row r="300" spans="3:12">
      <c r="C300">
        <v>296</v>
      </c>
      <c r="D300" t="s">
        <v>3054</v>
      </c>
      <c r="E300">
        <v>11</v>
      </c>
      <c r="F300">
        <v>2</v>
      </c>
      <c r="G300">
        <v>1104</v>
      </c>
      <c r="H300" t="s">
        <v>3055</v>
      </c>
      <c r="I300">
        <v>213.86</v>
      </c>
      <c r="J300">
        <v>155.66</v>
      </c>
      <c r="K300">
        <v>58.2</v>
      </c>
      <c r="L300">
        <v>0</v>
      </c>
    </row>
    <row r="301" spans="3:12">
      <c r="C301">
        <v>297</v>
      </c>
      <c r="D301" t="s">
        <v>3054</v>
      </c>
      <c r="E301">
        <v>12</v>
      </c>
      <c r="F301">
        <v>1</v>
      </c>
      <c r="G301">
        <v>101</v>
      </c>
      <c r="H301" t="s">
        <v>3055</v>
      </c>
      <c r="I301">
        <v>409.72</v>
      </c>
      <c r="J301">
        <v>143</v>
      </c>
      <c r="K301">
        <v>0</v>
      </c>
      <c r="L301">
        <v>266.71999999999997</v>
      </c>
    </row>
    <row r="302" spans="3:12">
      <c r="C302">
        <v>298</v>
      </c>
      <c r="D302" t="s">
        <v>3054</v>
      </c>
      <c r="E302">
        <v>12</v>
      </c>
      <c r="F302">
        <v>1</v>
      </c>
      <c r="G302">
        <v>102</v>
      </c>
      <c r="H302" t="s">
        <v>3055</v>
      </c>
      <c r="I302">
        <v>409.72</v>
      </c>
      <c r="J302">
        <v>143</v>
      </c>
      <c r="K302">
        <v>0</v>
      </c>
      <c r="L302">
        <v>266.71999999999997</v>
      </c>
    </row>
    <row r="303" spans="3:12">
      <c r="C303">
        <v>299</v>
      </c>
      <c r="D303" t="s">
        <v>3054</v>
      </c>
      <c r="E303">
        <v>12</v>
      </c>
      <c r="F303">
        <v>1</v>
      </c>
      <c r="G303">
        <v>201</v>
      </c>
      <c r="H303" t="s">
        <v>3055</v>
      </c>
      <c r="I303">
        <v>317.98</v>
      </c>
      <c r="J303">
        <v>162.19</v>
      </c>
      <c r="K303">
        <v>0</v>
      </c>
      <c r="L303">
        <v>155.79000000000002</v>
      </c>
    </row>
    <row r="304" spans="3:12">
      <c r="C304">
        <v>300</v>
      </c>
      <c r="D304" t="s">
        <v>3054</v>
      </c>
      <c r="E304">
        <v>12</v>
      </c>
      <c r="F304">
        <v>1</v>
      </c>
      <c r="G304">
        <v>202</v>
      </c>
      <c r="H304" t="s">
        <v>3055</v>
      </c>
      <c r="I304">
        <v>336.82</v>
      </c>
      <c r="J304">
        <v>162.19</v>
      </c>
      <c r="K304">
        <v>0</v>
      </c>
      <c r="L304">
        <v>174.63</v>
      </c>
    </row>
    <row r="305" spans="3:12">
      <c r="C305">
        <v>301</v>
      </c>
      <c r="D305" t="s">
        <v>3054</v>
      </c>
      <c r="E305">
        <v>12</v>
      </c>
      <c r="F305">
        <v>1</v>
      </c>
      <c r="G305">
        <v>301</v>
      </c>
      <c r="H305" t="s">
        <v>3055</v>
      </c>
      <c r="I305">
        <v>155.66</v>
      </c>
      <c r="J305">
        <v>155.66</v>
      </c>
      <c r="K305">
        <v>0</v>
      </c>
      <c r="L305">
        <v>0</v>
      </c>
    </row>
    <row r="306" spans="3:12">
      <c r="C306">
        <v>302</v>
      </c>
      <c r="D306" t="s">
        <v>3054</v>
      </c>
      <c r="E306">
        <v>12</v>
      </c>
      <c r="F306">
        <v>1</v>
      </c>
      <c r="G306">
        <v>302</v>
      </c>
      <c r="H306" t="s">
        <v>3055</v>
      </c>
      <c r="I306">
        <v>155.66</v>
      </c>
      <c r="J306">
        <v>155.66</v>
      </c>
      <c r="K306">
        <v>0</v>
      </c>
      <c r="L306">
        <v>0</v>
      </c>
    </row>
    <row r="307" spans="3:12">
      <c r="C307">
        <v>303</v>
      </c>
      <c r="D307" t="s">
        <v>3054</v>
      </c>
      <c r="E307">
        <v>12</v>
      </c>
      <c r="F307">
        <v>1</v>
      </c>
      <c r="G307">
        <v>401</v>
      </c>
      <c r="H307" t="s">
        <v>3055</v>
      </c>
      <c r="I307">
        <v>155.66</v>
      </c>
      <c r="J307">
        <v>155.66</v>
      </c>
      <c r="K307">
        <v>0</v>
      </c>
      <c r="L307">
        <v>0</v>
      </c>
    </row>
    <row r="308" spans="3:12">
      <c r="C308">
        <v>304</v>
      </c>
      <c r="D308" t="s">
        <v>3054</v>
      </c>
      <c r="E308">
        <v>12</v>
      </c>
      <c r="F308">
        <v>1</v>
      </c>
      <c r="G308">
        <v>402</v>
      </c>
      <c r="H308" t="s">
        <v>3055</v>
      </c>
      <c r="I308">
        <v>155.66</v>
      </c>
      <c r="J308">
        <v>155.66</v>
      </c>
      <c r="K308">
        <v>0</v>
      </c>
      <c r="L308">
        <v>0</v>
      </c>
    </row>
    <row r="309" spans="3:12">
      <c r="C309">
        <v>305</v>
      </c>
      <c r="D309" t="s">
        <v>3054</v>
      </c>
      <c r="E309">
        <v>12</v>
      </c>
      <c r="F309">
        <v>1</v>
      </c>
      <c r="G309">
        <v>501</v>
      </c>
      <c r="H309" t="s">
        <v>3055</v>
      </c>
      <c r="I309">
        <v>155.66</v>
      </c>
      <c r="J309">
        <v>155.66</v>
      </c>
      <c r="K309">
        <v>0</v>
      </c>
      <c r="L309">
        <v>0</v>
      </c>
    </row>
    <row r="310" spans="3:12">
      <c r="C310">
        <v>306</v>
      </c>
      <c r="D310" t="s">
        <v>3054</v>
      </c>
      <c r="E310">
        <v>12</v>
      </c>
      <c r="F310">
        <v>1</v>
      </c>
      <c r="G310">
        <v>502</v>
      </c>
      <c r="H310" t="s">
        <v>3055</v>
      </c>
      <c r="I310">
        <v>155.66</v>
      </c>
      <c r="J310">
        <v>155.66</v>
      </c>
      <c r="K310">
        <v>0</v>
      </c>
      <c r="L310">
        <v>0</v>
      </c>
    </row>
    <row r="311" spans="3:12">
      <c r="C311">
        <v>307</v>
      </c>
      <c r="D311" t="s">
        <v>3054</v>
      </c>
      <c r="E311">
        <v>12</v>
      </c>
      <c r="F311">
        <v>1</v>
      </c>
      <c r="G311">
        <v>601</v>
      </c>
      <c r="H311" t="s">
        <v>3055</v>
      </c>
      <c r="I311">
        <v>155.66</v>
      </c>
      <c r="J311">
        <v>155.66</v>
      </c>
      <c r="K311">
        <v>0</v>
      </c>
      <c r="L311">
        <v>0</v>
      </c>
    </row>
    <row r="312" spans="3:12">
      <c r="C312">
        <v>308</v>
      </c>
      <c r="D312" t="s">
        <v>3054</v>
      </c>
      <c r="E312">
        <v>12</v>
      </c>
      <c r="F312">
        <v>1</v>
      </c>
      <c r="G312">
        <v>602</v>
      </c>
      <c r="H312" t="s">
        <v>3055</v>
      </c>
      <c r="I312">
        <v>155.66</v>
      </c>
      <c r="J312">
        <v>155.66</v>
      </c>
      <c r="K312">
        <v>0</v>
      </c>
      <c r="L312">
        <v>0</v>
      </c>
    </row>
    <row r="313" spans="3:12">
      <c r="C313">
        <v>309</v>
      </c>
      <c r="D313" t="s">
        <v>3054</v>
      </c>
      <c r="E313">
        <v>12</v>
      </c>
      <c r="F313">
        <v>1</v>
      </c>
      <c r="G313">
        <v>701</v>
      </c>
      <c r="H313" t="s">
        <v>3055</v>
      </c>
      <c r="I313">
        <v>155.66</v>
      </c>
      <c r="J313">
        <v>155.66</v>
      </c>
      <c r="K313">
        <v>0</v>
      </c>
      <c r="L313">
        <v>0</v>
      </c>
    </row>
    <row r="314" spans="3:12">
      <c r="C314">
        <v>310</v>
      </c>
      <c r="D314" t="s">
        <v>3054</v>
      </c>
      <c r="E314">
        <v>12</v>
      </c>
      <c r="F314">
        <v>1</v>
      </c>
      <c r="G314">
        <v>702</v>
      </c>
      <c r="H314" t="s">
        <v>3055</v>
      </c>
      <c r="I314">
        <v>155.66</v>
      </c>
      <c r="J314">
        <v>155.66</v>
      </c>
      <c r="K314">
        <v>0</v>
      </c>
      <c r="L314">
        <v>0</v>
      </c>
    </row>
    <row r="315" spans="3:12">
      <c r="C315">
        <v>311</v>
      </c>
      <c r="D315" t="s">
        <v>3054</v>
      </c>
      <c r="E315">
        <v>12</v>
      </c>
      <c r="F315">
        <v>1</v>
      </c>
      <c r="G315">
        <v>801</v>
      </c>
      <c r="H315" t="s">
        <v>3055</v>
      </c>
      <c r="I315">
        <v>155.66</v>
      </c>
      <c r="J315">
        <v>155.66</v>
      </c>
      <c r="K315">
        <v>0</v>
      </c>
      <c r="L315">
        <v>0</v>
      </c>
    </row>
    <row r="316" spans="3:12">
      <c r="C316">
        <v>312</v>
      </c>
      <c r="D316" t="s">
        <v>3054</v>
      </c>
      <c r="E316">
        <v>12</v>
      </c>
      <c r="F316">
        <v>1</v>
      </c>
      <c r="G316">
        <v>802</v>
      </c>
      <c r="H316" t="s">
        <v>3055</v>
      </c>
      <c r="I316">
        <v>155.66</v>
      </c>
      <c r="J316">
        <v>155.66</v>
      </c>
      <c r="K316">
        <v>0</v>
      </c>
      <c r="L316">
        <v>0</v>
      </c>
    </row>
    <row r="317" spans="3:12">
      <c r="C317">
        <v>313</v>
      </c>
      <c r="D317" t="s">
        <v>3054</v>
      </c>
      <c r="E317">
        <v>12</v>
      </c>
      <c r="F317">
        <v>1</v>
      </c>
      <c r="G317">
        <v>901</v>
      </c>
      <c r="H317" t="s">
        <v>3055</v>
      </c>
      <c r="I317">
        <v>155.66</v>
      </c>
      <c r="J317">
        <v>155.66</v>
      </c>
      <c r="K317">
        <v>0</v>
      </c>
      <c r="L317">
        <v>0</v>
      </c>
    </row>
    <row r="318" spans="3:12">
      <c r="C318">
        <v>314</v>
      </c>
      <c r="D318" t="s">
        <v>3054</v>
      </c>
      <c r="E318">
        <v>12</v>
      </c>
      <c r="F318">
        <v>1</v>
      </c>
      <c r="G318">
        <v>902</v>
      </c>
      <c r="H318" t="s">
        <v>3055</v>
      </c>
      <c r="I318">
        <v>155.66</v>
      </c>
      <c r="J318">
        <v>155.66</v>
      </c>
      <c r="K318">
        <v>0</v>
      </c>
      <c r="L318">
        <v>0</v>
      </c>
    </row>
    <row r="319" spans="3:12">
      <c r="C319">
        <v>315</v>
      </c>
      <c r="D319" t="s">
        <v>3054</v>
      </c>
      <c r="E319">
        <v>12</v>
      </c>
      <c r="F319">
        <v>1</v>
      </c>
      <c r="G319">
        <v>1001</v>
      </c>
      <c r="H319" t="s">
        <v>3055</v>
      </c>
      <c r="I319">
        <v>155.66</v>
      </c>
      <c r="J319">
        <v>155.66</v>
      </c>
      <c r="K319">
        <v>0</v>
      </c>
      <c r="L319">
        <v>0</v>
      </c>
    </row>
    <row r="320" spans="3:12">
      <c r="C320">
        <v>316</v>
      </c>
      <c r="D320" t="s">
        <v>3054</v>
      </c>
      <c r="E320">
        <v>12</v>
      </c>
      <c r="F320">
        <v>1</v>
      </c>
      <c r="G320">
        <v>1002</v>
      </c>
      <c r="H320" t="s">
        <v>3055</v>
      </c>
      <c r="I320">
        <v>155.66</v>
      </c>
      <c r="J320">
        <v>155.66</v>
      </c>
      <c r="K320">
        <v>0</v>
      </c>
      <c r="L320">
        <v>0</v>
      </c>
    </row>
    <row r="321" spans="3:12">
      <c r="C321">
        <v>317</v>
      </c>
      <c r="D321" t="s">
        <v>3054</v>
      </c>
      <c r="E321">
        <v>12</v>
      </c>
      <c r="F321">
        <v>1</v>
      </c>
      <c r="G321">
        <v>1101</v>
      </c>
      <c r="H321" t="s">
        <v>3055</v>
      </c>
      <c r="I321">
        <v>213.86</v>
      </c>
      <c r="J321">
        <v>155.66</v>
      </c>
      <c r="K321">
        <v>58.2</v>
      </c>
      <c r="L321">
        <v>0</v>
      </c>
    </row>
    <row r="322" spans="3:12">
      <c r="C322">
        <v>318</v>
      </c>
      <c r="D322" t="s">
        <v>3054</v>
      </c>
      <c r="E322">
        <v>12</v>
      </c>
      <c r="F322">
        <v>1</v>
      </c>
      <c r="G322">
        <v>1102</v>
      </c>
      <c r="H322" t="s">
        <v>3055</v>
      </c>
      <c r="I322">
        <v>230.01</v>
      </c>
      <c r="J322">
        <v>155.66</v>
      </c>
      <c r="K322">
        <v>74.349999999999994</v>
      </c>
      <c r="L322">
        <v>0</v>
      </c>
    </row>
    <row r="323" spans="3:12">
      <c r="C323">
        <v>319</v>
      </c>
      <c r="D323" t="s">
        <v>3054</v>
      </c>
      <c r="E323">
        <v>12</v>
      </c>
      <c r="F323">
        <v>2</v>
      </c>
      <c r="G323">
        <v>103</v>
      </c>
      <c r="H323" t="s">
        <v>3055</v>
      </c>
      <c r="I323">
        <v>409.69</v>
      </c>
      <c r="J323">
        <v>143</v>
      </c>
      <c r="K323">
        <v>0</v>
      </c>
      <c r="L323">
        <v>266.69</v>
      </c>
    </row>
    <row r="324" spans="3:12">
      <c r="C324">
        <v>320</v>
      </c>
      <c r="D324" t="s">
        <v>3054</v>
      </c>
      <c r="E324">
        <v>12</v>
      </c>
      <c r="F324">
        <v>2</v>
      </c>
      <c r="G324">
        <v>104</v>
      </c>
      <c r="H324" t="s">
        <v>3055</v>
      </c>
      <c r="I324">
        <v>410.69</v>
      </c>
      <c r="J324">
        <v>143</v>
      </c>
      <c r="K324">
        <v>0</v>
      </c>
      <c r="L324">
        <v>267.69</v>
      </c>
    </row>
    <row r="325" spans="3:12">
      <c r="C325">
        <v>321</v>
      </c>
      <c r="D325" t="s">
        <v>3054</v>
      </c>
      <c r="E325">
        <v>12</v>
      </c>
      <c r="F325">
        <v>2</v>
      </c>
      <c r="G325">
        <v>203</v>
      </c>
      <c r="H325" t="s">
        <v>3055</v>
      </c>
      <c r="I325">
        <v>336.79</v>
      </c>
      <c r="J325">
        <v>162.19</v>
      </c>
      <c r="K325">
        <v>0</v>
      </c>
      <c r="L325">
        <v>174.6</v>
      </c>
    </row>
    <row r="326" spans="3:12">
      <c r="C326">
        <v>322</v>
      </c>
      <c r="D326" t="s">
        <v>3054</v>
      </c>
      <c r="E326">
        <v>12</v>
      </c>
      <c r="F326">
        <v>2</v>
      </c>
      <c r="G326">
        <v>204</v>
      </c>
      <c r="H326" t="s">
        <v>3055</v>
      </c>
      <c r="I326">
        <v>318.52</v>
      </c>
      <c r="J326">
        <v>162.19</v>
      </c>
      <c r="K326">
        <v>0</v>
      </c>
      <c r="L326">
        <v>156.32999999999998</v>
      </c>
    </row>
    <row r="327" spans="3:12">
      <c r="C327">
        <v>323</v>
      </c>
      <c r="D327" t="s">
        <v>3054</v>
      </c>
      <c r="E327">
        <v>12</v>
      </c>
      <c r="F327">
        <v>2</v>
      </c>
      <c r="G327">
        <v>303</v>
      </c>
      <c r="H327" t="s">
        <v>3055</v>
      </c>
      <c r="I327">
        <v>155.66</v>
      </c>
      <c r="J327">
        <v>155.66</v>
      </c>
      <c r="K327">
        <v>0</v>
      </c>
      <c r="L327">
        <v>0</v>
      </c>
    </row>
    <row r="328" spans="3:12">
      <c r="C328">
        <v>324</v>
      </c>
      <c r="D328" t="s">
        <v>3054</v>
      </c>
      <c r="E328">
        <v>12</v>
      </c>
      <c r="F328">
        <v>2</v>
      </c>
      <c r="G328">
        <v>304</v>
      </c>
      <c r="H328" t="s">
        <v>3055</v>
      </c>
      <c r="I328">
        <v>155.66</v>
      </c>
      <c r="J328">
        <v>155.66</v>
      </c>
      <c r="K328">
        <v>0</v>
      </c>
      <c r="L328">
        <v>0</v>
      </c>
    </row>
    <row r="329" spans="3:12">
      <c r="C329">
        <v>325</v>
      </c>
      <c r="D329" t="s">
        <v>3054</v>
      </c>
      <c r="E329">
        <v>12</v>
      </c>
      <c r="F329">
        <v>2</v>
      </c>
      <c r="G329">
        <v>403</v>
      </c>
      <c r="H329" t="s">
        <v>3055</v>
      </c>
      <c r="I329">
        <v>155.66</v>
      </c>
      <c r="J329">
        <v>155.66</v>
      </c>
      <c r="K329">
        <v>0</v>
      </c>
      <c r="L329">
        <v>0</v>
      </c>
    </row>
    <row r="330" spans="3:12">
      <c r="C330">
        <v>326</v>
      </c>
      <c r="D330" t="s">
        <v>3054</v>
      </c>
      <c r="E330">
        <v>12</v>
      </c>
      <c r="F330">
        <v>2</v>
      </c>
      <c r="G330">
        <v>404</v>
      </c>
      <c r="H330" t="s">
        <v>3055</v>
      </c>
      <c r="I330">
        <v>155.66</v>
      </c>
      <c r="J330">
        <v>155.66</v>
      </c>
      <c r="K330">
        <v>0</v>
      </c>
      <c r="L330">
        <v>0</v>
      </c>
    </row>
    <row r="331" spans="3:12">
      <c r="C331">
        <v>327</v>
      </c>
      <c r="D331" t="s">
        <v>3054</v>
      </c>
      <c r="E331">
        <v>12</v>
      </c>
      <c r="F331">
        <v>2</v>
      </c>
      <c r="G331">
        <v>503</v>
      </c>
      <c r="H331" t="s">
        <v>3055</v>
      </c>
      <c r="I331">
        <v>155.66</v>
      </c>
      <c r="J331">
        <v>155.66</v>
      </c>
      <c r="K331">
        <v>0</v>
      </c>
      <c r="L331">
        <v>0</v>
      </c>
    </row>
    <row r="332" spans="3:12">
      <c r="C332">
        <v>328</v>
      </c>
      <c r="D332" t="s">
        <v>3054</v>
      </c>
      <c r="E332">
        <v>12</v>
      </c>
      <c r="F332">
        <v>2</v>
      </c>
      <c r="G332">
        <v>504</v>
      </c>
      <c r="H332" t="s">
        <v>3055</v>
      </c>
      <c r="I332">
        <v>155.66</v>
      </c>
      <c r="J332">
        <v>155.66</v>
      </c>
      <c r="K332">
        <v>0</v>
      </c>
      <c r="L332">
        <v>0</v>
      </c>
    </row>
    <row r="333" spans="3:12">
      <c r="C333">
        <v>329</v>
      </c>
      <c r="D333" t="s">
        <v>3054</v>
      </c>
      <c r="E333">
        <v>12</v>
      </c>
      <c r="F333">
        <v>2</v>
      </c>
      <c r="G333">
        <v>603</v>
      </c>
      <c r="H333" t="s">
        <v>3055</v>
      </c>
      <c r="I333">
        <v>155.66</v>
      </c>
      <c r="J333">
        <v>155.66</v>
      </c>
      <c r="K333">
        <v>0</v>
      </c>
      <c r="L333">
        <v>0</v>
      </c>
    </row>
    <row r="334" spans="3:12">
      <c r="C334">
        <v>330</v>
      </c>
      <c r="D334" t="s">
        <v>3054</v>
      </c>
      <c r="E334">
        <v>12</v>
      </c>
      <c r="F334">
        <v>2</v>
      </c>
      <c r="G334">
        <v>604</v>
      </c>
      <c r="H334" t="s">
        <v>3055</v>
      </c>
      <c r="I334">
        <v>155.66</v>
      </c>
      <c r="J334">
        <v>155.66</v>
      </c>
      <c r="K334">
        <v>0</v>
      </c>
      <c r="L334">
        <v>0</v>
      </c>
    </row>
    <row r="335" spans="3:12">
      <c r="C335">
        <v>331</v>
      </c>
      <c r="D335" t="s">
        <v>3054</v>
      </c>
      <c r="E335">
        <v>12</v>
      </c>
      <c r="F335">
        <v>2</v>
      </c>
      <c r="G335">
        <v>703</v>
      </c>
      <c r="H335" t="s">
        <v>3055</v>
      </c>
      <c r="I335">
        <v>155.66</v>
      </c>
      <c r="J335">
        <v>155.66</v>
      </c>
      <c r="K335">
        <v>0</v>
      </c>
      <c r="L335">
        <v>0</v>
      </c>
    </row>
    <row r="336" spans="3:12">
      <c r="C336">
        <v>332</v>
      </c>
      <c r="D336" t="s">
        <v>3054</v>
      </c>
      <c r="E336">
        <v>12</v>
      </c>
      <c r="F336">
        <v>2</v>
      </c>
      <c r="G336">
        <v>704</v>
      </c>
      <c r="H336" t="s">
        <v>3055</v>
      </c>
      <c r="I336">
        <v>155.66</v>
      </c>
      <c r="J336">
        <v>155.66</v>
      </c>
      <c r="K336">
        <v>0</v>
      </c>
      <c r="L336">
        <v>0</v>
      </c>
    </row>
    <row r="337" spans="3:12">
      <c r="C337">
        <v>333</v>
      </c>
      <c r="D337" t="s">
        <v>3054</v>
      </c>
      <c r="E337">
        <v>12</v>
      </c>
      <c r="F337">
        <v>2</v>
      </c>
      <c r="G337">
        <v>803</v>
      </c>
      <c r="H337" t="s">
        <v>3055</v>
      </c>
      <c r="I337">
        <v>155.66</v>
      </c>
      <c r="J337">
        <v>155.66</v>
      </c>
      <c r="K337">
        <v>0</v>
      </c>
      <c r="L337">
        <v>0</v>
      </c>
    </row>
    <row r="338" spans="3:12">
      <c r="C338">
        <v>334</v>
      </c>
      <c r="D338" t="s">
        <v>3054</v>
      </c>
      <c r="E338">
        <v>12</v>
      </c>
      <c r="F338">
        <v>2</v>
      </c>
      <c r="G338">
        <v>804</v>
      </c>
      <c r="H338" t="s">
        <v>3055</v>
      </c>
      <c r="I338">
        <v>155.66</v>
      </c>
      <c r="J338">
        <v>155.66</v>
      </c>
      <c r="K338">
        <v>0</v>
      </c>
      <c r="L338">
        <v>0</v>
      </c>
    </row>
    <row r="339" spans="3:12">
      <c r="C339">
        <v>335</v>
      </c>
      <c r="D339" t="s">
        <v>3054</v>
      </c>
      <c r="E339">
        <v>12</v>
      </c>
      <c r="F339">
        <v>2</v>
      </c>
      <c r="G339">
        <v>903</v>
      </c>
      <c r="H339" t="s">
        <v>3055</v>
      </c>
      <c r="I339">
        <v>155.66</v>
      </c>
      <c r="J339">
        <v>155.66</v>
      </c>
      <c r="K339">
        <v>0</v>
      </c>
      <c r="L339">
        <v>0</v>
      </c>
    </row>
    <row r="340" spans="3:12">
      <c r="C340">
        <v>336</v>
      </c>
      <c r="D340" t="s">
        <v>3054</v>
      </c>
      <c r="E340">
        <v>12</v>
      </c>
      <c r="F340">
        <v>2</v>
      </c>
      <c r="G340">
        <v>904</v>
      </c>
      <c r="H340" t="s">
        <v>3055</v>
      </c>
      <c r="I340">
        <v>155.66</v>
      </c>
      <c r="J340">
        <v>155.66</v>
      </c>
      <c r="K340">
        <v>0</v>
      </c>
      <c r="L340">
        <v>0</v>
      </c>
    </row>
    <row r="341" spans="3:12">
      <c r="C341">
        <v>337</v>
      </c>
      <c r="D341" t="s">
        <v>3054</v>
      </c>
      <c r="E341">
        <v>12</v>
      </c>
      <c r="F341">
        <v>2</v>
      </c>
      <c r="G341">
        <v>1003</v>
      </c>
      <c r="H341" t="s">
        <v>3055</v>
      </c>
      <c r="I341">
        <v>155.66</v>
      </c>
      <c r="J341">
        <v>155.66</v>
      </c>
      <c r="K341">
        <v>0</v>
      </c>
      <c r="L341">
        <v>0</v>
      </c>
    </row>
    <row r="342" spans="3:12">
      <c r="C342">
        <v>338</v>
      </c>
      <c r="D342" t="s">
        <v>3054</v>
      </c>
      <c r="E342">
        <v>12</v>
      </c>
      <c r="F342">
        <v>2</v>
      </c>
      <c r="G342">
        <v>1004</v>
      </c>
      <c r="H342" t="s">
        <v>3055</v>
      </c>
      <c r="I342">
        <v>155.66</v>
      </c>
      <c r="J342">
        <v>155.66</v>
      </c>
      <c r="K342">
        <v>0</v>
      </c>
      <c r="L342">
        <v>0</v>
      </c>
    </row>
    <row r="343" spans="3:12">
      <c r="C343">
        <v>339</v>
      </c>
      <c r="D343" t="s">
        <v>3054</v>
      </c>
      <c r="E343">
        <v>12</v>
      </c>
      <c r="F343">
        <v>2</v>
      </c>
      <c r="G343">
        <v>1103</v>
      </c>
      <c r="H343" t="s">
        <v>3055</v>
      </c>
      <c r="I343">
        <v>230.01</v>
      </c>
      <c r="J343">
        <v>155.66</v>
      </c>
      <c r="K343">
        <v>74.349999999999994</v>
      </c>
      <c r="L343">
        <v>0</v>
      </c>
    </row>
    <row r="344" spans="3:12">
      <c r="C344">
        <v>340</v>
      </c>
      <c r="D344" t="s">
        <v>3054</v>
      </c>
      <c r="E344">
        <v>12</v>
      </c>
      <c r="F344">
        <v>2</v>
      </c>
      <c r="G344">
        <v>1104</v>
      </c>
      <c r="H344" t="s">
        <v>3055</v>
      </c>
      <c r="I344">
        <v>213.86</v>
      </c>
      <c r="J344">
        <v>155.66</v>
      </c>
      <c r="K344">
        <v>58.2</v>
      </c>
      <c r="L344">
        <v>0</v>
      </c>
    </row>
    <row r="345" spans="3:12">
      <c r="C345">
        <v>341</v>
      </c>
      <c r="D345" t="s">
        <v>3060</v>
      </c>
      <c r="E345">
        <v>13</v>
      </c>
      <c r="F345">
        <v>1</v>
      </c>
      <c r="G345">
        <v>101</v>
      </c>
      <c r="H345" t="s">
        <v>3055</v>
      </c>
      <c r="I345">
        <v>415.44</v>
      </c>
      <c r="J345">
        <v>142.63999999999999</v>
      </c>
      <c r="K345">
        <v>0</v>
      </c>
      <c r="L345">
        <v>272.8</v>
      </c>
    </row>
    <row r="346" spans="3:12">
      <c r="C346">
        <v>342</v>
      </c>
      <c r="D346" t="s">
        <v>3060</v>
      </c>
      <c r="E346">
        <v>13</v>
      </c>
      <c r="F346">
        <v>1</v>
      </c>
      <c r="G346">
        <v>102</v>
      </c>
      <c r="H346" t="s">
        <v>3055</v>
      </c>
      <c r="I346">
        <v>414.98</v>
      </c>
      <c r="J346">
        <v>142.63999999999999</v>
      </c>
      <c r="K346">
        <v>0</v>
      </c>
      <c r="L346">
        <v>272.33999999999997</v>
      </c>
    </row>
    <row r="347" spans="3:12">
      <c r="C347">
        <v>343</v>
      </c>
      <c r="D347" t="s">
        <v>3060</v>
      </c>
      <c r="E347">
        <v>13</v>
      </c>
      <c r="F347">
        <v>1</v>
      </c>
      <c r="G347">
        <v>201</v>
      </c>
      <c r="H347" t="s">
        <v>3055</v>
      </c>
      <c r="I347">
        <v>320.33999999999997</v>
      </c>
      <c r="J347">
        <v>161.77000000000001</v>
      </c>
      <c r="K347">
        <v>0</v>
      </c>
      <c r="L347">
        <v>158.57</v>
      </c>
    </row>
    <row r="348" spans="3:12">
      <c r="C348">
        <v>344</v>
      </c>
      <c r="D348" t="s">
        <v>3060</v>
      </c>
      <c r="E348">
        <v>13</v>
      </c>
      <c r="F348">
        <v>1</v>
      </c>
      <c r="G348">
        <v>202</v>
      </c>
      <c r="H348" t="s">
        <v>3055</v>
      </c>
      <c r="I348">
        <v>339.24</v>
      </c>
      <c r="J348">
        <v>161.77000000000001</v>
      </c>
      <c r="K348">
        <v>0</v>
      </c>
      <c r="L348">
        <v>177.47</v>
      </c>
    </row>
    <row r="349" spans="3:12">
      <c r="C349">
        <v>345</v>
      </c>
      <c r="D349" t="s">
        <v>3060</v>
      </c>
      <c r="E349">
        <v>13</v>
      </c>
      <c r="F349">
        <v>1</v>
      </c>
      <c r="G349">
        <v>301</v>
      </c>
      <c r="H349" t="s">
        <v>3055</v>
      </c>
      <c r="I349">
        <v>155.26</v>
      </c>
      <c r="J349">
        <v>155.26</v>
      </c>
      <c r="K349">
        <v>0</v>
      </c>
      <c r="L349">
        <v>0</v>
      </c>
    </row>
    <row r="350" spans="3:12">
      <c r="C350">
        <v>346</v>
      </c>
      <c r="D350" t="s">
        <v>3060</v>
      </c>
      <c r="E350">
        <v>13</v>
      </c>
      <c r="F350">
        <v>1</v>
      </c>
      <c r="G350">
        <v>302</v>
      </c>
      <c r="H350" t="s">
        <v>3055</v>
      </c>
      <c r="I350">
        <v>155.26</v>
      </c>
      <c r="J350">
        <v>155.26</v>
      </c>
      <c r="K350">
        <v>0</v>
      </c>
      <c r="L350">
        <v>0</v>
      </c>
    </row>
    <row r="351" spans="3:12">
      <c r="C351">
        <v>347</v>
      </c>
      <c r="D351" t="s">
        <v>3060</v>
      </c>
      <c r="E351">
        <v>13</v>
      </c>
      <c r="F351">
        <v>1</v>
      </c>
      <c r="G351">
        <v>401</v>
      </c>
      <c r="H351" t="s">
        <v>3055</v>
      </c>
      <c r="I351">
        <v>155.26</v>
      </c>
      <c r="J351">
        <v>155.26</v>
      </c>
      <c r="K351">
        <v>0</v>
      </c>
      <c r="L351">
        <v>0</v>
      </c>
    </row>
    <row r="352" spans="3:12">
      <c r="C352">
        <v>348</v>
      </c>
      <c r="D352" t="s">
        <v>3060</v>
      </c>
      <c r="E352">
        <v>13</v>
      </c>
      <c r="F352">
        <v>1</v>
      </c>
      <c r="G352">
        <v>402</v>
      </c>
      <c r="H352" t="s">
        <v>3055</v>
      </c>
      <c r="I352">
        <v>155.26</v>
      </c>
      <c r="J352">
        <v>155.26</v>
      </c>
      <c r="K352">
        <v>0</v>
      </c>
      <c r="L352">
        <v>0</v>
      </c>
    </row>
    <row r="353" spans="3:12">
      <c r="C353">
        <v>349</v>
      </c>
      <c r="D353" t="s">
        <v>3060</v>
      </c>
      <c r="E353">
        <v>13</v>
      </c>
      <c r="F353">
        <v>1</v>
      </c>
      <c r="G353">
        <v>501</v>
      </c>
      <c r="H353" t="s">
        <v>3055</v>
      </c>
      <c r="I353">
        <v>155.26</v>
      </c>
      <c r="J353">
        <v>155.26</v>
      </c>
      <c r="K353">
        <v>0</v>
      </c>
      <c r="L353">
        <v>0</v>
      </c>
    </row>
    <row r="354" spans="3:12">
      <c r="C354">
        <v>350</v>
      </c>
      <c r="D354" t="s">
        <v>3060</v>
      </c>
      <c r="E354">
        <v>13</v>
      </c>
      <c r="F354">
        <v>1</v>
      </c>
      <c r="G354">
        <v>502</v>
      </c>
      <c r="H354" t="s">
        <v>3055</v>
      </c>
      <c r="I354">
        <v>155.26</v>
      </c>
      <c r="J354">
        <v>155.26</v>
      </c>
      <c r="K354">
        <v>0</v>
      </c>
      <c r="L354">
        <v>0</v>
      </c>
    </row>
    <row r="355" spans="3:12">
      <c r="C355">
        <v>351</v>
      </c>
      <c r="D355" t="s">
        <v>3060</v>
      </c>
      <c r="E355">
        <v>13</v>
      </c>
      <c r="F355">
        <v>1</v>
      </c>
      <c r="G355">
        <v>601</v>
      </c>
      <c r="H355" t="s">
        <v>3055</v>
      </c>
      <c r="I355">
        <v>155.26</v>
      </c>
      <c r="J355">
        <v>155.26</v>
      </c>
      <c r="K355">
        <v>0</v>
      </c>
      <c r="L355">
        <v>0</v>
      </c>
    </row>
    <row r="356" spans="3:12">
      <c r="C356">
        <v>352</v>
      </c>
      <c r="D356" t="s">
        <v>3060</v>
      </c>
      <c r="E356">
        <v>13</v>
      </c>
      <c r="F356">
        <v>1</v>
      </c>
      <c r="G356">
        <v>602</v>
      </c>
      <c r="H356" t="s">
        <v>3055</v>
      </c>
      <c r="I356">
        <v>155.26</v>
      </c>
      <c r="J356">
        <v>155.26</v>
      </c>
      <c r="K356">
        <v>0</v>
      </c>
      <c r="L356">
        <v>0</v>
      </c>
    </row>
    <row r="357" spans="3:12">
      <c r="C357">
        <v>353</v>
      </c>
      <c r="D357" t="s">
        <v>3060</v>
      </c>
      <c r="E357">
        <v>13</v>
      </c>
      <c r="F357">
        <v>1</v>
      </c>
      <c r="G357">
        <v>701</v>
      </c>
      <c r="H357" t="s">
        <v>3055</v>
      </c>
      <c r="I357">
        <v>213.41</v>
      </c>
      <c r="J357">
        <v>155.26</v>
      </c>
      <c r="K357">
        <v>58.15</v>
      </c>
      <c r="L357">
        <v>0</v>
      </c>
    </row>
    <row r="358" spans="3:12">
      <c r="C358">
        <v>354</v>
      </c>
      <c r="D358" t="s">
        <v>3060</v>
      </c>
      <c r="E358">
        <v>13</v>
      </c>
      <c r="F358">
        <v>1</v>
      </c>
      <c r="G358">
        <v>702</v>
      </c>
      <c r="H358" t="s">
        <v>3055</v>
      </c>
      <c r="I358">
        <v>229.55</v>
      </c>
      <c r="J358">
        <v>155.26</v>
      </c>
      <c r="K358">
        <v>74.290000000000006</v>
      </c>
      <c r="L358">
        <v>0</v>
      </c>
    </row>
    <row r="359" spans="3:12">
      <c r="C359">
        <v>355</v>
      </c>
      <c r="D359" t="s">
        <v>3060</v>
      </c>
      <c r="E359">
        <v>13</v>
      </c>
      <c r="F359">
        <v>2</v>
      </c>
      <c r="G359">
        <v>103</v>
      </c>
      <c r="H359" t="s">
        <v>3055</v>
      </c>
      <c r="I359">
        <v>415</v>
      </c>
      <c r="J359">
        <v>142.63999999999999</v>
      </c>
      <c r="K359">
        <v>0</v>
      </c>
      <c r="L359">
        <v>272.36</v>
      </c>
    </row>
    <row r="360" spans="3:12">
      <c r="C360">
        <v>356</v>
      </c>
      <c r="D360" t="s">
        <v>3060</v>
      </c>
      <c r="E360">
        <v>13</v>
      </c>
      <c r="F360">
        <v>2</v>
      </c>
      <c r="G360">
        <v>104</v>
      </c>
      <c r="H360" t="s">
        <v>3055</v>
      </c>
      <c r="I360">
        <v>414.94</v>
      </c>
      <c r="J360">
        <v>142.63999999999999</v>
      </c>
      <c r="K360">
        <v>0</v>
      </c>
      <c r="L360">
        <v>272.3</v>
      </c>
    </row>
    <row r="361" spans="3:12">
      <c r="C361">
        <v>357</v>
      </c>
      <c r="D361" t="s">
        <v>3060</v>
      </c>
      <c r="E361">
        <v>13</v>
      </c>
      <c r="F361">
        <v>2</v>
      </c>
      <c r="G361">
        <v>203</v>
      </c>
      <c r="H361" t="s">
        <v>3055</v>
      </c>
      <c r="I361">
        <v>339.25</v>
      </c>
      <c r="J361">
        <v>161.77000000000001</v>
      </c>
      <c r="K361">
        <v>0</v>
      </c>
      <c r="L361">
        <v>177.48000000000002</v>
      </c>
    </row>
    <row r="362" spans="3:12">
      <c r="C362">
        <v>358</v>
      </c>
      <c r="D362" t="s">
        <v>3060</v>
      </c>
      <c r="E362">
        <v>13</v>
      </c>
      <c r="F362">
        <v>2</v>
      </c>
      <c r="G362">
        <v>204</v>
      </c>
      <c r="H362" t="s">
        <v>3055</v>
      </c>
      <c r="I362">
        <v>320.07</v>
      </c>
      <c r="J362">
        <v>161.77000000000001</v>
      </c>
      <c r="K362">
        <v>0</v>
      </c>
      <c r="L362">
        <v>158.30000000000001</v>
      </c>
    </row>
    <row r="363" spans="3:12">
      <c r="C363">
        <v>359</v>
      </c>
      <c r="D363" t="s">
        <v>3060</v>
      </c>
      <c r="E363">
        <v>13</v>
      </c>
      <c r="F363">
        <v>2</v>
      </c>
      <c r="G363">
        <v>303</v>
      </c>
      <c r="H363" t="s">
        <v>3055</v>
      </c>
      <c r="I363">
        <v>155.26</v>
      </c>
      <c r="J363">
        <v>155.26</v>
      </c>
      <c r="K363">
        <v>0</v>
      </c>
      <c r="L363">
        <v>0</v>
      </c>
    </row>
    <row r="364" spans="3:12">
      <c r="C364">
        <v>360</v>
      </c>
      <c r="D364" t="s">
        <v>3060</v>
      </c>
      <c r="E364">
        <v>13</v>
      </c>
      <c r="F364">
        <v>2</v>
      </c>
      <c r="G364">
        <v>304</v>
      </c>
      <c r="H364" t="s">
        <v>3055</v>
      </c>
      <c r="I364">
        <v>155.26</v>
      </c>
      <c r="J364">
        <v>155.26</v>
      </c>
      <c r="K364">
        <v>0</v>
      </c>
      <c r="L364">
        <v>0</v>
      </c>
    </row>
    <row r="365" spans="3:12">
      <c r="C365">
        <v>361</v>
      </c>
      <c r="D365" t="s">
        <v>3060</v>
      </c>
      <c r="E365">
        <v>13</v>
      </c>
      <c r="F365">
        <v>2</v>
      </c>
      <c r="G365">
        <v>403</v>
      </c>
      <c r="H365" t="s">
        <v>3055</v>
      </c>
      <c r="I365">
        <v>155.26</v>
      </c>
      <c r="J365">
        <v>155.26</v>
      </c>
      <c r="K365">
        <v>0</v>
      </c>
      <c r="L365">
        <v>0</v>
      </c>
    </row>
    <row r="366" spans="3:12">
      <c r="C366">
        <v>362</v>
      </c>
      <c r="D366" t="s">
        <v>3060</v>
      </c>
      <c r="E366">
        <v>13</v>
      </c>
      <c r="F366">
        <v>2</v>
      </c>
      <c r="G366">
        <v>404</v>
      </c>
      <c r="H366" t="s">
        <v>3055</v>
      </c>
      <c r="I366">
        <v>155.26</v>
      </c>
      <c r="J366">
        <v>155.26</v>
      </c>
      <c r="K366">
        <v>0</v>
      </c>
      <c r="L366">
        <v>0</v>
      </c>
    </row>
    <row r="367" spans="3:12">
      <c r="C367">
        <v>363</v>
      </c>
      <c r="D367" t="s">
        <v>3060</v>
      </c>
      <c r="E367">
        <v>13</v>
      </c>
      <c r="F367">
        <v>2</v>
      </c>
      <c r="G367">
        <v>503</v>
      </c>
      <c r="H367" t="s">
        <v>3055</v>
      </c>
      <c r="I367">
        <v>155.26</v>
      </c>
      <c r="J367">
        <v>155.26</v>
      </c>
      <c r="K367">
        <v>0</v>
      </c>
      <c r="L367">
        <v>0</v>
      </c>
    </row>
    <row r="368" spans="3:12">
      <c r="C368">
        <v>364</v>
      </c>
      <c r="D368" t="s">
        <v>3060</v>
      </c>
      <c r="E368">
        <v>13</v>
      </c>
      <c r="F368">
        <v>2</v>
      </c>
      <c r="G368">
        <v>504</v>
      </c>
      <c r="H368" t="s">
        <v>3055</v>
      </c>
      <c r="I368">
        <v>155.26</v>
      </c>
      <c r="J368">
        <v>155.26</v>
      </c>
      <c r="K368">
        <v>0</v>
      </c>
      <c r="L368">
        <v>0</v>
      </c>
    </row>
    <row r="369" spans="3:12">
      <c r="C369">
        <v>365</v>
      </c>
      <c r="D369" t="s">
        <v>3060</v>
      </c>
      <c r="E369">
        <v>13</v>
      </c>
      <c r="F369">
        <v>2</v>
      </c>
      <c r="G369">
        <v>603</v>
      </c>
      <c r="H369" t="s">
        <v>3055</v>
      </c>
      <c r="I369">
        <v>155.26</v>
      </c>
      <c r="J369">
        <v>155.26</v>
      </c>
      <c r="K369">
        <v>0</v>
      </c>
      <c r="L369">
        <v>0</v>
      </c>
    </row>
    <row r="370" spans="3:12">
      <c r="C370">
        <v>366</v>
      </c>
      <c r="D370" t="s">
        <v>3060</v>
      </c>
      <c r="E370">
        <v>13</v>
      </c>
      <c r="F370">
        <v>2</v>
      </c>
      <c r="G370">
        <v>604</v>
      </c>
      <c r="H370" t="s">
        <v>3055</v>
      </c>
      <c r="I370">
        <v>155.26</v>
      </c>
      <c r="J370">
        <v>155.26</v>
      </c>
      <c r="K370">
        <v>0</v>
      </c>
      <c r="L370">
        <v>0</v>
      </c>
    </row>
    <row r="371" spans="3:12">
      <c r="C371">
        <v>367</v>
      </c>
      <c r="D371" t="s">
        <v>3060</v>
      </c>
      <c r="E371">
        <v>13</v>
      </c>
      <c r="F371">
        <v>2</v>
      </c>
      <c r="G371">
        <v>703</v>
      </c>
      <c r="H371" t="s">
        <v>3055</v>
      </c>
      <c r="I371">
        <v>229.55</v>
      </c>
      <c r="J371">
        <v>155.26</v>
      </c>
      <c r="K371">
        <v>74.290000000000006</v>
      </c>
      <c r="L371">
        <v>0</v>
      </c>
    </row>
    <row r="372" spans="3:12">
      <c r="C372">
        <v>368</v>
      </c>
      <c r="D372" t="s">
        <v>3060</v>
      </c>
      <c r="E372">
        <v>13</v>
      </c>
      <c r="F372">
        <v>2</v>
      </c>
      <c r="G372">
        <v>704</v>
      </c>
      <c r="H372" t="s">
        <v>3055</v>
      </c>
      <c r="I372">
        <v>213.41</v>
      </c>
      <c r="J372">
        <v>155.26</v>
      </c>
      <c r="K372">
        <v>58.15</v>
      </c>
      <c r="L372">
        <v>0</v>
      </c>
    </row>
    <row r="373" spans="3:12">
      <c r="C373">
        <v>369</v>
      </c>
      <c r="D373" t="s">
        <v>3060</v>
      </c>
      <c r="E373">
        <v>14</v>
      </c>
      <c r="F373">
        <v>1</v>
      </c>
      <c r="G373">
        <v>101</v>
      </c>
      <c r="H373" t="s">
        <v>3055</v>
      </c>
      <c r="I373">
        <v>404.62</v>
      </c>
      <c r="J373">
        <v>142.86000000000001</v>
      </c>
      <c r="K373">
        <v>0</v>
      </c>
      <c r="L373">
        <v>261.76</v>
      </c>
    </row>
    <row r="374" spans="3:12">
      <c r="C374">
        <v>370</v>
      </c>
      <c r="D374" t="s">
        <v>3060</v>
      </c>
      <c r="E374">
        <v>14</v>
      </c>
      <c r="F374">
        <v>1</v>
      </c>
      <c r="G374">
        <v>102</v>
      </c>
      <c r="H374" t="s">
        <v>3055</v>
      </c>
      <c r="I374">
        <v>404.62</v>
      </c>
      <c r="J374">
        <v>142.86000000000001</v>
      </c>
      <c r="K374">
        <v>0</v>
      </c>
      <c r="L374">
        <v>261.76</v>
      </c>
    </row>
    <row r="375" spans="3:12">
      <c r="C375">
        <v>371</v>
      </c>
      <c r="D375" t="s">
        <v>3060</v>
      </c>
      <c r="E375">
        <v>14</v>
      </c>
      <c r="F375">
        <v>1</v>
      </c>
      <c r="G375">
        <v>201</v>
      </c>
      <c r="H375" t="s">
        <v>3055</v>
      </c>
      <c r="I375">
        <v>318.26</v>
      </c>
      <c r="J375">
        <v>162.03</v>
      </c>
      <c r="K375">
        <v>0</v>
      </c>
      <c r="L375">
        <v>156.23000000000002</v>
      </c>
    </row>
    <row r="376" spans="3:12">
      <c r="C376">
        <v>372</v>
      </c>
      <c r="D376" t="s">
        <v>3060</v>
      </c>
      <c r="E376">
        <v>14</v>
      </c>
      <c r="F376">
        <v>1</v>
      </c>
      <c r="G376">
        <v>202</v>
      </c>
      <c r="H376" t="s">
        <v>3055</v>
      </c>
      <c r="I376">
        <v>337.18</v>
      </c>
      <c r="J376">
        <v>162.03</v>
      </c>
      <c r="K376">
        <v>0</v>
      </c>
      <c r="L376">
        <v>175.15</v>
      </c>
    </row>
    <row r="377" spans="3:12">
      <c r="C377">
        <v>373</v>
      </c>
      <c r="D377" t="s">
        <v>3060</v>
      </c>
      <c r="E377">
        <v>14</v>
      </c>
      <c r="F377">
        <v>1</v>
      </c>
      <c r="G377">
        <v>301</v>
      </c>
      <c r="H377" t="s">
        <v>3055</v>
      </c>
      <c r="I377">
        <v>155.5</v>
      </c>
      <c r="J377">
        <v>155.5</v>
      </c>
      <c r="K377">
        <v>0</v>
      </c>
      <c r="L377">
        <v>0</v>
      </c>
    </row>
    <row r="378" spans="3:12">
      <c r="C378">
        <v>374</v>
      </c>
      <c r="D378" t="s">
        <v>3060</v>
      </c>
      <c r="E378">
        <v>14</v>
      </c>
      <c r="F378">
        <v>1</v>
      </c>
      <c r="G378">
        <v>302</v>
      </c>
      <c r="H378" t="s">
        <v>3055</v>
      </c>
      <c r="I378">
        <v>155.5</v>
      </c>
      <c r="J378">
        <v>155.5</v>
      </c>
      <c r="K378">
        <v>0</v>
      </c>
      <c r="L378">
        <v>0</v>
      </c>
    </row>
    <row r="379" spans="3:12">
      <c r="C379">
        <v>375</v>
      </c>
      <c r="D379" t="s">
        <v>3060</v>
      </c>
      <c r="E379">
        <v>14</v>
      </c>
      <c r="F379">
        <v>1</v>
      </c>
      <c r="G379">
        <v>401</v>
      </c>
      <c r="H379" t="s">
        <v>3055</v>
      </c>
      <c r="I379">
        <v>155.5</v>
      </c>
      <c r="J379">
        <v>155.5</v>
      </c>
      <c r="K379">
        <v>0</v>
      </c>
      <c r="L379">
        <v>0</v>
      </c>
    </row>
    <row r="380" spans="3:12">
      <c r="C380">
        <v>376</v>
      </c>
      <c r="D380" t="s">
        <v>3060</v>
      </c>
      <c r="E380">
        <v>14</v>
      </c>
      <c r="F380">
        <v>1</v>
      </c>
      <c r="G380">
        <v>402</v>
      </c>
      <c r="H380" t="s">
        <v>3055</v>
      </c>
      <c r="I380">
        <v>155.5</v>
      </c>
      <c r="J380">
        <v>155.5</v>
      </c>
      <c r="K380">
        <v>0</v>
      </c>
      <c r="L380">
        <v>0</v>
      </c>
    </row>
    <row r="381" spans="3:12">
      <c r="C381">
        <v>377</v>
      </c>
      <c r="D381" t="s">
        <v>3060</v>
      </c>
      <c r="E381">
        <v>14</v>
      </c>
      <c r="F381">
        <v>1</v>
      </c>
      <c r="G381">
        <v>501</v>
      </c>
      <c r="H381" t="s">
        <v>3055</v>
      </c>
      <c r="I381">
        <v>155.5</v>
      </c>
      <c r="J381">
        <v>155.5</v>
      </c>
      <c r="K381">
        <v>0</v>
      </c>
      <c r="L381">
        <v>0</v>
      </c>
    </row>
    <row r="382" spans="3:12">
      <c r="C382">
        <v>378</v>
      </c>
      <c r="D382" t="s">
        <v>3060</v>
      </c>
      <c r="E382">
        <v>14</v>
      </c>
      <c r="F382">
        <v>1</v>
      </c>
      <c r="G382">
        <v>502</v>
      </c>
      <c r="H382" t="s">
        <v>3055</v>
      </c>
      <c r="I382">
        <v>155.5</v>
      </c>
      <c r="J382">
        <v>155.5</v>
      </c>
      <c r="K382">
        <v>0</v>
      </c>
      <c r="L382">
        <v>0</v>
      </c>
    </row>
    <row r="383" spans="3:12">
      <c r="C383">
        <v>379</v>
      </c>
      <c r="D383" t="s">
        <v>3060</v>
      </c>
      <c r="E383">
        <v>14</v>
      </c>
      <c r="F383">
        <v>1</v>
      </c>
      <c r="G383">
        <v>601</v>
      </c>
      <c r="H383" t="s">
        <v>3055</v>
      </c>
      <c r="I383">
        <v>155.5</v>
      </c>
      <c r="J383">
        <v>155.5</v>
      </c>
      <c r="K383">
        <v>0</v>
      </c>
      <c r="L383">
        <v>0</v>
      </c>
    </row>
    <row r="384" spans="3:12">
      <c r="C384">
        <v>380</v>
      </c>
      <c r="D384" t="s">
        <v>3060</v>
      </c>
      <c r="E384">
        <v>14</v>
      </c>
      <c r="F384">
        <v>1</v>
      </c>
      <c r="G384">
        <v>602</v>
      </c>
      <c r="H384" t="s">
        <v>3055</v>
      </c>
      <c r="I384">
        <v>155.5</v>
      </c>
      <c r="J384">
        <v>155.5</v>
      </c>
      <c r="K384">
        <v>0</v>
      </c>
      <c r="L384">
        <v>0</v>
      </c>
    </row>
    <row r="385" spans="3:12">
      <c r="C385">
        <v>381</v>
      </c>
      <c r="D385" t="s">
        <v>3060</v>
      </c>
      <c r="E385">
        <v>14</v>
      </c>
      <c r="F385">
        <v>1</v>
      </c>
      <c r="G385">
        <v>701</v>
      </c>
      <c r="H385" t="s">
        <v>3055</v>
      </c>
      <c r="I385">
        <v>155.5</v>
      </c>
      <c r="J385">
        <v>155.5</v>
      </c>
      <c r="K385">
        <v>0</v>
      </c>
      <c r="L385">
        <v>0</v>
      </c>
    </row>
    <row r="386" spans="3:12">
      <c r="C386">
        <v>382</v>
      </c>
      <c r="D386" t="s">
        <v>3060</v>
      </c>
      <c r="E386">
        <v>14</v>
      </c>
      <c r="F386">
        <v>1</v>
      </c>
      <c r="G386">
        <v>702</v>
      </c>
      <c r="H386" t="s">
        <v>3055</v>
      </c>
      <c r="I386">
        <v>155.5</v>
      </c>
      <c r="J386">
        <v>155.5</v>
      </c>
      <c r="K386">
        <v>0</v>
      </c>
      <c r="L386">
        <v>0</v>
      </c>
    </row>
    <row r="387" spans="3:12">
      <c r="C387">
        <v>383</v>
      </c>
      <c r="D387" t="s">
        <v>3060</v>
      </c>
      <c r="E387">
        <v>14</v>
      </c>
      <c r="F387">
        <v>1</v>
      </c>
      <c r="G387">
        <v>801</v>
      </c>
      <c r="H387" t="s">
        <v>3055</v>
      </c>
      <c r="I387">
        <v>213.68</v>
      </c>
      <c r="J387">
        <v>155.5</v>
      </c>
      <c r="K387">
        <v>58.18</v>
      </c>
      <c r="L387">
        <v>0</v>
      </c>
    </row>
    <row r="388" spans="3:12">
      <c r="C388">
        <v>384</v>
      </c>
      <c r="D388" t="s">
        <v>3060</v>
      </c>
      <c r="E388">
        <v>14</v>
      </c>
      <c r="F388">
        <v>1</v>
      </c>
      <c r="G388">
        <v>802</v>
      </c>
      <c r="H388" t="s">
        <v>3055</v>
      </c>
      <c r="I388">
        <v>229.83</v>
      </c>
      <c r="J388">
        <v>155.5</v>
      </c>
      <c r="K388">
        <v>74.33</v>
      </c>
      <c r="L388">
        <v>0</v>
      </c>
    </row>
    <row r="389" spans="3:12">
      <c r="C389">
        <v>385</v>
      </c>
      <c r="D389" t="s">
        <v>3060</v>
      </c>
      <c r="E389">
        <v>14</v>
      </c>
      <c r="F389">
        <v>2</v>
      </c>
      <c r="G389">
        <v>103</v>
      </c>
      <c r="H389" t="s">
        <v>3055</v>
      </c>
      <c r="I389">
        <v>404.09</v>
      </c>
      <c r="J389">
        <v>142.84</v>
      </c>
      <c r="K389">
        <v>0</v>
      </c>
      <c r="L389">
        <v>261.25</v>
      </c>
    </row>
    <row r="390" spans="3:12">
      <c r="C390">
        <v>386</v>
      </c>
      <c r="D390" t="s">
        <v>3060</v>
      </c>
      <c r="E390">
        <v>14</v>
      </c>
      <c r="F390">
        <v>2</v>
      </c>
      <c r="G390">
        <v>104</v>
      </c>
      <c r="H390" t="s">
        <v>3055</v>
      </c>
      <c r="I390">
        <v>404.55</v>
      </c>
      <c r="J390">
        <v>142.84</v>
      </c>
      <c r="K390">
        <v>0</v>
      </c>
      <c r="L390">
        <v>261.71000000000004</v>
      </c>
    </row>
    <row r="391" spans="3:12">
      <c r="C391">
        <v>387</v>
      </c>
      <c r="D391" t="s">
        <v>3060</v>
      </c>
      <c r="E391">
        <v>14</v>
      </c>
      <c r="F391">
        <v>2</v>
      </c>
      <c r="G391">
        <v>203</v>
      </c>
      <c r="H391" t="s">
        <v>3055</v>
      </c>
      <c r="I391">
        <v>336.79</v>
      </c>
      <c r="J391">
        <v>162.01</v>
      </c>
      <c r="K391">
        <v>0</v>
      </c>
      <c r="L391">
        <v>174.78</v>
      </c>
    </row>
    <row r="392" spans="3:12">
      <c r="C392">
        <v>388</v>
      </c>
      <c r="D392" t="s">
        <v>3060</v>
      </c>
      <c r="E392">
        <v>14</v>
      </c>
      <c r="F392">
        <v>2</v>
      </c>
      <c r="G392">
        <v>204</v>
      </c>
      <c r="H392" t="s">
        <v>3055</v>
      </c>
      <c r="I392">
        <v>317.89</v>
      </c>
      <c r="J392">
        <v>162.01</v>
      </c>
      <c r="K392">
        <v>0</v>
      </c>
      <c r="L392">
        <v>155.88</v>
      </c>
    </row>
    <row r="393" spans="3:12">
      <c r="C393">
        <v>389</v>
      </c>
      <c r="D393" t="s">
        <v>3060</v>
      </c>
      <c r="E393">
        <v>14</v>
      </c>
      <c r="F393">
        <v>2</v>
      </c>
      <c r="G393">
        <v>303</v>
      </c>
      <c r="H393" t="s">
        <v>3055</v>
      </c>
      <c r="I393">
        <v>155.49</v>
      </c>
      <c r="J393">
        <v>155.49</v>
      </c>
      <c r="K393">
        <v>0</v>
      </c>
      <c r="L393">
        <v>0</v>
      </c>
    </row>
    <row r="394" spans="3:12">
      <c r="C394">
        <v>390</v>
      </c>
      <c r="D394" t="s">
        <v>3060</v>
      </c>
      <c r="E394">
        <v>14</v>
      </c>
      <c r="F394">
        <v>2</v>
      </c>
      <c r="G394">
        <v>304</v>
      </c>
      <c r="H394" t="s">
        <v>3055</v>
      </c>
      <c r="I394">
        <v>155.49</v>
      </c>
      <c r="J394">
        <v>155.49</v>
      </c>
      <c r="K394">
        <v>0</v>
      </c>
      <c r="L394">
        <v>0</v>
      </c>
    </row>
    <row r="395" spans="3:12">
      <c r="C395">
        <v>391</v>
      </c>
      <c r="D395" t="s">
        <v>3060</v>
      </c>
      <c r="E395">
        <v>14</v>
      </c>
      <c r="F395">
        <v>2</v>
      </c>
      <c r="G395">
        <v>403</v>
      </c>
      <c r="H395" t="s">
        <v>3055</v>
      </c>
      <c r="I395">
        <v>155.49</v>
      </c>
      <c r="J395">
        <v>155.49</v>
      </c>
      <c r="K395">
        <v>0</v>
      </c>
      <c r="L395">
        <v>0</v>
      </c>
    </row>
    <row r="396" spans="3:12">
      <c r="C396">
        <v>392</v>
      </c>
      <c r="D396" t="s">
        <v>3060</v>
      </c>
      <c r="E396">
        <v>14</v>
      </c>
      <c r="F396">
        <v>2</v>
      </c>
      <c r="G396">
        <v>404</v>
      </c>
      <c r="H396" t="s">
        <v>3055</v>
      </c>
      <c r="I396">
        <v>155.49</v>
      </c>
      <c r="J396">
        <v>155.49</v>
      </c>
      <c r="K396">
        <v>0</v>
      </c>
      <c r="L396">
        <v>0</v>
      </c>
    </row>
    <row r="397" spans="3:12">
      <c r="C397">
        <v>393</v>
      </c>
      <c r="D397" t="s">
        <v>3060</v>
      </c>
      <c r="E397">
        <v>14</v>
      </c>
      <c r="F397">
        <v>2</v>
      </c>
      <c r="G397">
        <v>503</v>
      </c>
      <c r="H397" t="s">
        <v>3055</v>
      </c>
      <c r="I397">
        <v>155.49</v>
      </c>
      <c r="J397">
        <v>155.49</v>
      </c>
      <c r="K397">
        <v>0</v>
      </c>
      <c r="L397">
        <v>0</v>
      </c>
    </row>
    <row r="398" spans="3:12">
      <c r="C398">
        <v>394</v>
      </c>
      <c r="D398" t="s">
        <v>3060</v>
      </c>
      <c r="E398">
        <v>14</v>
      </c>
      <c r="F398">
        <v>2</v>
      </c>
      <c r="G398">
        <v>504</v>
      </c>
      <c r="H398" t="s">
        <v>3055</v>
      </c>
      <c r="I398">
        <v>155.49</v>
      </c>
      <c r="J398">
        <v>155.49</v>
      </c>
      <c r="K398">
        <v>0</v>
      </c>
      <c r="L398">
        <v>0</v>
      </c>
    </row>
    <row r="399" spans="3:12">
      <c r="C399">
        <v>395</v>
      </c>
      <c r="D399" t="s">
        <v>3060</v>
      </c>
      <c r="E399">
        <v>14</v>
      </c>
      <c r="F399">
        <v>2</v>
      </c>
      <c r="G399">
        <v>603</v>
      </c>
      <c r="H399" t="s">
        <v>3055</v>
      </c>
      <c r="I399">
        <v>155.49</v>
      </c>
      <c r="J399">
        <v>155.49</v>
      </c>
      <c r="K399">
        <v>0</v>
      </c>
      <c r="L399">
        <v>0</v>
      </c>
    </row>
    <row r="400" spans="3:12">
      <c r="C400">
        <v>396</v>
      </c>
      <c r="D400" t="s">
        <v>3060</v>
      </c>
      <c r="E400">
        <v>14</v>
      </c>
      <c r="F400">
        <v>2</v>
      </c>
      <c r="G400">
        <v>604</v>
      </c>
      <c r="H400" t="s">
        <v>3055</v>
      </c>
      <c r="I400">
        <v>155.49</v>
      </c>
      <c r="J400">
        <v>155.49</v>
      </c>
      <c r="K400">
        <v>0</v>
      </c>
      <c r="L400">
        <v>0</v>
      </c>
    </row>
    <row r="401" spans="3:12">
      <c r="C401">
        <v>397</v>
      </c>
      <c r="D401" t="s">
        <v>3060</v>
      </c>
      <c r="E401">
        <v>14</v>
      </c>
      <c r="F401">
        <v>2</v>
      </c>
      <c r="G401">
        <v>703</v>
      </c>
      <c r="H401" t="s">
        <v>3055</v>
      </c>
      <c r="I401">
        <v>155.49</v>
      </c>
      <c r="J401">
        <v>155.49</v>
      </c>
      <c r="K401">
        <v>0</v>
      </c>
      <c r="L401">
        <v>0</v>
      </c>
    </row>
    <row r="402" spans="3:12">
      <c r="C402">
        <v>398</v>
      </c>
      <c r="D402" t="s">
        <v>3060</v>
      </c>
      <c r="E402">
        <v>14</v>
      </c>
      <c r="F402">
        <v>2</v>
      </c>
      <c r="G402">
        <v>704</v>
      </c>
      <c r="H402" t="s">
        <v>3055</v>
      </c>
      <c r="I402">
        <v>155.49</v>
      </c>
      <c r="J402">
        <v>155.49</v>
      </c>
      <c r="K402">
        <v>0</v>
      </c>
      <c r="L402">
        <v>0</v>
      </c>
    </row>
    <row r="403" spans="3:12">
      <c r="C403">
        <v>399</v>
      </c>
      <c r="D403" t="s">
        <v>3060</v>
      </c>
      <c r="E403">
        <v>14</v>
      </c>
      <c r="F403">
        <v>2</v>
      </c>
      <c r="G403">
        <v>803</v>
      </c>
      <c r="H403" t="s">
        <v>3055</v>
      </c>
      <c r="I403">
        <v>229.82</v>
      </c>
      <c r="J403">
        <v>155.49</v>
      </c>
      <c r="K403">
        <v>74.33</v>
      </c>
      <c r="L403">
        <v>0</v>
      </c>
    </row>
    <row r="404" spans="3:12">
      <c r="C404">
        <v>400</v>
      </c>
      <c r="D404" t="s">
        <v>3060</v>
      </c>
      <c r="E404">
        <v>14</v>
      </c>
      <c r="F404">
        <v>2</v>
      </c>
      <c r="G404">
        <v>804</v>
      </c>
      <c r="H404" t="s">
        <v>3055</v>
      </c>
      <c r="I404">
        <v>213.67</v>
      </c>
      <c r="J404">
        <v>155.49</v>
      </c>
      <c r="K404">
        <v>58.18</v>
      </c>
      <c r="L404">
        <v>0</v>
      </c>
    </row>
    <row r="405" spans="3:12">
      <c r="C405">
        <v>401</v>
      </c>
      <c r="D405" t="s">
        <v>3054</v>
      </c>
      <c r="E405">
        <v>15</v>
      </c>
      <c r="F405">
        <v>1</v>
      </c>
      <c r="G405">
        <v>102</v>
      </c>
      <c r="H405" t="s">
        <v>3055</v>
      </c>
      <c r="I405">
        <v>386.01</v>
      </c>
      <c r="J405">
        <v>132.87</v>
      </c>
      <c r="K405">
        <v>0</v>
      </c>
      <c r="L405">
        <v>253.14</v>
      </c>
    </row>
    <row r="406" spans="3:12">
      <c r="C406">
        <v>402</v>
      </c>
      <c r="D406" t="s">
        <v>3054</v>
      </c>
      <c r="E406">
        <v>15</v>
      </c>
      <c r="F406">
        <v>1</v>
      </c>
      <c r="G406">
        <v>201</v>
      </c>
      <c r="H406" t="s">
        <v>3055</v>
      </c>
      <c r="I406">
        <v>280.07</v>
      </c>
      <c r="J406">
        <v>150.21</v>
      </c>
      <c r="K406">
        <v>0</v>
      </c>
      <c r="L406">
        <v>129.86000000000001</v>
      </c>
    </row>
    <row r="407" spans="3:12">
      <c r="C407">
        <v>403</v>
      </c>
      <c r="D407" t="s">
        <v>3054</v>
      </c>
      <c r="E407">
        <v>15</v>
      </c>
      <c r="F407">
        <v>1</v>
      </c>
      <c r="G407">
        <v>701</v>
      </c>
      <c r="H407" t="s">
        <v>3055</v>
      </c>
      <c r="I407">
        <v>143.55000000000001</v>
      </c>
      <c r="J407">
        <v>143.55000000000001</v>
      </c>
      <c r="K407">
        <v>0</v>
      </c>
      <c r="L407">
        <v>0</v>
      </c>
    </row>
    <row r="408" spans="3:12">
      <c r="C408">
        <v>404</v>
      </c>
      <c r="D408" t="s">
        <v>3054</v>
      </c>
      <c r="E408">
        <v>15</v>
      </c>
      <c r="F408">
        <v>1</v>
      </c>
      <c r="G408">
        <v>801</v>
      </c>
      <c r="H408" t="s">
        <v>3055</v>
      </c>
      <c r="I408">
        <v>143.55000000000001</v>
      </c>
      <c r="J408">
        <v>143.55000000000001</v>
      </c>
      <c r="K408">
        <v>0</v>
      </c>
      <c r="L408">
        <v>0</v>
      </c>
    </row>
    <row r="409" spans="3:12">
      <c r="C409">
        <v>405</v>
      </c>
      <c r="D409" t="s">
        <v>3054</v>
      </c>
      <c r="E409">
        <v>15</v>
      </c>
      <c r="F409">
        <v>1</v>
      </c>
      <c r="G409">
        <v>901</v>
      </c>
      <c r="H409" t="s">
        <v>3055</v>
      </c>
      <c r="I409">
        <v>200.56</v>
      </c>
      <c r="J409">
        <v>143.76</v>
      </c>
      <c r="K409">
        <v>56.8</v>
      </c>
      <c r="L409">
        <v>0</v>
      </c>
    </row>
    <row r="410" spans="3:12">
      <c r="C410">
        <v>406</v>
      </c>
      <c r="D410" t="s">
        <v>3054</v>
      </c>
      <c r="E410">
        <v>15</v>
      </c>
      <c r="F410">
        <v>1</v>
      </c>
      <c r="G410">
        <v>902</v>
      </c>
      <c r="H410" t="s">
        <v>3055</v>
      </c>
      <c r="I410">
        <v>200.56</v>
      </c>
      <c r="J410">
        <v>143.76</v>
      </c>
      <c r="K410">
        <v>56.8</v>
      </c>
      <c r="L410">
        <v>0</v>
      </c>
    </row>
    <row r="411" spans="3:12">
      <c r="C411">
        <v>407</v>
      </c>
      <c r="D411" t="s">
        <v>3054</v>
      </c>
      <c r="E411">
        <v>15</v>
      </c>
      <c r="F411">
        <v>2</v>
      </c>
      <c r="G411">
        <v>204</v>
      </c>
      <c r="H411" t="s">
        <v>3055</v>
      </c>
      <c r="I411">
        <v>280.02</v>
      </c>
      <c r="J411">
        <v>150.19</v>
      </c>
      <c r="K411">
        <v>0</v>
      </c>
      <c r="L411">
        <v>129.82999999999998</v>
      </c>
    </row>
    <row r="412" spans="3:12">
      <c r="C412">
        <v>408</v>
      </c>
      <c r="D412" t="s">
        <v>3054</v>
      </c>
      <c r="E412">
        <v>15</v>
      </c>
      <c r="F412">
        <v>2</v>
      </c>
      <c r="G412">
        <v>1003</v>
      </c>
      <c r="H412" t="s">
        <v>3055</v>
      </c>
      <c r="I412">
        <v>143.53</v>
      </c>
      <c r="J412">
        <v>143.53</v>
      </c>
      <c r="K412">
        <v>0</v>
      </c>
      <c r="L412">
        <v>0</v>
      </c>
    </row>
    <row r="413" spans="3:12">
      <c r="C413">
        <v>409</v>
      </c>
      <c r="D413" t="s">
        <v>3054</v>
      </c>
      <c r="E413">
        <v>15</v>
      </c>
      <c r="F413">
        <v>2</v>
      </c>
      <c r="G413">
        <v>1103</v>
      </c>
      <c r="H413" t="s">
        <v>3055</v>
      </c>
      <c r="I413">
        <v>200.52</v>
      </c>
      <c r="J413">
        <v>143.75</v>
      </c>
      <c r="K413">
        <v>56.77</v>
      </c>
      <c r="L413">
        <v>0</v>
      </c>
    </row>
    <row r="414" spans="3:12">
      <c r="C414">
        <v>410</v>
      </c>
      <c r="D414" t="s">
        <v>3060</v>
      </c>
      <c r="E414">
        <v>16</v>
      </c>
      <c r="F414">
        <v>1</v>
      </c>
      <c r="G414">
        <v>101</v>
      </c>
      <c r="H414" t="s">
        <v>3055</v>
      </c>
      <c r="I414">
        <v>403.7</v>
      </c>
      <c r="J414">
        <v>135.34</v>
      </c>
      <c r="K414">
        <v>0</v>
      </c>
      <c r="L414">
        <v>268.36</v>
      </c>
    </row>
    <row r="415" spans="3:12">
      <c r="C415">
        <v>411</v>
      </c>
      <c r="D415" t="s">
        <v>3060</v>
      </c>
      <c r="E415">
        <v>16</v>
      </c>
      <c r="F415">
        <v>1</v>
      </c>
      <c r="G415">
        <v>102</v>
      </c>
      <c r="H415" t="s">
        <v>3055</v>
      </c>
      <c r="I415">
        <v>411.4</v>
      </c>
      <c r="J415">
        <v>142.97999999999999</v>
      </c>
      <c r="K415">
        <v>0</v>
      </c>
      <c r="L415">
        <v>268.42</v>
      </c>
    </row>
    <row r="416" spans="3:12">
      <c r="C416">
        <v>412</v>
      </c>
      <c r="D416" t="s">
        <v>3060</v>
      </c>
      <c r="E416">
        <v>16</v>
      </c>
      <c r="F416">
        <v>1</v>
      </c>
      <c r="G416">
        <v>201</v>
      </c>
      <c r="H416" t="s">
        <v>3055</v>
      </c>
      <c r="I416">
        <v>317.01</v>
      </c>
      <c r="J416">
        <v>162.16999999999999</v>
      </c>
      <c r="K416">
        <v>0</v>
      </c>
      <c r="L416">
        <v>154.83999999999997</v>
      </c>
    </row>
    <row r="417" spans="3:12">
      <c r="C417">
        <v>413</v>
      </c>
      <c r="D417" t="s">
        <v>3060</v>
      </c>
      <c r="E417">
        <v>16</v>
      </c>
      <c r="F417">
        <v>1</v>
      </c>
      <c r="G417">
        <v>202</v>
      </c>
      <c r="H417" t="s">
        <v>3055</v>
      </c>
      <c r="I417">
        <v>335.99</v>
      </c>
      <c r="J417">
        <v>162.16999999999999</v>
      </c>
      <c r="K417">
        <v>0</v>
      </c>
      <c r="L417">
        <v>173.82</v>
      </c>
    </row>
    <row r="418" spans="3:12">
      <c r="C418">
        <v>414</v>
      </c>
      <c r="D418" t="s">
        <v>3060</v>
      </c>
      <c r="E418">
        <v>16</v>
      </c>
      <c r="F418">
        <v>1</v>
      </c>
      <c r="G418">
        <v>302</v>
      </c>
      <c r="H418" t="s">
        <v>3055</v>
      </c>
      <c r="I418">
        <v>155.63999999999999</v>
      </c>
      <c r="J418">
        <v>155.63999999999999</v>
      </c>
      <c r="K418">
        <v>0</v>
      </c>
      <c r="L418">
        <v>0</v>
      </c>
    </row>
    <row r="419" spans="3:12">
      <c r="C419">
        <v>415</v>
      </c>
      <c r="D419" t="s">
        <v>3060</v>
      </c>
      <c r="E419">
        <v>16</v>
      </c>
      <c r="F419">
        <v>1</v>
      </c>
      <c r="G419">
        <v>402</v>
      </c>
      <c r="H419" t="s">
        <v>3055</v>
      </c>
      <c r="I419">
        <v>155.63999999999999</v>
      </c>
      <c r="J419">
        <v>155.63999999999999</v>
      </c>
      <c r="K419">
        <v>0</v>
      </c>
      <c r="L419">
        <v>0</v>
      </c>
    </row>
    <row r="420" spans="3:12">
      <c r="C420">
        <v>416</v>
      </c>
      <c r="D420" t="s">
        <v>3060</v>
      </c>
      <c r="E420">
        <v>16</v>
      </c>
      <c r="F420">
        <v>1</v>
      </c>
      <c r="G420">
        <v>602</v>
      </c>
      <c r="H420" t="s">
        <v>3055</v>
      </c>
      <c r="I420">
        <v>228.71</v>
      </c>
      <c r="J420">
        <v>155.63999999999999</v>
      </c>
      <c r="K420">
        <v>73.069999999999993</v>
      </c>
      <c r="L420">
        <v>0</v>
      </c>
    </row>
    <row r="421" spans="3:12">
      <c r="C421">
        <v>417</v>
      </c>
      <c r="D421" t="s">
        <v>3060</v>
      </c>
      <c r="E421">
        <v>16</v>
      </c>
      <c r="F421">
        <v>2</v>
      </c>
      <c r="G421">
        <v>103</v>
      </c>
      <c r="H421" t="s">
        <v>3055</v>
      </c>
      <c r="I421">
        <v>411.39</v>
      </c>
      <c r="J421">
        <v>142.97999999999999</v>
      </c>
      <c r="K421">
        <v>0</v>
      </c>
      <c r="L421">
        <v>268.40999999999997</v>
      </c>
    </row>
    <row r="422" spans="3:12">
      <c r="C422">
        <v>418</v>
      </c>
      <c r="D422" t="s">
        <v>3060</v>
      </c>
      <c r="E422">
        <v>16</v>
      </c>
      <c r="F422">
        <v>2</v>
      </c>
      <c r="G422">
        <v>104</v>
      </c>
      <c r="H422" t="s">
        <v>3055</v>
      </c>
      <c r="I422">
        <v>403.69</v>
      </c>
      <c r="J422">
        <v>135.34</v>
      </c>
      <c r="K422">
        <v>0</v>
      </c>
      <c r="L422">
        <v>268.35000000000002</v>
      </c>
    </row>
    <row r="423" spans="3:12">
      <c r="C423">
        <v>419</v>
      </c>
      <c r="D423" t="s">
        <v>3060</v>
      </c>
      <c r="E423">
        <v>16</v>
      </c>
      <c r="F423">
        <v>2</v>
      </c>
      <c r="G423">
        <v>203</v>
      </c>
      <c r="H423" t="s">
        <v>3055</v>
      </c>
      <c r="I423">
        <v>335.98</v>
      </c>
      <c r="J423">
        <v>162.16999999999999</v>
      </c>
      <c r="K423">
        <v>0</v>
      </c>
      <c r="L423">
        <v>173.81</v>
      </c>
    </row>
    <row r="424" spans="3:12">
      <c r="C424">
        <v>420</v>
      </c>
      <c r="D424" t="s">
        <v>3060</v>
      </c>
      <c r="E424">
        <v>16</v>
      </c>
      <c r="F424">
        <v>2</v>
      </c>
      <c r="G424">
        <v>204</v>
      </c>
      <c r="H424" t="s">
        <v>3055</v>
      </c>
      <c r="I424">
        <v>317</v>
      </c>
      <c r="J424">
        <v>162.16999999999999</v>
      </c>
      <c r="K424">
        <v>0</v>
      </c>
      <c r="L424">
        <v>154.82999999999998</v>
      </c>
    </row>
    <row r="425" spans="3:12">
      <c r="C425">
        <v>421</v>
      </c>
      <c r="D425" t="s">
        <v>3060</v>
      </c>
      <c r="E425">
        <v>16</v>
      </c>
      <c r="F425">
        <v>2</v>
      </c>
      <c r="G425">
        <v>304</v>
      </c>
      <c r="H425" t="s">
        <v>3055</v>
      </c>
      <c r="I425">
        <v>155.63999999999999</v>
      </c>
      <c r="J425">
        <v>155.63999999999999</v>
      </c>
      <c r="K425">
        <v>0</v>
      </c>
      <c r="L425">
        <v>0</v>
      </c>
    </row>
    <row r="426" spans="3:12">
      <c r="C426">
        <v>422</v>
      </c>
      <c r="D426" t="s">
        <v>3060</v>
      </c>
      <c r="E426">
        <v>16</v>
      </c>
      <c r="F426">
        <v>2</v>
      </c>
      <c r="G426">
        <v>403</v>
      </c>
      <c r="H426" t="s">
        <v>3055</v>
      </c>
      <c r="I426">
        <v>155.63999999999999</v>
      </c>
      <c r="J426">
        <v>155.63999999999999</v>
      </c>
      <c r="K426">
        <v>0</v>
      </c>
      <c r="L426">
        <v>0</v>
      </c>
    </row>
    <row r="427" spans="3:12">
      <c r="C427">
        <v>423</v>
      </c>
      <c r="D427" t="s">
        <v>3060</v>
      </c>
      <c r="E427">
        <v>16</v>
      </c>
      <c r="F427">
        <v>2</v>
      </c>
      <c r="G427">
        <v>503</v>
      </c>
      <c r="H427" t="s">
        <v>3055</v>
      </c>
      <c r="I427">
        <v>155.63999999999999</v>
      </c>
      <c r="J427">
        <v>155.63999999999999</v>
      </c>
      <c r="K427">
        <v>0</v>
      </c>
      <c r="L427">
        <v>0</v>
      </c>
    </row>
    <row r="428" spans="3:12">
      <c r="C428">
        <v>424</v>
      </c>
      <c r="D428" t="s">
        <v>3060</v>
      </c>
      <c r="E428">
        <v>16</v>
      </c>
      <c r="F428">
        <v>2</v>
      </c>
      <c r="G428">
        <v>504</v>
      </c>
      <c r="H428" t="s">
        <v>3055</v>
      </c>
      <c r="I428">
        <v>155.63999999999999</v>
      </c>
      <c r="J428">
        <v>155.63999999999999</v>
      </c>
      <c r="K428">
        <v>0</v>
      </c>
      <c r="L428">
        <v>0</v>
      </c>
    </row>
    <row r="429" spans="3:12">
      <c r="C429">
        <v>425</v>
      </c>
      <c r="D429" t="s">
        <v>3060</v>
      </c>
      <c r="E429">
        <v>16</v>
      </c>
      <c r="F429">
        <v>2</v>
      </c>
      <c r="G429">
        <v>603</v>
      </c>
      <c r="H429" t="s">
        <v>3055</v>
      </c>
      <c r="I429">
        <v>228.71</v>
      </c>
      <c r="J429">
        <v>155.63999999999999</v>
      </c>
      <c r="K429">
        <v>73.069999999999993</v>
      </c>
      <c r="L429">
        <v>0</v>
      </c>
    </row>
    <row r="430" spans="3:12">
      <c r="C430">
        <v>426</v>
      </c>
      <c r="D430" t="s">
        <v>3060</v>
      </c>
      <c r="E430">
        <v>16</v>
      </c>
      <c r="F430">
        <v>2</v>
      </c>
      <c r="G430">
        <v>604</v>
      </c>
      <c r="H430" t="s">
        <v>3055</v>
      </c>
      <c r="I430">
        <v>212.59</v>
      </c>
      <c r="J430">
        <v>155.63999999999999</v>
      </c>
      <c r="K430">
        <v>56.95</v>
      </c>
      <c r="L430">
        <v>0</v>
      </c>
    </row>
    <row r="431" spans="3:12">
      <c r="C431">
        <v>427</v>
      </c>
      <c r="D431" t="s">
        <v>3060</v>
      </c>
      <c r="E431">
        <v>17</v>
      </c>
      <c r="F431">
        <v>1</v>
      </c>
      <c r="G431">
        <v>101</v>
      </c>
      <c r="H431" t="s">
        <v>3055</v>
      </c>
      <c r="I431">
        <v>403.29</v>
      </c>
      <c r="J431">
        <v>135.4</v>
      </c>
      <c r="K431">
        <v>0</v>
      </c>
      <c r="L431">
        <v>267.89</v>
      </c>
    </row>
    <row r="432" spans="3:12">
      <c r="C432">
        <v>428</v>
      </c>
      <c r="D432" t="s">
        <v>3060</v>
      </c>
      <c r="E432">
        <v>17</v>
      </c>
      <c r="F432">
        <v>1</v>
      </c>
      <c r="G432">
        <v>201</v>
      </c>
      <c r="H432" t="s">
        <v>3055</v>
      </c>
      <c r="I432">
        <v>316.82</v>
      </c>
      <c r="J432">
        <v>162.26</v>
      </c>
      <c r="K432">
        <v>0</v>
      </c>
      <c r="L432">
        <v>154.56</v>
      </c>
    </row>
    <row r="433" spans="3:12">
      <c r="C433">
        <v>429</v>
      </c>
      <c r="D433" t="s">
        <v>3060</v>
      </c>
      <c r="E433">
        <v>17</v>
      </c>
      <c r="F433">
        <v>1</v>
      </c>
      <c r="G433">
        <v>202</v>
      </c>
      <c r="H433" t="s">
        <v>3055</v>
      </c>
      <c r="I433">
        <v>335.74</v>
      </c>
      <c r="J433">
        <v>162.26</v>
      </c>
      <c r="K433">
        <v>0</v>
      </c>
      <c r="L433">
        <v>173.48000000000002</v>
      </c>
    </row>
    <row r="434" spans="3:12">
      <c r="C434">
        <v>430</v>
      </c>
      <c r="D434" t="s">
        <v>3060</v>
      </c>
      <c r="E434">
        <v>17</v>
      </c>
      <c r="F434">
        <v>1</v>
      </c>
      <c r="G434">
        <v>702</v>
      </c>
      <c r="H434" t="s">
        <v>3055</v>
      </c>
      <c r="I434">
        <v>228.8</v>
      </c>
      <c r="J434">
        <v>155.72</v>
      </c>
      <c r="K434">
        <v>73.08</v>
      </c>
      <c r="L434">
        <v>0</v>
      </c>
    </row>
    <row r="435" spans="3:12">
      <c r="C435">
        <v>431</v>
      </c>
      <c r="D435" t="s">
        <v>3060</v>
      </c>
      <c r="E435">
        <v>17</v>
      </c>
      <c r="F435">
        <v>2</v>
      </c>
      <c r="G435">
        <v>103</v>
      </c>
      <c r="H435" t="s">
        <v>3055</v>
      </c>
      <c r="I435">
        <v>411.01</v>
      </c>
      <c r="J435">
        <v>143.06</v>
      </c>
      <c r="K435">
        <v>0</v>
      </c>
      <c r="L435">
        <v>267.95</v>
      </c>
    </row>
    <row r="436" spans="3:12">
      <c r="C436">
        <v>432</v>
      </c>
      <c r="D436" t="s">
        <v>3060</v>
      </c>
      <c r="E436">
        <v>17</v>
      </c>
      <c r="F436">
        <v>2</v>
      </c>
      <c r="G436">
        <v>203</v>
      </c>
      <c r="H436" t="s">
        <v>3055</v>
      </c>
      <c r="I436">
        <v>335.74</v>
      </c>
      <c r="J436">
        <v>162.26</v>
      </c>
      <c r="K436">
        <v>0</v>
      </c>
      <c r="L436">
        <v>173.48000000000002</v>
      </c>
    </row>
    <row r="437" spans="3:12">
      <c r="C437">
        <v>433</v>
      </c>
      <c r="D437" t="s">
        <v>3060</v>
      </c>
      <c r="E437">
        <v>17</v>
      </c>
      <c r="F437">
        <v>2</v>
      </c>
      <c r="G437">
        <v>204</v>
      </c>
      <c r="H437" t="s">
        <v>3055</v>
      </c>
      <c r="I437">
        <v>316.82</v>
      </c>
      <c r="J437">
        <v>162.26</v>
      </c>
      <c r="K437">
        <v>0</v>
      </c>
      <c r="L437">
        <v>154.56</v>
      </c>
    </row>
    <row r="438" spans="3:12">
      <c r="C438">
        <v>434</v>
      </c>
      <c r="D438" t="s">
        <v>3054</v>
      </c>
      <c r="E438">
        <v>18</v>
      </c>
      <c r="F438">
        <v>1</v>
      </c>
      <c r="G438">
        <v>102</v>
      </c>
      <c r="H438" t="s">
        <v>3055</v>
      </c>
      <c r="I438">
        <v>340.92</v>
      </c>
      <c r="J438">
        <v>141.94</v>
      </c>
      <c r="K438">
        <v>0</v>
      </c>
      <c r="L438">
        <v>198.98000000000002</v>
      </c>
    </row>
    <row r="439" spans="3:12">
      <c r="C439">
        <v>435</v>
      </c>
      <c r="D439" t="s">
        <v>3054</v>
      </c>
      <c r="E439">
        <v>18</v>
      </c>
      <c r="F439">
        <v>1</v>
      </c>
      <c r="G439">
        <v>201</v>
      </c>
      <c r="H439" t="s">
        <v>3055</v>
      </c>
      <c r="I439">
        <v>334.06</v>
      </c>
      <c r="J439">
        <v>162.91999999999999</v>
      </c>
      <c r="K439">
        <v>0</v>
      </c>
      <c r="L439">
        <v>171.14</v>
      </c>
    </row>
    <row r="440" spans="3:12">
      <c r="C440">
        <v>436</v>
      </c>
      <c r="D440" t="s">
        <v>3054</v>
      </c>
      <c r="E440">
        <v>18</v>
      </c>
      <c r="F440">
        <v>1</v>
      </c>
      <c r="G440">
        <v>202</v>
      </c>
      <c r="H440" t="s">
        <v>3055</v>
      </c>
      <c r="I440">
        <v>315.67</v>
      </c>
      <c r="J440">
        <v>162.91999999999999</v>
      </c>
      <c r="K440">
        <v>0</v>
      </c>
      <c r="L440">
        <v>152.75</v>
      </c>
    </row>
    <row r="441" spans="3:12">
      <c r="C441">
        <v>437</v>
      </c>
      <c r="D441" t="s">
        <v>3060</v>
      </c>
      <c r="E441">
        <v>19</v>
      </c>
      <c r="F441">
        <v>1</v>
      </c>
      <c r="G441">
        <v>101</v>
      </c>
      <c r="H441" t="s">
        <v>3055</v>
      </c>
      <c r="I441">
        <v>403.63</v>
      </c>
      <c r="J441">
        <v>135.34</v>
      </c>
      <c r="K441">
        <v>0</v>
      </c>
      <c r="L441">
        <v>268.29000000000002</v>
      </c>
    </row>
    <row r="442" spans="3:12">
      <c r="C442">
        <v>438</v>
      </c>
      <c r="D442" t="s">
        <v>3060</v>
      </c>
      <c r="E442">
        <v>19</v>
      </c>
      <c r="F442">
        <v>1</v>
      </c>
      <c r="G442">
        <v>102</v>
      </c>
      <c r="H442" t="s">
        <v>3055</v>
      </c>
      <c r="I442">
        <v>411.33</v>
      </c>
      <c r="J442">
        <v>142.97999999999999</v>
      </c>
      <c r="K442">
        <v>0</v>
      </c>
      <c r="L442">
        <v>268.35000000000002</v>
      </c>
    </row>
    <row r="443" spans="3:12">
      <c r="C443">
        <v>439</v>
      </c>
      <c r="D443" t="s">
        <v>3060</v>
      </c>
      <c r="E443">
        <v>19</v>
      </c>
      <c r="F443">
        <v>1</v>
      </c>
      <c r="G443">
        <v>201</v>
      </c>
      <c r="H443" t="s">
        <v>3055</v>
      </c>
      <c r="I443">
        <v>316.95</v>
      </c>
      <c r="J443">
        <v>162.16</v>
      </c>
      <c r="K443">
        <v>0</v>
      </c>
      <c r="L443">
        <v>154.79000000000002</v>
      </c>
    </row>
    <row r="444" spans="3:12">
      <c r="C444">
        <v>440</v>
      </c>
      <c r="D444" t="s">
        <v>3060</v>
      </c>
      <c r="E444">
        <v>19</v>
      </c>
      <c r="F444">
        <v>1</v>
      </c>
      <c r="G444">
        <v>202</v>
      </c>
      <c r="H444" t="s">
        <v>3055</v>
      </c>
      <c r="I444">
        <v>335.93</v>
      </c>
      <c r="J444">
        <v>162.16</v>
      </c>
      <c r="K444">
        <v>0</v>
      </c>
      <c r="L444">
        <v>173.77</v>
      </c>
    </row>
    <row r="445" spans="3:12">
      <c r="C445">
        <v>441</v>
      </c>
      <c r="D445" t="s">
        <v>3060</v>
      </c>
      <c r="E445">
        <v>19</v>
      </c>
      <c r="F445">
        <v>1</v>
      </c>
      <c r="G445">
        <v>302</v>
      </c>
      <c r="H445" t="s">
        <v>3055</v>
      </c>
      <c r="I445">
        <v>155.63</v>
      </c>
      <c r="J445">
        <v>155.63</v>
      </c>
      <c r="K445">
        <v>0</v>
      </c>
      <c r="L445">
        <v>0</v>
      </c>
    </row>
    <row r="446" spans="3:12">
      <c r="C446">
        <v>442</v>
      </c>
      <c r="D446" t="s">
        <v>3060</v>
      </c>
      <c r="E446">
        <v>19</v>
      </c>
      <c r="F446">
        <v>1</v>
      </c>
      <c r="G446">
        <v>401</v>
      </c>
      <c r="H446" t="s">
        <v>3055</v>
      </c>
      <c r="I446">
        <v>155.63</v>
      </c>
      <c r="J446">
        <v>155.63</v>
      </c>
      <c r="K446">
        <v>0</v>
      </c>
      <c r="L446">
        <v>0</v>
      </c>
    </row>
    <row r="447" spans="3:12">
      <c r="C447">
        <v>443</v>
      </c>
      <c r="D447" t="s">
        <v>3060</v>
      </c>
      <c r="E447">
        <v>19</v>
      </c>
      <c r="F447">
        <v>1</v>
      </c>
      <c r="G447">
        <v>402</v>
      </c>
      <c r="H447" t="s">
        <v>3055</v>
      </c>
      <c r="I447">
        <v>155.63</v>
      </c>
      <c r="J447">
        <v>155.63</v>
      </c>
      <c r="K447">
        <v>0</v>
      </c>
      <c r="L447">
        <v>0</v>
      </c>
    </row>
    <row r="448" spans="3:12">
      <c r="C448">
        <v>444</v>
      </c>
      <c r="D448" t="s">
        <v>3060</v>
      </c>
      <c r="E448">
        <v>19</v>
      </c>
      <c r="F448">
        <v>1</v>
      </c>
      <c r="G448">
        <v>501</v>
      </c>
      <c r="H448" t="s">
        <v>3055</v>
      </c>
      <c r="I448">
        <v>155.63</v>
      </c>
      <c r="J448">
        <v>155.63</v>
      </c>
      <c r="K448">
        <v>0</v>
      </c>
      <c r="L448">
        <v>0</v>
      </c>
    </row>
    <row r="449" spans="3:12">
      <c r="C449">
        <v>445</v>
      </c>
      <c r="D449" t="s">
        <v>3060</v>
      </c>
      <c r="E449">
        <v>19</v>
      </c>
      <c r="F449">
        <v>1</v>
      </c>
      <c r="G449">
        <v>602</v>
      </c>
      <c r="H449" t="s">
        <v>3055</v>
      </c>
      <c r="I449">
        <v>228.7</v>
      </c>
      <c r="J449">
        <v>155.63</v>
      </c>
      <c r="K449">
        <v>73.069999999999993</v>
      </c>
      <c r="L449">
        <v>0</v>
      </c>
    </row>
    <row r="450" spans="3:12">
      <c r="C450">
        <v>446</v>
      </c>
      <c r="D450" t="s">
        <v>3060</v>
      </c>
      <c r="E450">
        <v>19</v>
      </c>
      <c r="F450">
        <v>2</v>
      </c>
      <c r="G450">
        <v>103</v>
      </c>
      <c r="H450" t="s">
        <v>3055</v>
      </c>
      <c r="I450">
        <v>411.33</v>
      </c>
      <c r="J450">
        <v>142.97999999999999</v>
      </c>
      <c r="K450">
        <v>0</v>
      </c>
      <c r="L450">
        <v>268.35000000000002</v>
      </c>
    </row>
    <row r="451" spans="3:12">
      <c r="C451">
        <v>447</v>
      </c>
      <c r="D451" t="s">
        <v>3060</v>
      </c>
      <c r="E451">
        <v>19</v>
      </c>
      <c r="F451">
        <v>2</v>
      </c>
      <c r="G451">
        <v>104</v>
      </c>
      <c r="H451" t="s">
        <v>3055</v>
      </c>
      <c r="I451">
        <v>403.63</v>
      </c>
      <c r="J451">
        <v>135.34</v>
      </c>
      <c r="K451">
        <v>0</v>
      </c>
      <c r="L451">
        <v>268.29000000000002</v>
      </c>
    </row>
    <row r="452" spans="3:12">
      <c r="C452">
        <v>448</v>
      </c>
      <c r="D452" t="s">
        <v>3060</v>
      </c>
      <c r="E452">
        <v>19</v>
      </c>
      <c r="F452">
        <v>2</v>
      </c>
      <c r="G452">
        <v>203</v>
      </c>
      <c r="H452" t="s">
        <v>3055</v>
      </c>
      <c r="I452">
        <v>335.93</v>
      </c>
      <c r="J452">
        <v>162.16</v>
      </c>
      <c r="K452">
        <v>0</v>
      </c>
      <c r="L452">
        <v>173.77</v>
      </c>
    </row>
    <row r="453" spans="3:12">
      <c r="C453">
        <v>449</v>
      </c>
      <c r="D453" t="s">
        <v>3060</v>
      </c>
      <c r="E453">
        <v>19</v>
      </c>
      <c r="F453">
        <v>2</v>
      </c>
      <c r="G453">
        <v>204</v>
      </c>
      <c r="H453" t="s">
        <v>3055</v>
      </c>
      <c r="I453">
        <v>316.95</v>
      </c>
      <c r="J453">
        <v>162.16</v>
      </c>
      <c r="K453">
        <v>0</v>
      </c>
      <c r="L453">
        <v>154.79000000000002</v>
      </c>
    </row>
    <row r="454" spans="3:12">
      <c r="C454">
        <v>450</v>
      </c>
      <c r="D454" t="s">
        <v>3060</v>
      </c>
      <c r="E454">
        <v>19</v>
      </c>
      <c r="F454">
        <v>2</v>
      </c>
      <c r="G454">
        <v>404</v>
      </c>
      <c r="H454" t="s">
        <v>3055</v>
      </c>
      <c r="I454">
        <v>155.63</v>
      </c>
      <c r="J454">
        <v>155.63</v>
      </c>
      <c r="K454">
        <v>0</v>
      </c>
      <c r="L454">
        <v>0</v>
      </c>
    </row>
    <row r="455" spans="3:12">
      <c r="C455">
        <v>451</v>
      </c>
      <c r="D455" t="s">
        <v>3060</v>
      </c>
      <c r="E455">
        <v>19</v>
      </c>
      <c r="F455">
        <v>2</v>
      </c>
      <c r="G455">
        <v>504</v>
      </c>
      <c r="H455" t="s">
        <v>3055</v>
      </c>
      <c r="I455">
        <v>155.63</v>
      </c>
      <c r="J455">
        <v>155.63</v>
      </c>
      <c r="K455">
        <v>0</v>
      </c>
      <c r="L455">
        <v>0</v>
      </c>
    </row>
    <row r="456" spans="3:12">
      <c r="C456">
        <v>452</v>
      </c>
      <c r="D456" t="s">
        <v>3060</v>
      </c>
      <c r="E456">
        <v>19</v>
      </c>
      <c r="F456">
        <v>2</v>
      </c>
      <c r="G456">
        <v>603</v>
      </c>
      <c r="H456" t="s">
        <v>3055</v>
      </c>
      <c r="I456">
        <v>228.7</v>
      </c>
      <c r="J456">
        <v>155.63</v>
      </c>
      <c r="K456">
        <v>73.069999999999993</v>
      </c>
      <c r="L456">
        <v>0</v>
      </c>
    </row>
    <row r="457" spans="3:12">
      <c r="C457">
        <v>453</v>
      </c>
      <c r="D457" t="s">
        <v>3060</v>
      </c>
      <c r="E457">
        <v>20</v>
      </c>
      <c r="F457">
        <v>1</v>
      </c>
      <c r="G457">
        <v>101</v>
      </c>
      <c r="H457" t="s">
        <v>3055</v>
      </c>
      <c r="I457">
        <v>403.63</v>
      </c>
      <c r="J457">
        <v>135.34</v>
      </c>
      <c r="K457">
        <v>0</v>
      </c>
      <c r="L457">
        <v>268.29000000000002</v>
      </c>
    </row>
    <row r="458" spans="3:12">
      <c r="C458">
        <v>454</v>
      </c>
      <c r="D458" t="s">
        <v>3060</v>
      </c>
      <c r="E458">
        <v>20</v>
      </c>
      <c r="F458">
        <v>1</v>
      </c>
      <c r="G458">
        <v>102</v>
      </c>
      <c r="H458" t="s">
        <v>3055</v>
      </c>
      <c r="I458">
        <v>411.33</v>
      </c>
      <c r="J458">
        <v>142.97999999999999</v>
      </c>
      <c r="K458">
        <v>0</v>
      </c>
      <c r="L458">
        <v>268.35000000000002</v>
      </c>
    </row>
    <row r="459" spans="3:12">
      <c r="C459">
        <v>455</v>
      </c>
      <c r="D459" t="s">
        <v>3060</v>
      </c>
      <c r="E459">
        <v>20</v>
      </c>
      <c r="F459">
        <v>1</v>
      </c>
      <c r="G459">
        <v>201</v>
      </c>
      <c r="H459" t="s">
        <v>3055</v>
      </c>
      <c r="I459">
        <v>316.95</v>
      </c>
      <c r="J459">
        <v>162.16</v>
      </c>
      <c r="K459">
        <v>0</v>
      </c>
      <c r="L459">
        <v>154.79000000000002</v>
      </c>
    </row>
    <row r="460" spans="3:12">
      <c r="C460">
        <v>456</v>
      </c>
      <c r="D460" t="s">
        <v>3060</v>
      </c>
      <c r="E460">
        <v>20</v>
      </c>
      <c r="F460">
        <v>1</v>
      </c>
      <c r="G460">
        <v>202</v>
      </c>
      <c r="H460" t="s">
        <v>3055</v>
      </c>
      <c r="I460">
        <v>335.93</v>
      </c>
      <c r="J460">
        <v>162.16</v>
      </c>
      <c r="K460">
        <v>0</v>
      </c>
      <c r="L460">
        <v>173.77</v>
      </c>
    </row>
    <row r="461" spans="3:12">
      <c r="C461">
        <v>457</v>
      </c>
      <c r="D461" t="s">
        <v>3060</v>
      </c>
      <c r="E461">
        <v>20</v>
      </c>
      <c r="F461">
        <v>1</v>
      </c>
      <c r="G461">
        <v>301</v>
      </c>
      <c r="H461" t="s">
        <v>3055</v>
      </c>
      <c r="I461">
        <v>155.63</v>
      </c>
      <c r="J461">
        <v>155.63</v>
      </c>
      <c r="K461">
        <v>0</v>
      </c>
      <c r="L461">
        <v>0</v>
      </c>
    </row>
    <row r="462" spans="3:12">
      <c r="C462">
        <v>458</v>
      </c>
      <c r="D462" t="s">
        <v>3060</v>
      </c>
      <c r="E462">
        <v>20</v>
      </c>
      <c r="F462">
        <v>1</v>
      </c>
      <c r="G462">
        <v>302</v>
      </c>
      <c r="H462" t="s">
        <v>3055</v>
      </c>
      <c r="I462">
        <v>155.63</v>
      </c>
      <c r="J462">
        <v>155.63</v>
      </c>
      <c r="K462">
        <v>0</v>
      </c>
      <c r="L462">
        <v>0</v>
      </c>
    </row>
    <row r="463" spans="3:12">
      <c r="C463">
        <v>459</v>
      </c>
      <c r="D463" t="s">
        <v>3060</v>
      </c>
      <c r="E463">
        <v>20</v>
      </c>
      <c r="F463">
        <v>1</v>
      </c>
      <c r="G463">
        <v>401</v>
      </c>
      <c r="H463" t="s">
        <v>3055</v>
      </c>
      <c r="I463">
        <v>155.63</v>
      </c>
      <c r="J463">
        <v>155.63</v>
      </c>
      <c r="K463">
        <v>0</v>
      </c>
      <c r="L463">
        <v>0</v>
      </c>
    </row>
    <row r="464" spans="3:12">
      <c r="C464">
        <v>460</v>
      </c>
      <c r="D464" t="s">
        <v>3060</v>
      </c>
      <c r="E464">
        <v>20</v>
      </c>
      <c r="F464">
        <v>1</v>
      </c>
      <c r="G464">
        <v>402</v>
      </c>
      <c r="H464" t="s">
        <v>3055</v>
      </c>
      <c r="I464">
        <v>155.63</v>
      </c>
      <c r="J464">
        <v>155.63</v>
      </c>
      <c r="K464">
        <v>0</v>
      </c>
      <c r="L464">
        <v>0</v>
      </c>
    </row>
    <row r="465" spans="3:12">
      <c r="C465">
        <v>461</v>
      </c>
      <c r="D465" t="s">
        <v>3060</v>
      </c>
      <c r="E465">
        <v>20</v>
      </c>
      <c r="F465">
        <v>1</v>
      </c>
      <c r="G465">
        <v>601</v>
      </c>
      <c r="H465" t="s">
        <v>3055</v>
      </c>
      <c r="I465">
        <v>212.58</v>
      </c>
      <c r="J465">
        <v>155.63</v>
      </c>
      <c r="K465">
        <v>56.95</v>
      </c>
      <c r="L465">
        <v>0</v>
      </c>
    </row>
    <row r="466" spans="3:12">
      <c r="C466">
        <v>462</v>
      </c>
      <c r="D466" t="s">
        <v>3060</v>
      </c>
      <c r="E466">
        <v>20</v>
      </c>
      <c r="F466">
        <v>1</v>
      </c>
      <c r="G466">
        <v>602</v>
      </c>
      <c r="H466" t="s">
        <v>3055</v>
      </c>
      <c r="I466">
        <v>228.7</v>
      </c>
      <c r="J466">
        <v>155.63</v>
      </c>
      <c r="K466">
        <v>73.069999999999993</v>
      </c>
      <c r="L466">
        <v>0</v>
      </c>
    </row>
    <row r="467" spans="3:12">
      <c r="C467">
        <v>463</v>
      </c>
      <c r="D467" t="s">
        <v>3060</v>
      </c>
      <c r="E467">
        <v>20</v>
      </c>
      <c r="F467">
        <v>2</v>
      </c>
      <c r="G467">
        <v>103</v>
      </c>
      <c r="H467" t="s">
        <v>3055</v>
      </c>
      <c r="I467">
        <v>411.33</v>
      </c>
      <c r="J467">
        <v>142.97999999999999</v>
      </c>
      <c r="K467">
        <v>0</v>
      </c>
      <c r="L467">
        <v>268.35000000000002</v>
      </c>
    </row>
    <row r="468" spans="3:12">
      <c r="C468">
        <v>464</v>
      </c>
      <c r="D468" t="s">
        <v>3060</v>
      </c>
      <c r="E468">
        <v>20</v>
      </c>
      <c r="F468">
        <v>2</v>
      </c>
      <c r="G468">
        <v>104</v>
      </c>
      <c r="H468" t="s">
        <v>3055</v>
      </c>
      <c r="I468">
        <v>403.63</v>
      </c>
      <c r="J468">
        <v>135.34</v>
      </c>
      <c r="K468">
        <v>0</v>
      </c>
      <c r="L468">
        <v>268.29000000000002</v>
      </c>
    </row>
    <row r="469" spans="3:12">
      <c r="C469">
        <v>465</v>
      </c>
      <c r="D469" t="s">
        <v>3060</v>
      </c>
      <c r="E469">
        <v>20</v>
      </c>
      <c r="F469">
        <v>2</v>
      </c>
      <c r="G469">
        <v>203</v>
      </c>
      <c r="H469" t="s">
        <v>3055</v>
      </c>
      <c r="I469">
        <v>335.93</v>
      </c>
      <c r="J469">
        <v>162.16</v>
      </c>
      <c r="K469">
        <v>0</v>
      </c>
      <c r="L469">
        <v>173.77</v>
      </c>
    </row>
    <row r="470" spans="3:12">
      <c r="C470">
        <v>466</v>
      </c>
      <c r="D470" t="s">
        <v>3060</v>
      </c>
      <c r="E470">
        <v>20</v>
      </c>
      <c r="F470">
        <v>2</v>
      </c>
      <c r="G470">
        <v>204</v>
      </c>
      <c r="H470" t="s">
        <v>3055</v>
      </c>
      <c r="I470">
        <v>316.95</v>
      </c>
      <c r="J470">
        <v>162.16</v>
      </c>
      <c r="K470">
        <v>0</v>
      </c>
      <c r="L470">
        <v>154.79000000000002</v>
      </c>
    </row>
    <row r="471" spans="3:12">
      <c r="C471">
        <v>467</v>
      </c>
      <c r="D471" t="s">
        <v>3060</v>
      </c>
      <c r="E471">
        <v>20</v>
      </c>
      <c r="F471">
        <v>2</v>
      </c>
      <c r="G471">
        <v>403</v>
      </c>
      <c r="H471" t="s">
        <v>3055</v>
      </c>
      <c r="I471">
        <v>155.63</v>
      </c>
      <c r="J471">
        <v>155.63</v>
      </c>
      <c r="K471">
        <v>0</v>
      </c>
      <c r="L471">
        <v>0</v>
      </c>
    </row>
    <row r="472" spans="3:12">
      <c r="C472">
        <v>468</v>
      </c>
      <c r="D472" t="s">
        <v>3060</v>
      </c>
      <c r="E472">
        <v>20</v>
      </c>
      <c r="F472">
        <v>2</v>
      </c>
      <c r="G472">
        <v>404</v>
      </c>
      <c r="H472" t="s">
        <v>3055</v>
      </c>
      <c r="I472">
        <v>155.63</v>
      </c>
      <c r="J472">
        <v>155.63</v>
      </c>
      <c r="K472">
        <v>0</v>
      </c>
      <c r="L472">
        <v>0</v>
      </c>
    </row>
    <row r="473" spans="3:12">
      <c r="C473">
        <v>469</v>
      </c>
      <c r="D473" t="s">
        <v>3060</v>
      </c>
      <c r="E473">
        <v>20</v>
      </c>
      <c r="F473">
        <v>2</v>
      </c>
      <c r="G473">
        <v>503</v>
      </c>
      <c r="H473" t="s">
        <v>3055</v>
      </c>
      <c r="I473">
        <v>155.63</v>
      </c>
      <c r="J473">
        <v>155.63</v>
      </c>
      <c r="K473">
        <v>0</v>
      </c>
      <c r="L473">
        <v>0</v>
      </c>
    </row>
    <row r="474" spans="3:12">
      <c r="C474">
        <v>470</v>
      </c>
      <c r="D474" t="s">
        <v>3060</v>
      </c>
      <c r="E474">
        <v>20</v>
      </c>
      <c r="F474">
        <v>2</v>
      </c>
      <c r="G474">
        <v>603</v>
      </c>
      <c r="H474" t="s">
        <v>3055</v>
      </c>
      <c r="I474">
        <v>228.7</v>
      </c>
      <c r="J474">
        <v>155.63</v>
      </c>
      <c r="K474">
        <v>73.069999999999993</v>
      </c>
      <c r="L474">
        <v>0</v>
      </c>
    </row>
    <row r="475" spans="3:12">
      <c r="C475">
        <v>471</v>
      </c>
      <c r="D475" t="s">
        <v>3060</v>
      </c>
      <c r="E475">
        <v>20</v>
      </c>
      <c r="F475">
        <v>2</v>
      </c>
      <c r="G475">
        <v>604</v>
      </c>
      <c r="H475" t="s">
        <v>3055</v>
      </c>
      <c r="I475">
        <v>212.58</v>
      </c>
      <c r="J475">
        <v>155.63</v>
      </c>
      <c r="K475">
        <v>56.95</v>
      </c>
      <c r="L475">
        <v>0</v>
      </c>
    </row>
    <row r="476" spans="3:12">
      <c r="C476">
        <v>472</v>
      </c>
      <c r="D476" t="s">
        <v>3054</v>
      </c>
      <c r="E476">
        <v>21</v>
      </c>
      <c r="F476">
        <v>1</v>
      </c>
      <c r="G476">
        <v>101</v>
      </c>
      <c r="H476" t="s">
        <v>3055</v>
      </c>
      <c r="I476">
        <v>334.99</v>
      </c>
      <c r="J476">
        <v>132.99</v>
      </c>
      <c r="K476">
        <v>0</v>
      </c>
      <c r="L476">
        <v>202</v>
      </c>
    </row>
    <row r="477" spans="3:12">
      <c r="C477">
        <v>473</v>
      </c>
      <c r="D477" t="s">
        <v>3054</v>
      </c>
      <c r="E477">
        <v>21</v>
      </c>
      <c r="F477">
        <v>1</v>
      </c>
      <c r="G477">
        <v>102</v>
      </c>
      <c r="H477" t="s">
        <v>3055</v>
      </c>
      <c r="I477">
        <v>331.13</v>
      </c>
      <c r="J477">
        <v>132.99</v>
      </c>
      <c r="K477">
        <v>0</v>
      </c>
      <c r="L477">
        <v>198.14</v>
      </c>
    </row>
    <row r="478" spans="3:12">
      <c r="C478">
        <v>474</v>
      </c>
      <c r="D478" t="s">
        <v>3054</v>
      </c>
      <c r="E478">
        <v>21</v>
      </c>
      <c r="F478">
        <v>1</v>
      </c>
      <c r="G478">
        <v>201</v>
      </c>
      <c r="H478" t="s">
        <v>3055</v>
      </c>
      <c r="I478">
        <v>286.63</v>
      </c>
      <c r="J478">
        <v>150.29</v>
      </c>
      <c r="K478">
        <v>0</v>
      </c>
      <c r="L478">
        <v>136.34</v>
      </c>
    </row>
    <row r="479" spans="3:12">
      <c r="C479">
        <v>475</v>
      </c>
      <c r="D479" t="s">
        <v>3054</v>
      </c>
      <c r="E479">
        <v>21</v>
      </c>
      <c r="F479">
        <v>1</v>
      </c>
      <c r="G479">
        <v>202</v>
      </c>
      <c r="H479" t="s">
        <v>3055</v>
      </c>
      <c r="I479">
        <v>312.91999999999996</v>
      </c>
      <c r="J479">
        <v>150.29</v>
      </c>
      <c r="K479">
        <v>0</v>
      </c>
      <c r="L479">
        <v>162.63</v>
      </c>
    </row>
    <row r="480" spans="3:12">
      <c r="C480">
        <v>476</v>
      </c>
      <c r="D480" t="s">
        <v>3054</v>
      </c>
      <c r="E480">
        <v>21</v>
      </c>
      <c r="F480">
        <v>1</v>
      </c>
      <c r="G480">
        <v>301</v>
      </c>
      <c r="H480" t="s">
        <v>3055</v>
      </c>
      <c r="I480">
        <v>143.68</v>
      </c>
      <c r="J480">
        <v>143.68</v>
      </c>
      <c r="K480">
        <v>0</v>
      </c>
      <c r="L480">
        <v>0</v>
      </c>
    </row>
    <row r="481" spans="3:12">
      <c r="C481">
        <v>477</v>
      </c>
      <c r="D481" t="s">
        <v>3054</v>
      </c>
      <c r="E481">
        <v>21</v>
      </c>
      <c r="F481">
        <v>1</v>
      </c>
      <c r="G481">
        <v>302</v>
      </c>
      <c r="H481" t="s">
        <v>3055</v>
      </c>
      <c r="I481">
        <v>143.68</v>
      </c>
      <c r="J481">
        <v>143.68</v>
      </c>
      <c r="K481">
        <v>0</v>
      </c>
      <c r="L481">
        <v>0</v>
      </c>
    </row>
    <row r="482" spans="3:12">
      <c r="C482">
        <v>478</v>
      </c>
      <c r="D482" t="s">
        <v>3054</v>
      </c>
      <c r="E482">
        <v>21</v>
      </c>
      <c r="F482">
        <v>1</v>
      </c>
      <c r="G482">
        <v>401</v>
      </c>
      <c r="H482" t="s">
        <v>3055</v>
      </c>
      <c r="I482">
        <v>143.68</v>
      </c>
      <c r="J482">
        <v>143.68</v>
      </c>
      <c r="K482">
        <v>0</v>
      </c>
      <c r="L482">
        <v>0</v>
      </c>
    </row>
    <row r="483" spans="3:12">
      <c r="C483">
        <v>479</v>
      </c>
      <c r="D483" t="s">
        <v>3054</v>
      </c>
      <c r="E483">
        <v>21</v>
      </c>
      <c r="F483">
        <v>1</v>
      </c>
      <c r="G483">
        <v>402</v>
      </c>
      <c r="H483" t="s">
        <v>3055</v>
      </c>
      <c r="I483">
        <v>143.68</v>
      </c>
      <c r="J483">
        <v>143.68</v>
      </c>
      <c r="K483">
        <v>0</v>
      </c>
      <c r="L483">
        <v>0</v>
      </c>
    </row>
    <row r="484" spans="3:12">
      <c r="C484">
        <v>480</v>
      </c>
      <c r="D484" t="s">
        <v>3054</v>
      </c>
      <c r="E484">
        <v>21</v>
      </c>
      <c r="F484">
        <v>1</v>
      </c>
      <c r="G484">
        <v>501</v>
      </c>
      <c r="H484" t="s">
        <v>3055</v>
      </c>
      <c r="I484">
        <v>143.68</v>
      </c>
      <c r="J484">
        <v>143.68</v>
      </c>
      <c r="K484">
        <v>0</v>
      </c>
      <c r="L484">
        <v>0</v>
      </c>
    </row>
    <row r="485" spans="3:12">
      <c r="C485">
        <v>481</v>
      </c>
      <c r="D485" t="s">
        <v>3054</v>
      </c>
      <c r="E485">
        <v>21</v>
      </c>
      <c r="F485">
        <v>1</v>
      </c>
      <c r="G485">
        <v>502</v>
      </c>
      <c r="H485" t="s">
        <v>3055</v>
      </c>
      <c r="I485">
        <v>143.68</v>
      </c>
      <c r="J485">
        <v>143.68</v>
      </c>
      <c r="K485">
        <v>0</v>
      </c>
      <c r="L485">
        <v>0</v>
      </c>
    </row>
    <row r="486" spans="3:12">
      <c r="C486">
        <v>482</v>
      </c>
      <c r="D486" t="s">
        <v>3054</v>
      </c>
      <c r="E486">
        <v>21</v>
      </c>
      <c r="F486">
        <v>1</v>
      </c>
      <c r="G486">
        <v>601</v>
      </c>
      <c r="H486" t="s">
        <v>3055</v>
      </c>
      <c r="I486">
        <v>143.68</v>
      </c>
      <c r="J486">
        <v>143.68</v>
      </c>
      <c r="K486">
        <v>0</v>
      </c>
      <c r="L486">
        <v>0</v>
      </c>
    </row>
    <row r="487" spans="3:12">
      <c r="C487">
        <v>483</v>
      </c>
      <c r="D487" t="s">
        <v>3054</v>
      </c>
      <c r="E487">
        <v>21</v>
      </c>
      <c r="F487">
        <v>1</v>
      </c>
      <c r="G487">
        <v>602</v>
      </c>
      <c r="H487" t="s">
        <v>3055</v>
      </c>
      <c r="I487">
        <v>143.68</v>
      </c>
      <c r="J487">
        <v>143.68</v>
      </c>
      <c r="K487">
        <v>0</v>
      </c>
      <c r="L487">
        <v>0</v>
      </c>
    </row>
    <row r="488" spans="3:12">
      <c r="C488">
        <v>484</v>
      </c>
      <c r="D488" t="s">
        <v>3054</v>
      </c>
      <c r="E488">
        <v>21</v>
      </c>
      <c r="F488">
        <v>1</v>
      </c>
      <c r="G488">
        <v>701</v>
      </c>
      <c r="H488" t="s">
        <v>3055</v>
      </c>
      <c r="I488">
        <v>143.68</v>
      </c>
      <c r="J488">
        <v>143.68</v>
      </c>
      <c r="K488">
        <v>0</v>
      </c>
      <c r="L488">
        <v>0</v>
      </c>
    </row>
    <row r="489" spans="3:12">
      <c r="C489">
        <v>485</v>
      </c>
      <c r="D489" t="s">
        <v>3054</v>
      </c>
      <c r="E489">
        <v>21</v>
      </c>
      <c r="F489">
        <v>1</v>
      </c>
      <c r="G489">
        <v>702</v>
      </c>
      <c r="H489" t="s">
        <v>3055</v>
      </c>
      <c r="I489">
        <v>143.68</v>
      </c>
      <c r="J489">
        <v>143.68</v>
      </c>
      <c r="K489">
        <v>0</v>
      </c>
      <c r="L489">
        <v>0</v>
      </c>
    </row>
    <row r="490" spans="3:12">
      <c r="C490">
        <v>486</v>
      </c>
      <c r="D490" t="s">
        <v>3054</v>
      </c>
      <c r="E490">
        <v>21</v>
      </c>
      <c r="F490">
        <v>1</v>
      </c>
      <c r="G490">
        <v>801</v>
      </c>
      <c r="H490" t="s">
        <v>3055</v>
      </c>
      <c r="I490">
        <v>143.68</v>
      </c>
      <c r="J490">
        <v>143.68</v>
      </c>
      <c r="K490">
        <v>0</v>
      </c>
      <c r="L490">
        <v>0</v>
      </c>
    </row>
    <row r="491" spans="3:12">
      <c r="C491">
        <v>487</v>
      </c>
      <c r="D491" t="s">
        <v>3054</v>
      </c>
      <c r="E491">
        <v>21</v>
      </c>
      <c r="F491">
        <v>1</v>
      </c>
      <c r="G491">
        <v>802</v>
      </c>
      <c r="H491" t="s">
        <v>3055</v>
      </c>
      <c r="I491">
        <v>143.68</v>
      </c>
      <c r="J491">
        <v>143.68</v>
      </c>
      <c r="K491">
        <v>0</v>
      </c>
      <c r="L491">
        <v>0</v>
      </c>
    </row>
    <row r="492" spans="3:12">
      <c r="C492">
        <v>488</v>
      </c>
      <c r="D492" t="s">
        <v>3054</v>
      </c>
      <c r="E492">
        <v>21</v>
      </c>
      <c r="F492">
        <v>1</v>
      </c>
      <c r="G492">
        <v>901</v>
      </c>
      <c r="H492" t="s">
        <v>3055</v>
      </c>
      <c r="I492">
        <v>143.68</v>
      </c>
      <c r="J492">
        <v>143.68</v>
      </c>
      <c r="K492">
        <v>0</v>
      </c>
      <c r="L492">
        <v>0</v>
      </c>
    </row>
    <row r="493" spans="3:12">
      <c r="C493">
        <v>489</v>
      </c>
      <c r="D493" t="s">
        <v>3054</v>
      </c>
      <c r="E493">
        <v>21</v>
      </c>
      <c r="F493">
        <v>1</v>
      </c>
      <c r="G493">
        <v>902</v>
      </c>
      <c r="H493" t="s">
        <v>3055</v>
      </c>
      <c r="I493">
        <v>143.68</v>
      </c>
      <c r="J493">
        <v>143.68</v>
      </c>
      <c r="K493">
        <v>0</v>
      </c>
      <c r="L493">
        <v>0</v>
      </c>
    </row>
    <row r="494" spans="3:12">
      <c r="C494">
        <v>490</v>
      </c>
      <c r="D494" t="s">
        <v>3054</v>
      </c>
      <c r="E494">
        <v>21</v>
      </c>
      <c r="F494">
        <v>1</v>
      </c>
      <c r="G494">
        <v>1001</v>
      </c>
      <c r="H494" t="s">
        <v>3055</v>
      </c>
      <c r="I494">
        <v>143.68</v>
      </c>
      <c r="J494">
        <v>143.68</v>
      </c>
      <c r="K494">
        <v>0</v>
      </c>
      <c r="L494">
        <v>0</v>
      </c>
    </row>
    <row r="495" spans="3:12">
      <c r="C495">
        <v>491</v>
      </c>
      <c r="D495" t="s">
        <v>3054</v>
      </c>
      <c r="E495">
        <v>21</v>
      </c>
      <c r="F495">
        <v>1</v>
      </c>
      <c r="G495">
        <v>1002</v>
      </c>
      <c r="H495" t="s">
        <v>3055</v>
      </c>
      <c r="I495">
        <v>143.68</v>
      </c>
      <c r="J495">
        <v>143.68</v>
      </c>
      <c r="K495">
        <v>0</v>
      </c>
      <c r="L495">
        <v>0</v>
      </c>
    </row>
    <row r="496" spans="3:12">
      <c r="C496">
        <v>492</v>
      </c>
      <c r="D496" t="s">
        <v>3054</v>
      </c>
      <c r="E496">
        <v>21</v>
      </c>
      <c r="F496">
        <v>1</v>
      </c>
      <c r="G496">
        <v>1101</v>
      </c>
      <c r="H496" t="s">
        <v>3055</v>
      </c>
      <c r="I496">
        <v>201.08</v>
      </c>
      <c r="J496">
        <v>143.9</v>
      </c>
      <c r="K496">
        <v>57.18</v>
      </c>
      <c r="L496">
        <v>0</v>
      </c>
    </row>
    <row r="497" spans="3:12">
      <c r="C497">
        <v>493</v>
      </c>
      <c r="D497" t="s">
        <v>3054</v>
      </c>
      <c r="E497">
        <v>21</v>
      </c>
      <c r="F497">
        <v>1</v>
      </c>
      <c r="G497">
        <v>1102</v>
      </c>
      <c r="H497" t="s">
        <v>3055</v>
      </c>
      <c r="I497">
        <v>219.35000000000002</v>
      </c>
      <c r="J497">
        <v>143.9</v>
      </c>
      <c r="K497">
        <v>75.45</v>
      </c>
      <c r="L497">
        <v>0</v>
      </c>
    </row>
    <row r="498" spans="3:12">
      <c r="C498">
        <v>494</v>
      </c>
      <c r="D498" t="s">
        <v>3054</v>
      </c>
      <c r="E498">
        <v>21</v>
      </c>
      <c r="F498">
        <v>2</v>
      </c>
      <c r="G498">
        <v>103</v>
      </c>
      <c r="H498" t="s">
        <v>3055</v>
      </c>
      <c r="I498">
        <v>330.88</v>
      </c>
      <c r="J498">
        <v>132.91</v>
      </c>
      <c r="K498">
        <v>0</v>
      </c>
      <c r="L498">
        <v>197.97</v>
      </c>
    </row>
    <row r="499" spans="3:12">
      <c r="C499">
        <v>495</v>
      </c>
      <c r="D499" t="s">
        <v>3054</v>
      </c>
      <c r="E499">
        <v>21</v>
      </c>
      <c r="F499">
        <v>2</v>
      </c>
      <c r="G499">
        <v>104</v>
      </c>
      <c r="H499" t="s">
        <v>3055</v>
      </c>
      <c r="I499">
        <v>337.26</v>
      </c>
      <c r="J499">
        <v>132.91</v>
      </c>
      <c r="K499">
        <v>0</v>
      </c>
      <c r="L499">
        <v>204.35</v>
      </c>
    </row>
    <row r="500" spans="3:12">
      <c r="C500">
        <v>496</v>
      </c>
      <c r="D500" t="s">
        <v>3054</v>
      </c>
      <c r="E500">
        <v>21</v>
      </c>
      <c r="F500">
        <v>2</v>
      </c>
      <c r="G500">
        <v>203</v>
      </c>
      <c r="H500" t="s">
        <v>3055</v>
      </c>
      <c r="I500">
        <v>312.7</v>
      </c>
      <c r="J500">
        <v>150.19999999999999</v>
      </c>
      <c r="K500">
        <v>0</v>
      </c>
      <c r="L500">
        <v>162.5</v>
      </c>
    </row>
    <row r="501" spans="3:12">
      <c r="C501">
        <v>497</v>
      </c>
      <c r="D501" t="s">
        <v>3054</v>
      </c>
      <c r="E501">
        <v>21</v>
      </c>
      <c r="F501">
        <v>2</v>
      </c>
      <c r="G501">
        <v>204</v>
      </c>
      <c r="H501" t="s">
        <v>3055</v>
      </c>
      <c r="I501">
        <v>286.43</v>
      </c>
      <c r="J501">
        <v>150.19999999999999</v>
      </c>
      <c r="K501">
        <v>0</v>
      </c>
      <c r="L501">
        <v>136.23000000000002</v>
      </c>
    </row>
    <row r="502" spans="3:12">
      <c r="C502">
        <v>498</v>
      </c>
      <c r="D502" t="s">
        <v>3054</v>
      </c>
      <c r="E502">
        <v>21</v>
      </c>
      <c r="F502">
        <v>2</v>
      </c>
      <c r="G502">
        <v>303</v>
      </c>
      <c r="H502" t="s">
        <v>3055</v>
      </c>
      <c r="I502">
        <v>143.6</v>
      </c>
      <c r="J502">
        <v>143.6</v>
      </c>
      <c r="K502">
        <v>0</v>
      </c>
      <c r="L502">
        <v>0</v>
      </c>
    </row>
    <row r="503" spans="3:12">
      <c r="C503">
        <v>499</v>
      </c>
      <c r="D503" t="s">
        <v>3054</v>
      </c>
      <c r="E503">
        <v>21</v>
      </c>
      <c r="F503">
        <v>2</v>
      </c>
      <c r="G503">
        <v>304</v>
      </c>
      <c r="H503" t="s">
        <v>3055</v>
      </c>
      <c r="I503">
        <v>143.6</v>
      </c>
      <c r="J503">
        <v>143.6</v>
      </c>
      <c r="K503">
        <v>0</v>
      </c>
      <c r="L503">
        <v>0</v>
      </c>
    </row>
    <row r="504" spans="3:12">
      <c r="C504">
        <v>500</v>
      </c>
      <c r="D504" t="s">
        <v>3054</v>
      </c>
      <c r="E504">
        <v>21</v>
      </c>
      <c r="F504">
        <v>2</v>
      </c>
      <c r="G504">
        <v>403</v>
      </c>
      <c r="H504" t="s">
        <v>3055</v>
      </c>
      <c r="I504">
        <v>143.6</v>
      </c>
      <c r="J504">
        <v>143.6</v>
      </c>
      <c r="K504">
        <v>0</v>
      </c>
      <c r="L504">
        <v>0</v>
      </c>
    </row>
    <row r="505" spans="3:12">
      <c r="C505">
        <v>501</v>
      </c>
      <c r="D505" t="s">
        <v>3054</v>
      </c>
      <c r="E505">
        <v>21</v>
      </c>
      <c r="F505">
        <v>2</v>
      </c>
      <c r="G505">
        <v>404</v>
      </c>
      <c r="H505" t="s">
        <v>3055</v>
      </c>
      <c r="I505">
        <v>143.6</v>
      </c>
      <c r="J505">
        <v>143.6</v>
      </c>
      <c r="K505">
        <v>0</v>
      </c>
      <c r="L505">
        <v>0</v>
      </c>
    </row>
    <row r="506" spans="3:12">
      <c r="C506">
        <v>502</v>
      </c>
      <c r="D506" t="s">
        <v>3054</v>
      </c>
      <c r="E506">
        <v>21</v>
      </c>
      <c r="F506">
        <v>2</v>
      </c>
      <c r="G506">
        <v>503</v>
      </c>
      <c r="H506" t="s">
        <v>3055</v>
      </c>
      <c r="I506">
        <v>143.6</v>
      </c>
      <c r="J506">
        <v>143.6</v>
      </c>
      <c r="K506">
        <v>0</v>
      </c>
      <c r="L506">
        <v>0</v>
      </c>
    </row>
    <row r="507" spans="3:12">
      <c r="C507">
        <v>503</v>
      </c>
      <c r="D507" t="s">
        <v>3054</v>
      </c>
      <c r="E507">
        <v>21</v>
      </c>
      <c r="F507">
        <v>2</v>
      </c>
      <c r="G507">
        <v>504</v>
      </c>
      <c r="H507" t="s">
        <v>3055</v>
      </c>
      <c r="I507">
        <v>143.6</v>
      </c>
      <c r="J507">
        <v>143.6</v>
      </c>
      <c r="K507">
        <v>0</v>
      </c>
      <c r="L507">
        <v>0</v>
      </c>
    </row>
    <row r="508" spans="3:12">
      <c r="C508">
        <v>504</v>
      </c>
      <c r="D508" t="s">
        <v>3054</v>
      </c>
      <c r="E508">
        <v>21</v>
      </c>
      <c r="F508">
        <v>2</v>
      </c>
      <c r="G508">
        <v>603</v>
      </c>
      <c r="H508" t="s">
        <v>3055</v>
      </c>
      <c r="I508">
        <v>143.6</v>
      </c>
      <c r="J508">
        <v>143.6</v>
      </c>
      <c r="K508">
        <v>0</v>
      </c>
      <c r="L508">
        <v>0</v>
      </c>
    </row>
    <row r="509" spans="3:12">
      <c r="C509">
        <v>505</v>
      </c>
      <c r="D509" t="s">
        <v>3054</v>
      </c>
      <c r="E509">
        <v>21</v>
      </c>
      <c r="F509">
        <v>2</v>
      </c>
      <c r="G509">
        <v>604</v>
      </c>
      <c r="H509" t="s">
        <v>3055</v>
      </c>
      <c r="I509">
        <v>143.6</v>
      </c>
      <c r="J509">
        <v>143.6</v>
      </c>
      <c r="K509">
        <v>0</v>
      </c>
      <c r="L509">
        <v>0</v>
      </c>
    </row>
    <row r="510" spans="3:12">
      <c r="C510">
        <v>506</v>
      </c>
      <c r="D510" t="s">
        <v>3054</v>
      </c>
      <c r="E510">
        <v>21</v>
      </c>
      <c r="F510">
        <v>2</v>
      </c>
      <c r="G510">
        <v>703</v>
      </c>
      <c r="H510" t="s">
        <v>3055</v>
      </c>
      <c r="I510">
        <v>143.6</v>
      </c>
      <c r="J510">
        <v>143.6</v>
      </c>
      <c r="K510">
        <v>0</v>
      </c>
      <c r="L510">
        <v>0</v>
      </c>
    </row>
    <row r="511" spans="3:12">
      <c r="C511">
        <v>507</v>
      </c>
      <c r="D511" t="s">
        <v>3054</v>
      </c>
      <c r="E511">
        <v>21</v>
      </c>
      <c r="F511">
        <v>2</v>
      </c>
      <c r="G511">
        <v>704</v>
      </c>
      <c r="H511" t="s">
        <v>3055</v>
      </c>
      <c r="I511">
        <v>143.6</v>
      </c>
      <c r="J511">
        <v>143.6</v>
      </c>
      <c r="K511">
        <v>0</v>
      </c>
      <c r="L511">
        <v>0</v>
      </c>
    </row>
    <row r="512" spans="3:12">
      <c r="C512">
        <v>508</v>
      </c>
      <c r="D512" t="s">
        <v>3054</v>
      </c>
      <c r="E512">
        <v>21</v>
      </c>
      <c r="F512">
        <v>2</v>
      </c>
      <c r="G512">
        <v>803</v>
      </c>
      <c r="H512" t="s">
        <v>3055</v>
      </c>
      <c r="I512">
        <v>143.6</v>
      </c>
      <c r="J512">
        <v>143.6</v>
      </c>
      <c r="K512">
        <v>0</v>
      </c>
      <c r="L512">
        <v>0</v>
      </c>
    </row>
    <row r="513" spans="3:12">
      <c r="C513">
        <v>509</v>
      </c>
      <c r="D513" t="s">
        <v>3054</v>
      </c>
      <c r="E513">
        <v>21</v>
      </c>
      <c r="F513">
        <v>2</v>
      </c>
      <c r="G513">
        <v>804</v>
      </c>
      <c r="H513" t="s">
        <v>3055</v>
      </c>
      <c r="I513">
        <v>143.6</v>
      </c>
      <c r="J513">
        <v>143.6</v>
      </c>
      <c r="K513">
        <v>0</v>
      </c>
      <c r="L513">
        <v>0</v>
      </c>
    </row>
    <row r="514" spans="3:12">
      <c r="C514">
        <v>510</v>
      </c>
      <c r="D514" t="s">
        <v>3054</v>
      </c>
      <c r="E514">
        <v>21</v>
      </c>
      <c r="F514">
        <v>2</v>
      </c>
      <c r="G514">
        <v>903</v>
      </c>
      <c r="H514" t="s">
        <v>3055</v>
      </c>
      <c r="I514">
        <v>143.6</v>
      </c>
      <c r="J514">
        <v>143.6</v>
      </c>
      <c r="K514">
        <v>0</v>
      </c>
      <c r="L514">
        <v>0</v>
      </c>
    </row>
    <row r="515" spans="3:12">
      <c r="C515">
        <v>511</v>
      </c>
      <c r="D515" t="s">
        <v>3054</v>
      </c>
      <c r="E515">
        <v>21</v>
      </c>
      <c r="F515">
        <v>2</v>
      </c>
      <c r="G515">
        <v>904</v>
      </c>
      <c r="H515" t="s">
        <v>3055</v>
      </c>
      <c r="I515">
        <v>143.6</v>
      </c>
      <c r="J515">
        <v>143.6</v>
      </c>
      <c r="K515">
        <v>0</v>
      </c>
      <c r="L515">
        <v>0</v>
      </c>
    </row>
    <row r="516" spans="3:12">
      <c r="C516">
        <v>512</v>
      </c>
      <c r="D516" t="s">
        <v>3054</v>
      </c>
      <c r="E516">
        <v>21</v>
      </c>
      <c r="F516">
        <v>2</v>
      </c>
      <c r="G516">
        <v>1003</v>
      </c>
      <c r="H516" t="s">
        <v>3055</v>
      </c>
      <c r="I516">
        <v>143.6</v>
      </c>
      <c r="J516">
        <v>143.6</v>
      </c>
      <c r="K516">
        <v>0</v>
      </c>
      <c r="L516">
        <v>0</v>
      </c>
    </row>
    <row r="517" spans="3:12">
      <c r="C517">
        <v>513</v>
      </c>
      <c r="D517" t="s">
        <v>3054</v>
      </c>
      <c r="E517">
        <v>21</v>
      </c>
      <c r="F517">
        <v>2</v>
      </c>
      <c r="G517">
        <v>1004</v>
      </c>
      <c r="H517" t="s">
        <v>3055</v>
      </c>
      <c r="I517">
        <v>143.6</v>
      </c>
      <c r="J517">
        <v>143.6</v>
      </c>
      <c r="K517">
        <v>0</v>
      </c>
      <c r="L517">
        <v>0</v>
      </c>
    </row>
    <row r="518" spans="3:12">
      <c r="C518">
        <v>514</v>
      </c>
      <c r="D518" t="s">
        <v>3054</v>
      </c>
      <c r="E518">
        <v>21</v>
      </c>
      <c r="F518">
        <v>2</v>
      </c>
      <c r="G518">
        <v>1103</v>
      </c>
      <c r="H518" t="s">
        <v>3055</v>
      </c>
      <c r="I518">
        <v>219.21</v>
      </c>
      <c r="J518">
        <v>143.81</v>
      </c>
      <c r="K518">
        <v>75.400000000000006</v>
      </c>
      <c r="L518">
        <v>0</v>
      </c>
    </row>
    <row r="519" spans="3:12">
      <c r="C519">
        <v>515</v>
      </c>
      <c r="D519" t="s">
        <v>3054</v>
      </c>
      <c r="E519">
        <v>21</v>
      </c>
      <c r="F519">
        <v>2</v>
      </c>
      <c r="G519">
        <v>1104</v>
      </c>
      <c r="H519" t="s">
        <v>3055</v>
      </c>
      <c r="I519">
        <v>200.96</v>
      </c>
      <c r="J519">
        <v>143.81</v>
      </c>
      <c r="K519">
        <v>57.15</v>
      </c>
      <c r="L519">
        <v>0</v>
      </c>
    </row>
    <row r="520" spans="3:12">
      <c r="C520">
        <v>516</v>
      </c>
      <c r="D520" t="s">
        <v>3061</v>
      </c>
      <c r="E520">
        <v>22</v>
      </c>
      <c r="F520">
        <v>1</v>
      </c>
      <c r="G520">
        <v>101</v>
      </c>
      <c r="H520" t="s">
        <v>3055</v>
      </c>
      <c r="I520">
        <v>394.01</v>
      </c>
      <c r="J520">
        <v>213.51</v>
      </c>
      <c r="K520">
        <v>0</v>
      </c>
      <c r="L520">
        <v>180.5</v>
      </c>
    </row>
    <row r="521" spans="3:12">
      <c r="C521">
        <v>517</v>
      </c>
      <c r="D521" t="s">
        <v>3061</v>
      </c>
      <c r="E521">
        <v>22</v>
      </c>
      <c r="F521">
        <v>1</v>
      </c>
      <c r="G521">
        <v>102</v>
      </c>
      <c r="H521" t="s">
        <v>3055</v>
      </c>
      <c r="I521">
        <v>394.01</v>
      </c>
      <c r="J521">
        <v>213.51</v>
      </c>
      <c r="K521">
        <v>0</v>
      </c>
      <c r="L521">
        <v>180.5</v>
      </c>
    </row>
    <row r="522" spans="3:12">
      <c r="C522">
        <v>518</v>
      </c>
      <c r="D522" t="s">
        <v>3061</v>
      </c>
      <c r="E522">
        <v>23</v>
      </c>
      <c r="F522">
        <v>1</v>
      </c>
      <c r="G522">
        <v>101</v>
      </c>
      <c r="H522" t="s">
        <v>3055</v>
      </c>
      <c r="I522">
        <v>393.48</v>
      </c>
      <c r="J522">
        <v>213.21999999999997</v>
      </c>
      <c r="K522">
        <v>0</v>
      </c>
      <c r="L522">
        <v>180.26</v>
      </c>
    </row>
    <row r="523" spans="3:12">
      <c r="C523">
        <v>519</v>
      </c>
      <c r="D523" t="s">
        <v>3061</v>
      </c>
      <c r="E523">
        <v>23</v>
      </c>
      <c r="F523">
        <v>1</v>
      </c>
      <c r="G523">
        <v>102</v>
      </c>
      <c r="H523" t="s">
        <v>3055</v>
      </c>
      <c r="I523">
        <v>432.9</v>
      </c>
      <c r="J523">
        <v>213.21999999999997</v>
      </c>
      <c r="K523">
        <v>0</v>
      </c>
      <c r="L523">
        <v>219.68</v>
      </c>
    </row>
    <row r="524" spans="3:12">
      <c r="C524">
        <v>520</v>
      </c>
      <c r="D524" t="s">
        <v>3061</v>
      </c>
      <c r="E524">
        <v>24</v>
      </c>
      <c r="F524">
        <v>1</v>
      </c>
      <c r="G524">
        <v>101</v>
      </c>
      <c r="H524" t="s">
        <v>3055</v>
      </c>
      <c r="I524">
        <v>390.73</v>
      </c>
      <c r="J524">
        <v>211.73</v>
      </c>
      <c r="K524">
        <v>0</v>
      </c>
      <c r="L524">
        <v>179</v>
      </c>
    </row>
    <row r="525" spans="3:12">
      <c r="C525">
        <v>521</v>
      </c>
      <c r="D525" t="s">
        <v>3061</v>
      </c>
      <c r="E525">
        <v>24</v>
      </c>
      <c r="F525">
        <v>1</v>
      </c>
      <c r="G525">
        <v>102</v>
      </c>
      <c r="H525" t="s">
        <v>3055</v>
      </c>
      <c r="I525">
        <v>429.88</v>
      </c>
      <c r="J525">
        <v>211.73</v>
      </c>
      <c r="K525">
        <v>0</v>
      </c>
      <c r="L525">
        <v>218.15</v>
      </c>
    </row>
    <row r="526" spans="3:12">
      <c r="C526">
        <v>522</v>
      </c>
      <c r="D526" t="s">
        <v>3061</v>
      </c>
      <c r="E526">
        <v>24</v>
      </c>
      <c r="F526">
        <v>1</v>
      </c>
      <c r="G526">
        <v>103</v>
      </c>
      <c r="H526" t="s">
        <v>3055</v>
      </c>
      <c r="I526">
        <v>390.73</v>
      </c>
      <c r="J526">
        <v>211.73</v>
      </c>
      <c r="K526">
        <v>0</v>
      </c>
      <c r="L526">
        <v>179</v>
      </c>
    </row>
    <row r="527" spans="3:12">
      <c r="C527">
        <v>523</v>
      </c>
      <c r="D527" t="s">
        <v>3061</v>
      </c>
      <c r="E527">
        <v>24</v>
      </c>
      <c r="F527">
        <v>1</v>
      </c>
      <c r="G527">
        <v>104</v>
      </c>
      <c r="H527" t="s">
        <v>3055</v>
      </c>
      <c r="I527">
        <v>429.88</v>
      </c>
      <c r="J527">
        <v>211.73</v>
      </c>
      <c r="K527">
        <v>0</v>
      </c>
      <c r="L527">
        <v>218.15</v>
      </c>
    </row>
    <row r="528" spans="3:12">
      <c r="C528">
        <v>524</v>
      </c>
      <c r="D528" t="s">
        <v>3061</v>
      </c>
      <c r="E528">
        <v>24</v>
      </c>
      <c r="F528">
        <v>1</v>
      </c>
      <c r="G528">
        <v>105</v>
      </c>
      <c r="H528" t="s">
        <v>3055</v>
      </c>
      <c r="I528">
        <v>390.73</v>
      </c>
      <c r="J528">
        <v>211.73</v>
      </c>
      <c r="K528">
        <v>0</v>
      </c>
      <c r="L528">
        <v>179</v>
      </c>
    </row>
    <row r="529" spans="3:12">
      <c r="C529">
        <v>525</v>
      </c>
      <c r="D529" t="s">
        <v>3061</v>
      </c>
      <c r="E529">
        <v>24</v>
      </c>
      <c r="F529">
        <v>1</v>
      </c>
      <c r="G529">
        <v>106</v>
      </c>
      <c r="H529" t="s">
        <v>3055</v>
      </c>
      <c r="I529">
        <v>429.88</v>
      </c>
      <c r="J529">
        <v>211.73</v>
      </c>
      <c r="K529">
        <v>0</v>
      </c>
      <c r="L529">
        <v>218.15</v>
      </c>
    </row>
    <row r="530" spans="3:12">
      <c r="C530">
        <v>526</v>
      </c>
      <c r="D530" t="s">
        <v>3061</v>
      </c>
      <c r="E530">
        <v>25</v>
      </c>
      <c r="F530">
        <v>1</v>
      </c>
      <c r="G530">
        <v>102</v>
      </c>
      <c r="H530" t="s">
        <v>3055</v>
      </c>
      <c r="I530">
        <v>391.04</v>
      </c>
      <c r="J530">
        <v>211.9</v>
      </c>
      <c r="K530">
        <v>0</v>
      </c>
      <c r="L530">
        <v>179.14</v>
      </c>
    </row>
    <row r="531" spans="3:12">
      <c r="C531">
        <v>527</v>
      </c>
      <c r="D531" t="s">
        <v>3061</v>
      </c>
      <c r="E531">
        <v>25</v>
      </c>
      <c r="F531">
        <v>1</v>
      </c>
      <c r="G531">
        <v>103</v>
      </c>
      <c r="H531" t="s">
        <v>3055</v>
      </c>
      <c r="I531">
        <v>391.04</v>
      </c>
      <c r="J531">
        <v>211.9</v>
      </c>
      <c r="K531">
        <v>0</v>
      </c>
      <c r="L531">
        <v>179.14</v>
      </c>
    </row>
    <row r="532" spans="3:12">
      <c r="C532">
        <v>528</v>
      </c>
      <c r="D532" t="s">
        <v>3061</v>
      </c>
      <c r="E532">
        <v>25</v>
      </c>
      <c r="F532">
        <v>1</v>
      </c>
      <c r="G532">
        <v>104</v>
      </c>
      <c r="H532" t="s">
        <v>3055</v>
      </c>
      <c r="I532">
        <v>391.04</v>
      </c>
      <c r="J532">
        <v>211.9</v>
      </c>
      <c r="K532">
        <v>0</v>
      </c>
      <c r="L532">
        <v>179.14</v>
      </c>
    </row>
    <row r="533" spans="3:12">
      <c r="C533">
        <v>529</v>
      </c>
      <c r="D533" t="s">
        <v>3061</v>
      </c>
      <c r="E533">
        <v>25</v>
      </c>
      <c r="F533">
        <v>1</v>
      </c>
      <c r="G533">
        <v>105</v>
      </c>
      <c r="H533" t="s">
        <v>3055</v>
      </c>
      <c r="I533">
        <v>391.04</v>
      </c>
      <c r="J533">
        <v>211.9</v>
      </c>
      <c r="K533">
        <v>0</v>
      </c>
      <c r="L533">
        <v>179.14</v>
      </c>
    </row>
    <row r="534" spans="3:12">
      <c r="C534">
        <v>530</v>
      </c>
      <c r="D534" t="s">
        <v>3061</v>
      </c>
      <c r="E534">
        <v>25</v>
      </c>
      <c r="F534">
        <v>1</v>
      </c>
      <c r="G534">
        <v>106</v>
      </c>
      <c r="H534" t="s">
        <v>3055</v>
      </c>
      <c r="I534">
        <v>391.04</v>
      </c>
      <c r="J534">
        <v>211.9</v>
      </c>
      <c r="K534">
        <v>0</v>
      </c>
      <c r="L534">
        <v>179.14</v>
      </c>
    </row>
    <row r="535" spans="3:12">
      <c r="C535">
        <v>531</v>
      </c>
      <c r="D535" t="s">
        <v>3061</v>
      </c>
      <c r="E535">
        <v>26</v>
      </c>
      <c r="F535">
        <v>1</v>
      </c>
      <c r="G535">
        <v>101</v>
      </c>
      <c r="H535" t="s">
        <v>3055</v>
      </c>
      <c r="I535">
        <v>402.61</v>
      </c>
      <c r="J535">
        <v>206.61</v>
      </c>
      <c r="K535">
        <v>0</v>
      </c>
      <c r="L535">
        <v>196</v>
      </c>
    </row>
    <row r="536" spans="3:12">
      <c r="C536">
        <v>532</v>
      </c>
      <c r="D536" t="s">
        <v>3061</v>
      </c>
      <c r="E536">
        <v>26</v>
      </c>
      <c r="F536">
        <v>1</v>
      </c>
      <c r="G536">
        <v>102</v>
      </c>
      <c r="H536" t="s">
        <v>3055</v>
      </c>
      <c r="I536">
        <v>402.61</v>
      </c>
      <c r="J536">
        <v>206.61</v>
      </c>
      <c r="K536">
        <v>0</v>
      </c>
      <c r="L536">
        <v>196</v>
      </c>
    </row>
    <row r="537" spans="3:12">
      <c r="C537">
        <v>533</v>
      </c>
      <c r="D537" t="s">
        <v>3061</v>
      </c>
      <c r="E537">
        <v>26</v>
      </c>
      <c r="F537">
        <v>1</v>
      </c>
      <c r="G537">
        <v>103</v>
      </c>
      <c r="H537" t="s">
        <v>3055</v>
      </c>
      <c r="I537">
        <v>429.57</v>
      </c>
      <c r="J537">
        <v>211.57999999999998</v>
      </c>
      <c r="K537">
        <v>0</v>
      </c>
      <c r="L537">
        <v>217.99</v>
      </c>
    </row>
    <row r="538" spans="3:12">
      <c r="C538">
        <v>534</v>
      </c>
      <c r="D538" t="s">
        <v>3061</v>
      </c>
      <c r="E538">
        <v>26</v>
      </c>
      <c r="F538">
        <v>1</v>
      </c>
      <c r="G538">
        <v>104</v>
      </c>
      <c r="H538" t="s">
        <v>3055</v>
      </c>
      <c r="I538">
        <v>429.57</v>
      </c>
      <c r="J538">
        <v>211.57999999999998</v>
      </c>
      <c r="K538">
        <v>0</v>
      </c>
      <c r="L538">
        <v>217.99</v>
      </c>
    </row>
    <row r="539" spans="3:12">
      <c r="C539">
        <v>535</v>
      </c>
      <c r="D539" t="s">
        <v>3061</v>
      </c>
      <c r="E539">
        <v>26</v>
      </c>
      <c r="F539">
        <v>1</v>
      </c>
      <c r="G539">
        <v>105</v>
      </c>
      <c r="H539" t="s">
        <v>3055</v>
      </c>
      <c r="I539">
        <v>429.57</v>
      </c>
      <c r="J539">
        <v>211.57999999999998</v>
      </c>
      <c r="K539">
        <v>0</v>
      </c>
      <c r="L539">
        <v>217.99</v>
      </c>
    </row>
    <row r="540" spans="3:12">
      <c r="C540">
        <v>536</v>
      </c>
      <c r="D540" t="s">
        <v>3061</v>
      </c>
      <c r="E540">
        <v>26</v>
      </c>
      <c r="F540">
        <v>1</v>
      </c>
      <c r="G540">
        <v>106</v>
      </c>
      <c r="H540" t="s">
        <v>3055</v>
      </c>
      <c r="I540">
        <v>429.57</v>
      </c>
      <c r="J540">
        <v>211.57999999999998</v>
      </c>
      <c r="K540">
        <v>0</v>
      </c>
      <c r="L540">
        <v>217.99</v>
      </c>
    </row>
    <row r="541" spans="3:12">
      <c r="C541">
        <v>537</v>
      </c>
      <c r="D541" t="s">
        <v>3061</v>
      </c>
      <c r="E541">
        <v>26</v>
      </c>
      <c r="F541">
        <v>1</v>
      </c>
      <c r="G541">
        <v>107</v>
      </c>
      <c r="H541" t="s">
        <v>3055</v>
      </c>
      <c r="I541">
        <v>429.57</v>
      </c>
      <c r="J541">
        <v>211.57999999999998</v>
      </c>
      <c r="K541">
        <v>0</v>
      </c>
      <c r="L541">
        <v>217.99</v>
      </c>
    </row>
    <row r="542" spans="3:12">
      <c r="C542">
        <v>538</v>
      </c>
      <c r="D542" t="s">
        <v>3061</v>
      </c>
      <c r="E542">
        <v>26</v>
      </c>
      <c r="F542">
        <v>1</v>
      </c>
      <c r="G542">
        <v>108</v>
      </c>
      <c r="H542" t="s">
        <v>3055</v>
      </c>
      <c r="I542">
        <v>429.57</v>
      </c>
      <c r="J542">
        <v>211.57999999999998</v>
      </c>
      <c r="K542">
        <v>0</v>
      </c>
      <c r="L542">
        <v>217.99</v>
      </c>
    </row>
    <row r="543" spans="3:12">
      <c r="C543">
        <v>539</v>
      </c>
      <c r="D543" t="s">
        <v>3061</v>
      </c>
      <c r="E543">
        <v>27</v>
      </c>
      <c r="F543">
        <v>1</v>
      </c>
      <c r="G543">
        <v>101</v>
      </c>
      <c r="H543" t="s">
        <v>3055</v>
      </c>
      <c r="I543">
        <v>395.02</v>
      </c>
      <c r="J543">
        <v>213.07</v>
      </c>
      <c r="K543">
        <v>0</v>
      </c>
      <c r="L543">
        <v>181.95</v>
      </c>
    </row>
    <row r="544" spans="3:12">
      <c r="C544">
        <v>540</v>
      </c>
      <c r="D544" t="s">
        <v>3061</v>
      </c>
      <c r="E544">
        <v>27</v>
      </c>
      <c r="F544">
        <v>1</v>
      </c>
      <c r="G544">
        <v>102</v>
      </c>
      <c r="H544" t="s">
        <v>3055</v>
      </c>
      <c r="I544">
        <v>393.2</v>
      </c>
      <c r="J544">
        <v>213.07</v>
      </c>
      <c r="K544">
        <v>0</v>
      </c>
      <c r="L544">
        <v>180.13</v>
      </c>
    </row>
    <row r="545" spans="3:12">
      <c r="C545">
        <v>541</v>
      </c>
      <c r="D545" t="s">
        <v>3061</v>
      </c>
      <c r="E545">
        <v>27</v>
      </c>
      <c r="F545">
        <v>1</v>
      </c>
      <c r="G545">
        <v>103</v>
      </c>
      <c r="H545" t="s">
        <v>3055</v>
      </c>
      <c r="I545">
        <v>393.6</v>
      </c>
      <c r="J545">
        <v>213.07</v>
      </c>
      <c r="K545">
        <v>0</v>
      </c>
      <c r="L545">
        <v>180.53</v>
      </c>
    </row>
    <row r="546" spans="3:12">
      <c r="C546">
        <v>542</v>
      </c>
      <c r="D546" t="s">
        <v>3061</v>
      </c>
      <c r="E546">
        <v>27</v>
      </c>
      <c r="F546">
        <v>1</v>
      </c>
      <c r="G546">
        <v>104</v>
      </c>
      <c r="H546" t="s">
        <v>3055</v>
      </c>
      <c r="I546">
        <v>393.2</v>
      </c>
      <c r="J546">
        <v>213.07</v>
      </c>
      <c r="K546">
        <v>0</v>
      </c>
      <c r="L546">
        <v>180.13</v>
      </c>
    </row>
    <row r="547" spans="3:12">
      <c r="C547">
        <v>543</v>
      </c>
      <c r="D547" t="s">
        <v>3061</v>
      </c>
      <c r="E547">
        <v>27</v>
      </c>
      <c r="F547">
        <v>1</v>
      </c>
      <c r="G547">
        <v>105</v>
      </c>
      <c r="H547" t="s">
        <v>3055</v>
      </c>
      <c r="I547">
        <v>393.2</v>
      </c>
      <c r="J547">
        <v>213.07</v>
      </c>
      <c r="K547">
        <v>0</v>
      </c>
      <c r="L547">
        <v>180.13</v>
      </c>
    </row>
    <row r="548" spans="3:12">
      <c r="C548">
        <v>544</v>
      </c>
      <c r="D548" t="s">
        <v>3061</v>
      </c>
      <c r="E548">
        <v>28</v>
      </c>
      <c r="F548">
        <v>1</v>
      </c>
      <c r="G548">
        <v>101</v>
      </c>
      <c r="H548" t="s">
        <v>3055</v>
      </c>
      <c r="I548">
        <v>320.44</v>
      </c>
      <c r="J548">
        <v>179.08000000000004</v>
      </c>
      <c r="K548">
        <v>0</v>
      </c>
      <c r="L548">
        <v>141.36000000000001</v>
      </c>
    </row>
    <row r="549" spans="3:12">
      <c r="C549">
        <v>545</v>
      </c>
      <c r="D549" t="s">
        <v>3061</v>
      </c>
      <c r="E549">
        <v>29</v>
      </c>
      <c r="F549">
        <v>1</v>
      </c>
      <c r="G549">
        <v>101</v>
      </c>
      <c r="H549" t="s">
        <v>3055</v>
      </c>
      <c r="I549">
        <v>309.5</v>
      </c>
      <c r="J549">
        <v>177.39999999999998</v>
      </c>
      <c r="K549">
        <v>0</v>
      </c>
      <c r="L549">
        <v>132.1</v>
      </c>
    </row>
    <row r="550" spans="3:12">
      <c r="C550">
        <v>546</v>
      </c>
      <c r="D550" t="s">
        <v>3061</v>
      </c>
      <c r="E550">
        <v>29</v>
      </c>
      <c r="F550">
        <v>1</v>
      </c>
      <c r="G550">
        <v>102</v>
      </c>
      <c r="H550" t="s">
        <v>3055</v>
      </c>
      <c r="I550">
        <v>316.82</v>
      </c>
      <c r="J550">
        <v>177.39999999999998</v>
      </c>
      <c r="K550">
        <v>0</v>
      </c>
      <c r="L550">
        <v>139.41999999999999</v>
      </c>
    </row>
    <row r="551" spans="3:12">
      <c r="C551">
        <v>547</v>
      </c>
      <c r="D551" t="s">
        <v>3061</v>
      </c>
      <c r="E551">
        <v>29</v>
      </c>
      <c r="F551">
        <v>1</v>
      </c>
      <c r="G551">
        <v>103</v>
      </c>
      <c r="H551" t="s">
        <v>3055</v>
      </c>
      <c r="I551">
        <v>316.91000000000003</v>
      </c>
      <c r="J551">
        <v>177.39999999999998</v>
      </c>
      <c r="K551">
        <v>0</v>
      </c>
      <c r="L551">
        <v>139.51</v>
      </c>
    </row>
    <row r="552" spans="3:12">
      <c r="C552">
        <v>548</v>
      </c>
      <c r="D552" t="s">
        <v>3061</v>
      </c>
      <c r="E552">
        <v>29</v>
      </c>
      <c r="F552">
        <v>1</v>
      </c>
      <c r="G552">
        <v>104</v>
      </c>
      <c r="H552" t="s">
        <v>3055</v>
      </c>
      <c r="I552">
        <v>316.82</v>
      </c>
      <c r="J552">
        <v>177.39999999999998</v>
      </c>
      <c r="K552">
        <v>0</v>
      </c>
      <c r="L552">
        <v>139.41999999999999</v>
      </c>
    </row>
    <row r="553" spans="3:12">
      <c r="C553">
        <v>549</v>
      </c>
      <c r="D553" t="s">
        <v>3061</v>
      </c>
      <c r="E553">
        <v>29</v>
      </c>
      <c r="F553">
        <v>1</v>
      </c>
      <c r="G553">
        <v>105</v>
      </c>
      <c r="H553" t="s">
        <v>3055</v>
      </c>
      <c r="I553">
        <v>316.82</v>
      </c>
      <c r="J553">
        <v>177.39999999999998</v>
      </c>
      <c r="K553">
        <v>0</v>
      </c>
      <c r="L553">
        <v>139.41999999999999</v>
      </c>
    </row>
    <row r="554" spans="3:12">
      <c r="C554">
        <v>550</v>
      </c>
      <c r="D554" t="s">
        <v>3061</v>
      </c>
      <c r="E554">
        <v>29</v>
      </c>
      <c r="F554">
        <v>1</v>
      </c>
      <c r="G554">
        <v>106</v>
      </c>
      <c r="H554" t="s">
        <v>3055</v>
      </c>
      <c r="I554">
        <v>316.82</v>
      </c>
      <c r="J554">
        <v>177.39999999999998</v>
      </c>
      <c r="K554">
        <v>0</v>
      </c>
      <c r="L554">
        <v>139.41999999999999</v>
      </c>
    </row>
    <row r="555" spans="3:12">
      <c r="C555">
        <v>551</v>
      </c>
      <c r="D555" t="s">
        <v>3061</v>
      </c>
      <c r="E555">
        <v>29</v>
      </c>
      <c r="F555">
        <v>1</v>
      </c>
      <c r="G555">
        <v>107</v>
      </c>
      <c r="H555" t="s">
        <v>3055</v>
      </c>
      <c r="I555">
        <v>316.82</v>
      </c>
      <c r="J555">
        <v>177.39999999999998</v>
      </c>
      <c r="K555">
        <v>0</v>
      </c>
      <c r="L555">
        <v>139.41999999999999</v>
      </c>
    </row>
    <row r="556" spans="3:12">
      <c r="C556">
        <v>552</v>
      </c>
      <c r="D556" t="s">
        <v>3061</v>
      </c>
      <c r="E556">
        <v>30</v>
      </c>
      <c r="F556">
        <v>1</v>
      </c>
      <c r="G556">
        <v>101</v>
      </c>
      <c r="H556" t="s">
        <v>3055</v>
      </c>
      <c r="I556">
        <v>351.14</v>
      </c>
      <c r="J556">
        <v>176.8</v>
      </c>
      <c r="K556">
        <v>0</v>
      </c>
      <c r="L556">
        <v>174.33999999999997</v>
      </c>
    </row>
    <row r="557" spans="3:12">
      <c r="C557">
        <v>553</v>
      </c>
      <c r="D557" t="s">
        <v>3061</v>
      </c>
      <c r="E557">
        <v>30</v>
      </c>
      <c r="F557">
        <v>1</v>
      </c>
      <c r="G557">
        <v>102</v>
      </c>
      <c r="H557" t="s">
        <v>3055</v>
      </c>
      <c r="I557">
        <v>351.14</v>
      </c>
      <c r="J557">
        <v>176.8</v>
      </c>
      <c r="K557">
        <v>0</v>
      </c>
      <c r="L557">
        <v>174.33999999999997</v>
      </c>
    </row>
    <row r="558" spans="3:12">
      <c r="C558">
        <v>554</v>
      </c>
      <c r="D558" t="s">
        <v>3061</v>
      </c>
      <c r="E558">
        <v>30</v>
      </c>
      <c r="F558">
        <v>1</v>
      </c>
      <c r="G558">
        <v>103</v>
      </c>
      <c r="H558" t="s">
        <v>3055</v>
      </c>
      <c r="I558">
        <v>350.56</v>
      </c>
      <c r="J558">
        <v>176.8</v>
      </c>
      <c r="K558">
        <v>0</v>
      </c>
      <c r="L558">
        <v>173.76</v>
      </c>
    </row>
    <row r="559" spans="3:12">
      <c r="C559">
        <v>555</v>
      </c>
      <c r="D559" t="s">
        <v>3061</v>
      </c>
      <c r="E559">
        <v>30</v>
      </c>
      <c r="F559">
        <v>1</v>
      </c>
      <c r="G559">
        <v>104</v>
      </c>
      <c r="H559" t="s">
        <v>3055</v>
      </c>
      <c r="I559">
        <v>350.56</v>
      </c>
      <c r="J559">
        <v>176.8</v>
      </c>
      <c r="K559">
        <v>0</v>
      </c>
      <c r="L559">
        <v>173.76</v>
      </c>
    </row>
    <row r="560" spans="3:12">
      <c r="C560">
        <v>556</v>
      </c>
      <c r="D560" t="s">
        <v>3061</v>
      </c>
      <c r="E560">
        <v>30</v>
      </c>
      <c r="F560">
        <v>1</v>
      </c>
      <c r="G560">
        <v>105</v>
      </c>
      <c r="H560" t="s">
        <v>3055</v>
      </c>
      <c r="I560">
        <v>350.56</v>
      </c>
      <c r="J560">
        <v>176.8</v>
      </c>
      <c r="K560">
        <v>0</v>
      </c>
      <c r="L560">
        <v>173.76</v>
      </c>
    </row>
    <row r="561" spans="3:12">
      <c r="C561">
        <v>557</v>
      </c>
      <c r="D561" t="s">
        <v>3061</v>
      </c>
      <c r="E561">
        <v>30</v>
      </c>
      <c r="F561">
        <v>1</v>
      </c>
      <c r="G561">
        <v>107</v>
      </c>
      <c r="H561" t="s">
        <v>3055</v>
      </c>
      <c r="I561">
        <v>351.28</v>
      </c>
      <c r="J561">
        <v>176.8</v>
      </c>
      <c r="K561">
        <v>0</v>
      </c>
      <c r="L561">
        <v>174.48000000000002</v>
      </c>
    </row>
    <row r="562" spans="3:12">
      <c r="C562">
        <v>558</v>
      </c>
      <c r="D562" t="s">
        <v>3061</v>
      </c>
      <c r="E562">
        <v>31</v>
      </c>
      <c r="F562">
        <v>1</v>
      </c>
      <c r="G562">
        <v>101</v>
      </c>
      <c r="H562" t="s">
        <v>3055</v>
      </c>
      <c r="I562">
        <v>351.38</v>
      </c>
      <c r="J562">
        <v>176.92000000000002</v>
      </c>
      <c r="K562">
        <v>0</v>
      </c>
      <c r="L562">
        <v>174.46</v>
      </c>
    </row>
    <row r="563" spans="3:12">
      <c r="C563">
        <v>559</v>
      </c>
      <c r="D563" t="s">
        <v>3061</v>
      </c>
      <c r="E563">
        <v>31</v>
      </c>
      <c r="F563">
        <v>1</v>
      </c>
      <c r="G563">
        <v>103</v>
      </c>
      <c r="H563" t="s">
        <v>3055</v>
      </c>
      <c r="I563">
        <v>350.79</v>
      </c>
      <c r="J563">
        <v>176.92000000000002</v>
      </c>
      <c r="K563">
        <v>0</v>
      </c>
      <c r="L563">
        <v>173.87</v>
      </c>
    </row>
    <row r="564" spans="3:12">
      <c r="C564">
        <v>560</v>
      </c>
      <c r="D564" t="s">
        <v>3061</v>
      </c>
      <c r="E564">
        <v>31</v>
      </c>
      <c r="F564">
        <v>1</v>
      </c>
      <c r="G564">
        <v>105</v>
      </c>
      <c r="H564" t="s">
        <v>3055</v>
      </c>
      <c r="I564">
        <v>350.79</v>
      </c>
      <c r="J564">
        <v>176.92000000000002</v>
      </c>
      <c r="K564">
        <v>0</v>
      </c>
      <c r="L564">
        <v>173.87</v>
      </c>
    </row>
    <row r="565" spans="3:12">
      <c r="C565">
        <v>561</v>
      </c>
      <c r="D565" t="s">
        <v>3061</v>
      </c>
      <c r="E565">
        <v>31</v>
      </c>
      <c r="F565">
        <v>1</v>
      </c>
      <c r="G565">
        <v>106</v>
      </c>
      <c r="H565" t="s">
        <v>3055</v>
      </c>
      <c r="I565">
        <v>316.08</v>
      </c>
      <c r="J565">
        <v>176.92000000000002</v>
      </c>
      <c r="K565">
        <v>0</v>
      </c>
      <c r="L565">
        <v>139.16</v>
      </c>
    </row>
    <row r="566" spans="3:12">
      <c r="C566">
        <v>562</v>
      </c>
      <c r="D566" t="s">
        <v>3061</v>
      </c>
      <c r="E566">
        <v>31</v>
      </c>
      <c r="F566">
        <v>1</v>
      </c>
      <c r="G566">
        <v>107</v>
      </c>
      <c r="H566" t="s">
        <v>3055</v>
      </c>
      <c r="I566">
        <v>351.49</v>
      </c>
      <c r="J566">
        <v>176.92000000000002</v>
      </c>
      <c r="K566">
        <v>0</v>
      </c>
      <c r="L566">
        <v>174.57</v>
      </c>
    </row>
    <row r="567" spans="3:12">
      <c r="C567">
        <v>563</v>
      </c>
      <c r="D567" t="s">
        <v>3061</v>
      </c>
      <c r="E567">
        <v>32</v>
      </c>
      <c r="F567">
        <v>1</v>
      </c>
      <c r="G567">
        <v>101</v>
      </c>
      <c r="H567" t="s">
        <v>3055</v>
      </c>
      <c r="I567">
        <v>316.57</v>
      </c>
      <c r="J567">
        <v>177.03</v>
      </c>
      <c r="K567">
        <v>0</v>
      </c>
      <c r="L567">
        <v>139.54</v>
      </c>
    </row>
    <row r="568" spans="3:12">
      <c r="C568">
        <v>564</v>
      </c>
      <c r="D568" t="s">
        <v>3061</v>
      </c>
      <c r="E568">
        <v>32</v>
      </c>
      <c r="F568">
        <v>1</v>
      </c>
      <c r="G568">
        <v>102</v>
      </c>
      <c r="H568" t="s">
        <v>3055</v>
      </c>
      <c r="I568">
        <v>316.57</v>
      </c>
      <c r="J568">
        <v>177.03</v>
      </c>
      <c r="K568">
        <v>0</v>
      </c>
      <c r="L568">
        <v>139.54</v>
      </c>
    </row>
    <row r="569" spans="3:12">
      <c r="C569">
        <v>565</v>
      </c>
      <c r="D569" t="s">
        <v>3061</v>
      </c>
      <c r="E569">
        <v>32</v>
      </c>
      <c r="F569">
        <v>1</v>
      </c>
      <c r="G569">
        <v>103</v>
      </c>
      <c r="H569" t="s">
        <v>3055</v>
      </c>
      <c r="I569">
        <v>316.27999999999997</v>
      </c>
      <c r="J569">
        <v>177.03</v>
      </c>
      <c r="K569">
        <v>0</v>
      </c>
      <c r="L569">
        <v>139.25</v>
      </c>
    </row>
    <row r="570" spans="3:12">
      <c r="C570">
        <v>566</v>
      </c>
      <c r="D570" t="s">
        <v>3061</v>
      </c>
      <c r="E570">
        <v>32</v>
      </c>
      <c r="F570">
        <v>1</v>
      </c>
      <c r="G570">
        <v>104</v>
      </c>
      <c r="H570" t="s">
        <v>3055</v>
      </c>
      <c r="I570">
        <v>316.27999999999997</v>
      </c>
      <c r="J570">
        <v>177.03</v>
      </c>
      <c r="K570">
        <v>0</v>
      </c>
      <c r="L570">
        <v>139.25</v>
      </c>
    </row>
    <row r="571" spans="3:12">
      <c r="C571">
        <v>567</v>
      </c>
      <c r="D571" t="s">
        <v>3061</v>
      </c>
      <c r="E571">
        <v>32</v>
      </c>
      <c r="F571">
        <v>1</v>
      </c>
      <c r="G571">
        <v>105</v>
      </c>
      <c r="H571" t="s">
        <v>3055</v>
      </c>
      <c r="I571">
        <v>316.27999999999997</v>
      </c>
      <c r="J571">
        <v>177.03</v>
      </c>
      <c r="K571">
        <v>0</v>
      </c>
      <c r="L571">
        <v>139.25</v>
      </c>
    </row>
    <row r="572" spans="3:12">
      <c r="C572">
        <v>568</v>
      </c>
      <c r="D572" t="s">
        <v>3061</v>
      </c>
      <c r="E572">
        <v>32</v>
      </c>
      <c r="F572">
        <v>1</v>
      </c>
      <c r="G572">
        <v>106</v>
      </c>
      <c r="H572" t="s">
        <v>3055</v>
      </c>
      <c r="I572">
        <v>316.27999999999997</v>
      </c>
      <c r="J572">
        <v>177.03</v>
      </c>
      <c r="K572">
        <v>0</v>
      </c>
      <c r="L572">
        <v>139.25</v>
      </c>
    </row>
    <row r="573" spans="3:12">
      <c r="C573">
        <v>569</v>
      </c>
      <c r="D573" t="s">
        <v>3061</v>
      </c>
      <c r="E573">
        <v>32</v>
      </c>
      <c r="F573">
        <v>1</v>
      </c>
      <c r="G573">
        <v>107</v>
      </c>
      <c r="H573" t="s">
        <v>3055</v>
      </c>
      <c r="I573">
        <v>317.12</v>
      </c>
      <c r="J573">
        <v>177.03</v>
      </c>
      <c r="K573">
        <v>0</v>
      </c>
      <c r="L573">
        <v>140.09</v>
      </c>
    </row>
    <row r="574" spans="3:12">
      <c r="C574">
        <v>570</v>
      </c>
      <c r="D574" t="s">
        <v>3061</v>
      </c>
      <c r="E574">
        <v>32</v>
      </c>
      <c r="F574">
        <v>1</v>
      </c>
      <c r="G574">
        <v>108</v>
      </c>
      <c r="H574" t="s">
        <v>3055</v>
      </c>
      <c r="I574">
        <v>316.83</v>
      </c>
      <c r="J574">
        <v>177.03</v>
      </c>
      <c r="K574">
        <v>0</v>
      </c>
      <c r="L574">
        <v>139.80000000000001</v>
      </c>
    </row>
    <row r="575" spans="3:12">
      <c r="C575" s="3344" t="s">
        <v>3381</v>
      </c>
      <c r="D575" s="3345"/>
      <c r="E575" s="3345"/>
      <c r="F575" s="3345"/>
      <c r="G575" s="3345"/>
      <c r="H575" s="3345"/>
      <c r="I575" s="2979">
        <f>SUM(I5:I574)</f>
        <v>129585.89000000017</v>
      </c>
      <c r="J575" s="2979">
        <f t="shared" ref="J575:L575" si="0">SUM(J5:J574)</f>
        <v>89263.560000000201</v>
      </c>
      <c r="K575" s="2979">
        <f t="shared" si="0"/>
        <v>3919.0999999999995</v>
      </c>
      <c r="L575" s="2979">
        <f t="shared" si="0"/>
        <v>36403.230000000018</v>
      </c>
    </row>
  </sheetData>
  <mergeCells count="1">
    <mergeCell ref="C575:H575"/>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39" t="s">
        <v>1654</v>
      </c>
      <c r="B1" s="3039"/>
      <c r="C1" s="3039"/>
      <c r="D1" s="3039"/>
    </row>
    <row r="2" spans="1:4" ht="18">
      <c r="A2" s="3040" t="s">
        <v>1638</v>
      </c>
      <c r="B2" s="3040"/>
      <c r="C2" s="3040"/>
      <c r="D2" s="3040"/>
    </row>
    <row r="3" spans="1:4" ht="18.75">
      <c r="A3" s="1975" t="s">
        <v>1639</v>
      </c>
      <c r="B3" s="1975" t="s">
        <v>1640</v>
      </c>
      <c r="C3" s="1975" t="s">
        <v>1641</v>
      </c>
      <c r="D3" s="1975" t="s">
        <v>1642</v>
      </c>
    </row>
    <row r="4" spans="1:4" ht="56.25" customHeight="1">
      <c r="A4" s="1976" t="str">
        <f>项目基本情况!B4</f>
        <v>郑燚</v>
      </c>
      <c r="B4" s="1977">
        <f ca="1">项目基本情况!C4</f>
        <v>1120070131</v>
      </c>
      <c r="C4" s="1978"/>
      <c r="D4" s="1979" t="s">
        <v>1643</v>
      </c>
    </row>
    <row r="5" spans="1:4" ht="56.25" customHeight="1">
      <c r="A5" s="1976" t="str">
        <f>项目基本情况!D4</f>
        <v>崔锴</v>
      </c>
      <c r="B5" s="1977">
        <f ca="1">项目基本情况!E4</f>
        <v>1120100036</v>
      </c>
      <c r="C5" s="1980"/>
      <c r="D5" s="1979" t="s">
        <v>1643</v>
      </c>
    </row>
    <row r="6" spans="1:4" ht="18">
      <c r="A6" s="3040" t="s">
        <v>1644</v>
      </c>
      <c r="B6" s="3040"/>
      <c r="C6" s="3040"/>
      <c r="D6" s="3040"/>
    </row>
    <row r="7" spans="1:4" ht="18.75">
      <c r="A7" s="1975" t="s">
        <v>1639</v>
      </c>
      <c r="B7" s="1977" t="s">
        <v>1645</v>
      </c>
      <c r="C7" s="1975" t="s">
        <v>1641</v>
      </c>
      <c r="D7" s="1975" t="s">
        <v>1642</v>
      </c>
    </row>
    <row r="8" spans="1:4" ht="56.25" customHeight="1">
      <c r="A8" s="1981" t="s">
        <v>865</v>
      </c>
      <c r="B8" s="1981" t="s">
        <v>1</v>
      </c>
      <c r="C8" s="1978"/>
      <c r="D8" s="1979" t="s">
        <v>1643</v>
      </c>
    </row>
    <row r="9" spans="1:4">
      <c r="A9" s="727"/>
      <c r="B9" s="727"/>
      <c r="C9" s="727"/>
      <c r="D9" s="727"/>
    </row>
    <row r="10" spans="1:4" ht="18.75">
      <c r="A10" s="1982" t="s">
        <v>1646</v>
      </c>
      <c r="B10" s="727"/>
      <c r="C10" s="727"/>
      <c r="D10" s="727"/>
    </row>
    <row r="11" spans="1:4" ht="30" customHeight="1">
      <c r="A11" s="3041" t="s">
        <v>1647</v>
      </c>
      <c r="B11" s="3042"/>
      <c r="C11" s="3042"/>
      <c r="D11" s="3042"/>
    </row>
    <row r="12" spans="1:4" ht="15.75">
      <c r="A12" s="30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3"/>
      <c r="C12" s="3043"/>
      <c r="D12" s="3043"/>
    </row>
    <row r="13" spans="1:4" ht="30" customHeight="1">
      <c r="A13" s="30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3"/>
      <c r="C13" s="3043"/>
      <c r="D13" s="3043"/>
    </row>
    <row r="14" spans="1:4" ht="15.75" customHeight="1">
      <c r="A14" s="3042" t="str">
        <f>IF(项目基本情况!B8="抵押","4.本次评估估价师所知悉的法定优先受偿款情况说明如下：","——")</f>
        <v>4.本次评估估价师所知悉的法定优先受偿款情况说明如下：</v>
      </c>
      <c r="B14" s="3043"/>
      <c r="C14" s="3043"/>
      <c r="D14" s="3043"/>
    </row>
    <row r="15" spans="1:4" ht="42" customHeight="1">
      <c r="A15" s="304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2"/>
      <c r="C15" s="3042"/>
      <c r="D15" s="3042"/>
    </row>
    <row r="16" spans="1:4" ht="30" customHeight="1">
      <c r="A16" s="3045" t="s">
        <v>1648</v>
      </c>
      <c r="B16" s="3045"/>
      <c r="C16" s="3045"/>
      <c r="D16" s="3045"/>
    </row>
    <row r="17" spans="1:4" ht="144" customHeight="1">
      <c r="A17" s="3045" t="s">
        <v>1649</v>
      </c>
      <c r="B17" s="3045"/>
      <c r="C17" s="3045"/>
      <c r="D17" s="3045"/>
    </row>
    <row r="18" spans="1:4" ht="15.75" customHeight="1">
      <c r="A18" s="3042" t="str">
        <f>IF(项目基本情况!B8="抵押",结果表!K120,"——")</f>
        <v>故，本次评估不存在估价师知悉的法定优先受偿款</v>
      </c>
      <c r="B18" s="3042"/>
      <c r="C18" s="3042"/>
      <c r="D18" s="3042"/>
    </row>
    <row r="19" spans="1:4" ht="46.5" customHeight="1">
      <c r="A19" s="30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2"/>
      <c r="C19" s="3042"/>
      <c r="D19" s="3042"/>
    </row>
    <row r="20" spans="1:4" ht="57.75" customHeight="1">
      <c r="A20" s="30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2"/>
      <c r="C20" s="3042"/>
      <c r="D20" s="3042"/>
    </row>
    <row r="21" spans="1:4" ht="57.75" customHeight="1">
      <c r="A21" s="30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6"/>
      <c r="C21" s="3046"/>
      <c r="D21" s="3046"/>
    </row>
    <row r="22" spans="1:4" ht="18.75" customHeight="1">
      <c r="A22" s="3047" t="s">
        <v>1650</v>
      </c>
      <c r="B22" s="3047"/>
      <c r="C22" s="3047"/>
      <c r="D22" s="3047"/>
    </row>
    <row r="23" spans="1:4">
      <c r="A23" s="1983"/>
      <c r="B23" s="1955"/>
      <c r="C23" s="1955"/>
      <c r="D23" s="1955"/>
    </row>
    <row r="24" spans="1:4">
      <c r="A24" s="1983"/>
      <c r="B24" s="1955"/>
      <c r="C24" s="1955"/>
      <c r="D24" s="1955"/>
    </row>
    <row r="25" spans="1:4" ht="18.75">
      <c r="A25" s="1984" t="s">
        <v>1651</v>
      </c>
    </row>
    <row r="26" spans="1:4" ht="18">
      <c r="A26" s="1953"/>
    </row>
    <row r="27" spans="1:4" ht="18.75">
      <c r="A27" s="1953" t="s">
        <v>1652</v>
      </c>
    </row>
    <row r="30" spans="1:4" ht="18.75">
      <c r="D30" s="1984" t="s">
        <v>1653</v>
      </c>
    </row>
    <row r="31" spans="1:4" ht="13.5" customHeight="1">
      <c r="C31" s="3044">
        <v>42551</v>
      </c>
      <c r="D31" s="304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1655</v>
      </c>
    </row>
    <row r="3" spans="1:7">
      <c r="A3" s="1989" t="s">
        <v>82</v>
      </c>
      <c r="B3" s="1973" t="s">
        <v>1656</v>
      </c>
      <c r="G3" s="1990"/>
    </row>
    <row r="4" spans="1:7">
      <c r="G4" s="1990"/>
    </row>
    <row r="5" spans="1:7">
      <c r="A5" s="1992" t="s">
        <v>73</v>
      </c>
      <c r="B5" s="1973" t="s">
        <v>1657</v>
      </c>
      <c r="G5" s="1990"/>
    </row>
    <row r="6" spans="1:7">
      <c r="G6" s="1990"/>
    </row>
    <row r="7" spans="1:7">
      <c r="A7" s="1993" t="s">
        <v>135</v>
      </c>
      <c r="B7" s="1973" t="s">
        <v>1658</v>
      </c>
      <c r="G7" s="1990"/>
    </row>
    <row r="8" spans="1:7">
      <c r="G8" s="1990"/>
    </row>
    <row r="9" spans="1:7">
      <c r="A9" s="1994" t="s">
        <v>74</v>
      </c>
      <c r="B9" s="1973" t="s">
        <v>1659</v>
      </c>
    </row>
    <row r="11" spans="1:7">
      <c r="A11" s="1995" t="s">
        <v>75</v>
      </c>
      <c r="B11" s="1996" t="s">
        <v>72</v>
      </c>
    </row>
    <row r="13" spans="1:7">
      <c r="A13" s="1997" t="s">
        <v>1660</v>
      </c>
    </row>
    <row r="15" spans="1:7" ht="13.5">
      <c r="A15" s="3053" t="s">
        <v>1661</v>
      </c>
      <c r="B15" s="3048" t="s">
        <v>136</v>
      </c>
      <c r="C15" s="3049"/>
    </row>
    <row r="16" spans="1:7" ht="13.5">
      <c r="A16" s="3054"/>
      <c r="B16" s="3048" t="s">
        <v>69</v>
      </c>
      <c r="C16" s="3049"/>
    </row>
    <row r="17" spans="1:3" ht="13.5">
      <c r="A17" s="3054"/>
      <c r="B17" s="3051" t="s">
        <v>1662</v>
      </c>
      <c r="C17" s="1998" t="s">
        <v>1661</v>
      </c>
    </row>
    <row r="18" spans="1:3" ht="13.5">
      <c r="A18" s="3054"/>
      <c r="B18" s="3051"/>
      <c r="C18" s="1998" t="s">
        <v>1663</v>
      </c>
    </row>
    <row r="19" spans="1:3" ht="13.5">
      <c r="A19" s="3054"/>
      <c r="B19" s="3051"/>
      <c r="C19" s="1998" t="s">
        <v>1664</v>
      </c>
    </row>
    <row r="20" spans="1:3" ht="13.5">
      <c r="A20" s="3055"/>
      <c r="B20" s="3050" t="s">
        <v>1665</v>
      </c>
      <c r="C20" s="3049"/>
    </row>
    <row r="21" spans="1:3" ht="13.5">
      <c r="A21" s="1999" t="s">
        <v>1666</v>
      </c>
      <c r="B21" s="2000"/>
      <c r="C21" s="2001"/>
    </row>
    <row r="22" spans="1:3" ht="13.5">
      <c r="A22" s="3052" t="s">
        <v>1667</v>
      </c>
      <c r="B22" s="3050" t="s">
        <v>1668</v>
      </c>
      <c r="C22" s="3049"/>
    </row>
    <row r="23" spans="1:3" ht="13.5">
      <c r="A23" s="3052"/>
      <c r="B23" s="3050" t="s">
        <v>1669</v>
      </c>
      <c r="C23" s="3049"/>
    </row>
    <row r="24" spans="1:3" ht="13.5">
      <c r="A24" s="3052"/>
      <c r="B24" s="3050" t="s">
        <v>1670</v>
      </c>
      <c r="C24" s="3049"/>
    </row>
    <row r="25" spans="1:3" ht="13.5">
      <c r="A25" s="3052"/>
      <c r="B25" s="3051" t="s">
        <v>1671</v>
      </c>
      <c r="C25" s="1998" t="s">
        <v>1672</v>
      </c>
    </row>
    <row r="26" spans="1:3" ht="13.5">
      <c r="A26" s="3052"/>
      <c r="B26" s="3051"/>
      <c r="C26" s="1998" t="s">
        <v>1673</v>
      </c>
    </row>
    <row r="27" spans="1:3" ht="13.5">
      <c r="A27" s="3052"/>
      <c r="B27" s="3051"/>
      <c r="C27" s="1998" t="s">
        <v>1674</v>
      </c>
    </row>
    <row r="28" spans="1:3" ht="13.5">
      <c r="A28" s="3052"/>
      <c r="B28" s="3051"/>
      <c r="C28" s="1998" t="s">
        <v>1675</v>
      </c>
    </row>
    <row r="29" spans="1:3" ht="13.5">
      <c r="A29" s="3052"/>
      <c r="B29" s="3051"/>
      <c r="C29" s="1998" t="s">
        <v>1676</v>
      </c>
    </row>
    <row r="30" spans="1:3" ht="13.5">
      <c r="A30" s="3052"/>
      <c r="B30" s="3051"/>
      <c r="C30" s="1998" t="s">
        <v>1677</v>
      </c>
    </row>
    <row r="31" spans="1:3" ht="13.5">
      <c r="A31" s="3052"/>
      <c r="B31" s="3051"/>
      <c r="C31" s="1998" t="s">
        <v>1678</v>
      </c>
    </row>
    <row r="32" spans="1:3" ht="13.5">
      <c r="A32" s="3052"/>
      <c r="B32" s="3051"/>
      <c r="C32" s="1998" t="s">
        <v>1679</v>
      </c>
    </row>
    <row r="33" spans="1:3" ht="13.5">
      <c r="A33" s="3052"/>
      <c r="B33" s="3051"/>
      <c r="C33" s="1998" t="s">
        <v>1680</v>
      </c>
    </row>
    <row r="34" spans="1:3">
      <c r="A34" s="2002" t="s">
        <v>76</v>
      </c>
    </row>
    <row r="37" spans="1:3">
      <c r="A37" s="2002" t="s">
        <v>1681</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824</v>
      </c>
      <c r="B2" s="1017">
        <f ca="1">TODAY()</f>
        <v>43455</v>
      </c>
      <c r="C2" s="1018" t="s">
        <v>825</v>
      </c>
      <c r="D2" s="1018"/>
    </row>
    <row r="3" spans="1:6" ht="24" customHeight="1">
      <c r="A3" s="1019" t="s">
        <v>826</v>
      </c>
      <c r="B3" s="1020" t="s">
        <v>827</v>
      </c>
      <c r="C3" s="2341" t="s">
        <v>828</v>
      </c>
      <c r="D3" s="2344" t="s">
        <v>829</v>
      </c>
      <c r="E3" s="1021" t="s">
        <v>830</v>
      </c>
      <c r="F3" s="1020" t="s">
        <v>828</v>
      </c>
    </row>
    <row r="4" spans="1:6" ht="24" customHeight="1">
      <c r="A4" s="1700" t="s">
        <v>831</v>
      </c>
      <c r="B4" s="1021">
        <f ca="1">IF(C4&lt;B2,"已过期",1119970066)</f>
        <v>1119970066</v>
      </c>
      <c r="C4" s="2342">
        <v>43849</v>
      </c>
      <c r="D4" s="2345" t="s">
        <v>831</v>
      </c>
      <c r="E4" s="1021">
        <f ca="1">IF(F4&lt;B2,"已过期",96010014)</f>
        <v>96010014</v>
      </c>
      <c r="F4" s="1029">
        <v>47118</v>
      </c>
    </row>
    <row r="5" spans="1:6" ht="24" customHeight="1">
      <c r="A5" s="1700" t="s">
        <v>832</v>
      </c>
      <c r="B5" s="1021">
        <f ca="1">IF(C5&lt;B2,"已过期",1119970074)</f>
        <v>1119970074</v>
      </c>
      <c r="C5" s="2342">
        <v>43849</v>
      </c>
      <c r="D5" s="2345" t="s">
        <v>832</v>
      </c>
      <c r="E5" s="1021">
        <f ca="1">IF(F5&lt;B2,"已过期",2002110027)</f>
        <v>2002110027</v>
      </c>
      <c r="F5" s="1029">
        <v>46752</v>
      </c>
    </row>
    <row r="6" spans="1:6" ht="24" customHeight="1">
      <c r="A6" s="1700" t="s">
        <v>833</v>
      </c>
      <c r="B6" s="1021">
        <f ca="1">IF(C6&lt;B2,"已过期",1119970111)</f>
        <v>1119970111</v>
      </c>
      <c r="C6" s="2342">
        <v>43849</v>
      </c>
      <c r="D6" s="2345" t="s">
        <v>833</v>
      </c>
      <c r="E6" s="1021">
        <f ca="1">IF(F6&lt;B2,"已过期",94010078)</f>
        <v>94010078</v>
      </c>
      <c r="F6" s="1029">
        <v>46387</v>
      </c>
    </row>
    <row r="7" spans="1:6" ht="24" customHeight="1">
      <c r="A7" s="1700" t="s">
        <v>834</v>
      </c>
      <c r="B7" s="1021">
        <f ca="1">IF(C7&lt;B2,"已过期",1120050019)</f>
        <v>1120050019</v>
      </c>
      <c r="C7" s="2342">
        <v>44395</v>
      </c>
      <c r="D7" s="2345" t="s">
        <v>834</v>
      </c>
      <c r="E7" s="1021">
        <f ca="1">IF(F7&lt;B2,"已过期",2002110030)</f>
        <v>2002110030</v>
      </c>
      <c r="F7" s="1029">
        <v>46387</v>
      </c>
    </row>
    <row r="8" spans="1:6" ht="24" customHeight="1">
      <c r="A8" s="1700" t="s">
        <v>835</v>
      </c>
      <c r="B8" s="1021">
        <f ca="1">IF(C8&lt;B2,"已过期",1120000080)</f>
        <v>1120000080</v>
      </c>
      <c r="C8" s="2342">
        <v>43849</v>
      </c>
      <c r="D8" s="2345" t="s">
        <v>835</v>
      </c>
      <c r="E8" s="1021">
        <f ca="1">IF(F8&lt;B2,"已过期",2000110082)</f>
        <v>2000110082</v>
      </c>
      <c r="F8" s="1029">
        <v>46387</v>
      </c>
    </row>
    <row r="9" spans="1:6" ht="24" customHeight="1">
      <c r="A9" s="1700" t="s">
        <v>836</v>
      </c>
      <c r="B9" s="1021">
        <f ca="1">IF(C9&lt;B2,"已过期",1419970001)</f>
        <v>1419970001</v>
      </c>
      <c r="C9" s="2342">
        <v>43867</v>
      </c>
      <c r="D9" s="2345" t="s">
        <v>836</v>
      </c>
      <c r="E9" s="1021">
        <f ca="1">IF(F9&lt;B2,"已过期",2002110125)</f>
        <v>2002110125</v>
      </c>
      <c r="F9" s="1029">
        <v>47118</v>
      </c>
    </row>
    <row r="10" spans="1:6" ht="24" customHeight="1">
      <c r="A10" s="1700" t="s">
        <v>837</v>
      </c>
      <c r="B10" s="1021">
        <f ca="1">IF(C10&lt;B2,"已过期",1120060040)</f>
        <v>1120060040</v>
      </c>
      <c r="C10" s="2342">
        <v>43483</v>
      </c>
      <c r="D10" s="2345" t="s">
        <v>837</v>
      </c>
      <c r="E10" s="1021">
        <f ca="1">IF(F10&lt;B2,"已过期",2004110096)</f>
        <v>2004110096</v>
      </c>
      <c r="F10" s="1029">
        <v>47118</v>
      </c>
    </row>
    <row r="11" spans="1:6" ht="24" customHeight="1">
      <c r="A11" s="1700" t="s">
        <v>838</v>
      </c>
      <c r="B11" s="1021">
        <f ca="1">IF(C11&lt;B2,"已过期",1120100036)</f>
        <v>1120100036</v>
      </c>
      <c r="C11" s="2342">
        <v>43622</v>
      </c>
      <c r="D11" s="2345" t="s">
        <v>838</v>
      </c>
      <c r="E11" s="1021">
        <f ca="1">IF(F11&lt;B2,"已过期",2010110070)</f>
        <v>2010110070</v>
      </c>
      <c r="F11" s="1029">
        <v>47907</v>
      </c>
    </row>
    <row r="12" spans="1:6" ht="24" customHeight="1">
      <c r="A12" s="1700"/>
      <c r="B12" s="1021"/>
      <c r="C12" s="2934"/>
      <c r="D12" s="1700"/>
      <c r="E12" s="1021"/>
      <c r="F12" s="1029"/>
    </row>
    <row r="13" spans="1:6" ht="24" customHeight="1">
      <c r="A13" s="1700" t="s">
        <v>839</v>
      </c>
      <c r="B13" s="1021">
        <f ca="1">IF(C13&lt;B2,"已过期",1120070131)</f>
        <v>1120070131</v>
      </c>
      <c r="C13" s="2342">
        <v>43814</v>
      </c>
      <c r="D13" s="2345" t="s">
        <v>839</v>
      </c>
      <c r="E13" s="1021">
        <f ca="1">IF(F13&lt;B2,"已过期",2014110011)</f>
        <v>2014110011</v>
      </c>
      <c r="F13" s="1029">
        <v>49302</v>
      </c>
    </row>
    <row r="14" spans="1:6" ht="24" customHeight="1">
      <c r="A14" s="1700" t="s">
        <v>2994</v>
      </c>
      <c r="B14" s="1021">
        <f ca="1">IF(C14&lt;B2,"已过期",1120040230)</f>
        <v>1120040230</v>
      </c>
      <c r="C14" s="2342">
        <v>43835</v>
      </c>
      <c r="D14" s="2345" t="s">
        <v>2994</v>
      </c>
      <c r="E14" s="1021">
        <f ca="1">IF(F14&lt;B2,"已过期",98030020)</f>
        <v>98030020</v>
      </c>
      <c r="F14" s="1029">
        <v>47118</v>
      </c>
    </row>
    <row r="15" spans="1:6" ht="24" customHeight="1">
      <c r="A15" s="1701" t="s">
        <v>2995</v>
      </c>
      <c r="B15" s="1021">
        <f ca="1">IF(C15&lt;B2,"已过期",1120070085)</f>
        <v>1120070085</v>
      </c>
      <c r="C15" s="2342">
        <v>43814</v>
      </c>
      <c r="D15" s="2346" t="s">
        <v>2995</v>
      </c>
      <c r="E15" s="1021">
        <f ca="1">IF(F15&lt;B2,"已过期",2004110128)</f>
        <v>2004110128</v>
      </c>
      <c r="F15" s="1022">
        <v>47118</v>
      </c>
    </row>
    <row r="16" spans="1:6" ht="24" customHeight="1">
      <c r="A16" s="1700" t="s">
        <v>2996</v>
      </c>
      <c r="B16" s="1021">
        <f ca="1">IF(C16&lt;B2,"已过期",1120140022)</f>
        <v>1120140022</v>
      </c>
      <c r="C16" s="2934">
        <v>44029</v>
      </c>
      <c r="D16" s="2345" t="s">
        <v>2996</v>
      </c>
      <c r="E16" s="1021">
        <f ca="1">IF(F16&lt;B2,"已过期",2008110059)</f>
        <v>2008110059</v>
      </c>
      <c r="F16" s="1029">
        <v>47177</v>
      </c>
    </row>
    <row r="17" spans="1:7" ht="24" customHeight="1">
      <c r="A17" s="1700"/>
      <c r="B17" s="1021"/>
      <c r="C17" s="2342"/>
      <c r="D17" s="2345" t="s">
        <v>2997</v>
      </c>
      <c r="E17" s="1021">
        <f ca="1">IF(F17&lt;B2,"已过期",2014110076)</f>
        <v>2014110076</v>
      </c>
      <c r="F17" s="1029">
        <v>49302</v>
      </c>
    </row>
    <row r="18" spans="1:7" ht="24" customHeight="1">
      <c r="A18" s="1700"/>
      <c r="B18" s="1021"/>
      <c r="C18" s="2342"/>
      <c r="D18" s="2345"/>
      <c r="E18" s="1021"/>
      <c r="F18" s="1029"/>
    </row>
    <row r="19" spans="1:7" ht="24" customHeight="1">
      <c r="A19" s="1700"/>
      <c r="B19" s="1021"/>
      <c r="C19" s="2342"/>
      <c r="D19" s="2345"/>
      <c r="E19" s="1021"/>
      <c r="F19" s="1021"/>
    </row>
    <row r="20" spans="1:7" ht="24" customHeight="1">
      <c r="A20" s="1700"/>
      <c r="B20" s="1021"/>
      <c r="C20" s="2342"/>
      <c r="D20" s="2345"/>
      <c r="E20" s="1021"/>
      <c r="F20" s="1021"/>
    </row>
    <row r="21" spans="1:7" ht="24" customHeight="1">
      <c r="A21" s="1700"/>
      <c r="B21" s="1021"/>
      <c r="C21" s="2342"/>
      <c r="D21" s="2345" t="s">
        <v>840</v>
      </c>
      <c r="E21" s="1021">
        <f ca="1">IF(F21&lt;B2,"已过期",2011110090)</f>
        <v>2011110090</v>
      </c>
      <c r="F21" s="1029">
        <v>48302</v>
      </c>
    </row>
    <row r="22" spans="1:7" ht="24" customHeight="1">
      <c r="A22" s="1700" t="s">
        <v>841</v>
      </c>
      <c r="B22" s="1021">
        <f ca="1">IF(C22&lt;B2,"已过期",1120020033)</f>
        <v>1120020033</v>
      </c>
      <c r="C22" s="2934">
        <v>44339</v>
      </c>
      <c r="D22" s="2345" t="s">
        <v>841</v>
      </c>
      <c r="E22" s="1021">
        <f ca="1">IF(F22&lt;B2,"已过期",2000110137)</f>
        <v>2000110137</v>
      </c>
      <c r="F22" s="1029">
        <v>46387</v>
      </c>
    </row>
    <row r="23" spans="1:7" ht="24" customHeight="1">
      <c r="A23" s="1700"/>
      <c r="B23" s="1021"/>
      <c r="C23" s="2342"/>
      <c r="D23" s="2345"/>
      <c r="E23" s="1021"/>
      <c r="F23" s="1021"/>
    </row>
    <row r="24" spans="1:7" s="1023" customFormat="1" ht="24" customHeight="1">
      <c r="A24" s="1701" t="s">
        <v>1325</v>
      </c>
      <c r="B24" s="1701" t="s">
        <v>1325</v>
      </c>
      <c r="C24" s="2343" t="s">
        <v>1325</v>
      </c>
      <c r="D24" s="2346" t="s">
        <v>1325</v>
      </c>
      <c r="E24" s="1701" t="s">
        <v>1325</v>
      </c>
      <c r="F24" s="1701" t="s">
        <v>1325</v>
      </c>
    </row>
    <row r="25" spans="1:7" ht="24" customHeight="1">
      <c r="A25" s="3056" t="s">
        <v>842</v>
      </c>
      <c r="B25" s="3056"/>
      <c r="C25" s="3056"/>
      <c r="D25" s="3056"/>
      <c r="E25" s="3056"/>
      <c r="F25" s="3056"/>
      <c r="G25" s="3056"/>
    </row>
    <row r="26" spans="1:7" s="1024" customFormat="1" ht="24" customHeight="1">
      <c r="A26" s="3057" t="s">
        <v>843</v>
      </c>
      <c r="B26" s="3057"/>
      <c r="C26" s="3058"/>
      <c r="D26" s="3059" t="s">
        <v>844</v>
      </c>
      <c r="E26" s="3057"/>
      <c r="F26" s="3057"/>
    </row>
    <row r="27" spans="1:7" s="1026" customFormat="1" ht="24" customHeight="1">
      <c r="A27" s="1025" t="s">
        <v>845</v>
      </c>
      <c r="B27" s="1020" t="s">
        <v>846</v>
      </c>
      <c r="C27" s="2341" t="s">
        <v>847</v>
      </c>
      <c r="D27" s="2349" t="s">
        <v>845</v>
      </c>
      <c r="E27" s="1020" t="s">
        <v>846</v>
      </c>
      <c r="F27" s="1020" t="s">
        <v>847</v>
      </c>
    </row>
    <row r="28" spans="1:7" s="1026" customFormat="1" ht="24" customHeight="1">
      <c r="A28" s="1027" t="s">
        <v>848</v>
      </c>
      <c r="B28" s="1028" t="s">
        <v>849</v>
      </c>
      <c r="C28" s="2347">
        <v>43725</v>
      </c>
      <c r="D28" s="2350" t="s">
        <v>850</v>
      </c>
      <c r="E28" s="1027" t="s">
        <v>851</v>
      </c>
      <c r="F28" s="1057">
        <v>44377</v>
      </c>
    </row>
    <row r="29" spans="1:7" s="1026" customFormat="1" ht="24" customHeight="1">
      <c r="A29" s="1027"/>
      <c r="B29" s="1027"/>
      <c r="C29" s="2348"/>
      <c r="D29" s="2350" t="s">
        <v>852</v>
      </c>
      <c r="E29" s="1201" t="s">
        <v>1376</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845" priority="88">
      <formula>AND($C28-TODAY()&lt;30,TODAY()&lt;$C28)</formula>
    </cfRule>
  </conditionalFormatting>
  <conditionalFormatting sqref="C28 F4">
    <cfRule type="cellIs" dxfId="844" priority="90" stopIfTrue="1" operator="lessThan">
      <formula>$B$2</formula>
    </cfRule>
  </conditionalFormatting>
  <conditionalFormatting sqref="C5">
    <cfRule type="expression" dxfId="843" priority="85">
      <formula>AND($C5-TODAY()&lt;30,TODAY()&lt;$C5)</formula>
    </cfRule>
  </conditionalFormatting>
  <conditionalFormatting sqref="C5 F5">
    <cfRule type="cellIs" dxfId="842" priority="86" stopIfTrue="1" operator="lessThan">
      <formula>$B$2</formula>
    </cfRule>
  </conditionalFormatting>
  <conditionalFormatting sqref="F6 F8 F10">
    <cfRule type="cellIs" dxfId="841" priority="84" stopIfTrue="1" operator="lessThan">
      <formula>$B$2</formula>
    </cfRule>
  </conditionalFormatting>
  <conditionalFormatting sqref="C4:C11 C13 C23 C17:C21">
    <cfRule type="expression" dxfId="840" priority="82">
      <formula>AND($C4-TODAY()&lt;30,TODAY()&lt;$C4)</formula>
    </cfRule>
  </conditionalFormatting>
  <conditionalFormatting sqref="F7 F9 F11 C4:C11 C13 C23 C17:C21">
    <cfRule type="cellIs" dxfId="839" priority="83" stopIfTrue="1" operator="lessThan">
      <formula>$B$2</formula>
    </cfRule>
  </conditionalFormatting>
  <conditionalFormatting sqref="C18">
    <cfRule type="expression" dxfId="838" priority="72">
      <formula>AND($C18-TODAY()&lt;30,TODAY()&lt;$C18)</formula>
    </cfRule>
  </conditionalFormatting>
  <conditionalFormatting sqref="C18">
    <cfRule type="cellIs" dxfId="837" priority="73" stopIfTrue="1" operator="lessThan">
      <formula>$B$2</formula>
    </cfRule>
  </conditionalFormatting>
  <conditionalFormatting sqref="C20">
    <cfRule type="expression" dxfId="836" priority="70">
      <formula>AND($C20-TODAY()&lt;30,TODAY()&lt;$C20)</formula>
    </cfRule>
  </conditionalFormatting>
  <conditionalFormatting sqref="C20">
    <cfRule type="cellIs" dxfId="835" priority="71" stopIfTrue="1" operator="lessThan">
      <formula>$B$2</formula>
    </cfRule>
  </conditionalFormatting>
  <conditionalFormatting sqref="C17">
    <cfRule type="expression" dxfId="834" priority="64">
      <formula>AND($C17-TODAY()&lt;30,TODAY()&lt;$C17)</formula>
    </cfRule>
  </conditionalFormatting>
  <conditionalFormatting sqref="C17">
    <cfRule type="cellIs" dxfId="833" priority="65" stopIfTrue="1" operator="lessThan">
      <formula>$B$2</formula>
    </cfRule>
  </conditionalFormatting>
  <conditionalFormatting sqref="C19">
    <cfRule type="expression" dxfId="832" priority="62">
      <formula>AND($C19-TODAY()&lt;30,TODAY()&lt;$C19)</formula>
    </cfRule>
  </conditionalFormatting>
  <conditionalFormatting sqref="C19">
    <cfRule type="cellIs" dxfId="831" priority="63" stopIfTrue="1" operator="lessThan">
      <formula>$B$2</formula>
    </cfRule>
  </conditionalFormatting>
  <conditionalFormatting sqref="C21">
    <cfRule type="expression" dxfId="830" priority="60">
      <formula>AND($C21-TODAY()&lt;30,TODAY()&lt;$C21)</formula>
    </cfRule>
  </conditionalFormatting>
  <conditionalFormatting sqref="C21">
    <cfRule type="cellIs" dxfId="829" priority="61" stopIfTrue="1" operator="lessThan">
      <formula>$B$2</formula>
    </cfRule>
  </conditionalFormatting>
  <conditionalFormatting sqref="C23">
    <cfRule type="expression" dxfId="828" priority="58">
      <formula>AND($C23-TODAY()&lt;30,TODAY()&lt;$C23)</formula>
    </cfRule>
  </conditionalFormatting>
  <conditionalFormatting sqref="C23">
    <cfRule type="cellIs" dxfId="827" priority="59" stopIfTrue="1" operator="lessThan">
      <formula>$B$2</formula>
    </cfRule>
  </conditionalFormatting>
  <conditionalFormatting sqref="F18">
    <cfRule type="cellIs" dxfId="826" priority="55" stopIfTrue="1" operator="lessThan">
      <formula>$B$2</formula>
    </cfRule>
  </conditionalFormatting>
  <conditionalFormatting sqref="F22">
    <cfRule type="cellIs" dxfId="825" priority="54" stopIfTrue="1" operator="lessThan">
      <formula>$B$2</formula>
    </cfRule>
  </conditionalFormatting>
  <conditionalFormatting sqref="F21">
    <cfRule type="cellIs" dxfId="824" priority="53" stopIfTrue="1" operator="lessThan">
      <formula>$B$2</formula>
    </cfRule>
  </conditionalFormatting>
  <conditionalFormatting sqref="B4:B11 E4:E11 B17:B23 E18:E23 B13 E13">
    <cfRule type="cellIs" dxfId="823" priority="51" stopIfTrue="1" operator="equal">
      <formula>"已过期"</formula>
    </cfRule>
  </conditionalFormatting>
  <conditionalFormatting sqref="A24:F24">
    <cfRule type="cellIs" dxfId="822" priority="47" stopIfTrue="1" operator="equal">
      <formula>"已过期"</formula>
    </cfRule>
  </conditionalFormatting>
  <conditionalFormatting sqref="F28">
    <cfRule type="expression" dxfId="821" priority="45">
      <formula>AND($E28-TODAY()&lt;30,TODAY()&lt;$E28)</formula>
    </cfRule>
  </conditionalFormatting>
  <conditionalFormatting sqref="F28">
    <cfRule type="cellIs" dxfId="820" priority="46" stopIfTrue="1" operator="lessThan">
      <formula>$B$2</formula>
    </cfRule>
  </conditionalFormatting>
  <conditionalFormatting sqref="F29">
    <cfRule type="expression" dxfId="819" priority="41" stopIfTrue="1">
      <formula>AND($E29-TODAY()&lt;30,TODAY()&lt;$E29)</formula>
    </cfRule>
  </conditionalFormatting>
  <conditionalFormatting sqref="F29">
    <cfRule type="cellIs" dxfId="818" priority="42" stopIfTrue="1" operator="lessThan">
      <formula>$B$2</formula>
    </cfRule>
  </conditionalFormatting>
  <conditionalFormatting sqref="F13">
    <cfRule type="cellIs" dxfId="817" priority="34" stopIfTrue="1" operator="lessThan">
      <formula>$B$2</formula>
    </cfRule>
  </conditionalFormatting>
  <conditionalFormatting sqref="C12">
    <cfRule type="expression" dxfId="816" priority="32">
      <formula>AND($C12-TODAY()&lt;30,TODAY()&lt;$C12)</formula>
    </cfRule>
  </conditionalFormatting>
  <conditionalFormatting sqref="C12">
    <cfRule type="cellIs" dxfId="815" priority="33" stopIfTrue="1" operator="lessThan">
      <formula>$B$2</formula>
    </cfRule>
  </conditionalFormatting>
  <conditionalFormatting sqref="C12">
    <cfRule type="expression" dxfId="814" priority="30">
      <formula>AND($C12-TODAY()&lt;30,TODAY()&lt;$C12)</formula>
    </cfRule>
  </conditionalFormatting>
  <conditionalFormatting sqref="C12">
    <cfRule type="cellIs" dxfId="813" priority="31" stopIfTrue="1" operator="lessThan">
      <formula>$B$2</formula>
    </cfRule>
  </conditionalFormatting>
  <conditionalFormatting sqref="B12">
    <cfRule type="cellIs" dxfId="812" priority="29" stopIfTrue="1" operator="equal">
      <formula>"已过期"</formula>
    </cfRule>
  </conditionalFormatting>
  <conditionalFormatting sqref="E12">
    <cfRule type="cellIs" dxfId="811" priority="28" stopIfTrue="1" operator="equal">
      <formula>"已过期"</formula>
    </cfRule>
  </conditionalFormatting>
  <conditionalFormatting sqref="F12">
    <cfRule type="cellIs" dxfId="810" priority="27" stopIfTrue="1" operator="lessThan">
      <formula>$B$2</formula>
    </cfRule>
  </conditionalFormatting>
  <conditionalFormatting sqref="C22">
    <cfRule type="expression" dxfId="809" priority="25">
      <formula>AND($C22-TODAY()&lt;30,TODAY()&lt;$C22)</formula>
    </cfRule>
  </conditionalFormatting>
  <conditionalFormatting sqref="C22">
    <cfRule type="cellIs" dxfId="808" priority="26" stopIfTrue="1" operator="lessThan">
      <formula>$B$2</formula>
    </cfRule>
  </conditionalFormatting>
  <conditionalFormatting sqref="C22">
    <cfRule type="expression" dxfId="807" priority="23">
      <formula>AND($C22-TODAY()&lt;30,TODAY()&lt;$C22)</formula>
    </cfRule>
  </conditionalFormatting>
  <conditionalFormatting sqref="C22">
    <cfRule type="cellIs" dxfId="806" priority="24" stopIfTrue="1" operator="lessThan">
      <formula>$B$2</formula>
    </cfRule>
  </conditionalFormatting>
  <conditionalFormatting sqref="C16">
    <cfRule type="expression" dxfId="805" priority="21">
      <formula>AND($C16-TODAY()&lt;30,TODAY()&lt;$C16)</formula>
    </cfRule>
  </conditionalFormatting>
  <conditionalFormatting sqref="C16">
    <cfRule type="cellIs" dxfId="804" priority="22" stopIfTrue="1" operator="lessThan">
      <formula>$B$2</formula>
    </cfRule>
  </conditionalFormatting>
  <conditionalFormatting sqref="C16">
    <cfRule type="expression" dxfId="803" priority="19">
      <formula>AND($C16-TODAY()&lt;30,TODAY()&lt;$C16)</formula>
    </cfRule>
  </conditionalFormatting>
  <conditionalFormatting sqref="C16">
    <cfRule type="cellIs" dxfId="802" priority="20" stopIfTrue="1" operator="lessThan">
      <formula>$B$2</formula>
    </cfRule>
  </conditionalFormatting>
  <conditionalFormatting sqref="B16">
    <cfRule type="cellIs" dxfId="801" priority="18" stopIfTrue="1" operator="equal">
      <formula>"已过期"</formula>
    </cfRule>
  </conditionalFormatting>
  <conditionalFormatting sqref="C14:C15">
    <cfRule type="expression" dxfId="800" priority="16">
      <formula>AND($C14-TODAY()&lt;30,TODAY()&lt;$C14)</formula>
    </cfRule>
  </conditionalFormatting>
  <conditionalFormatting sqref="C14:C15">
    <cfRule type="cellIs" dxfId="799" priority="17" stopIfTrue="1" operator="lessThan">
      <formula>$B$2</formula>
    </cfRule>
  </conditionalFormatting>
  <conditionalFormatting sqref="C14">
    <cfRule type="expression" dxfId="798" priority="14">
      <formula>AND($C14-TODAY()&lt;30,TODAY()&lt;$C14)</formula>
    </cfRule>
  </conditionalFormatting>
  <conditionalFormatting sqref="C14">
    <cfRule type="cellIs" dxfId="797" priority="15" stopIfTrue="1" operator="lessThan">
      <formula>$B$2</formula>
    </cfRule>
  </conditionalFormatting>
  <conditionalFormatting sqref="C15">
    <cfRule type="expression" dxfId="796" priority="12">
      <formula>AND($C15-TODAY()&lt;30,TODAY()&lt;$C15)</formula>
    </cfRule>
  </conditionalFormatting>
  <conditionalFormatting sqref="C15">
    <cfRule type="cellIs" dxfId="795" priority="13" stopIfTrue="1" operator="lessThan">
      <formula>$B$2</formula>
    </cfRule>
  </conditionalFormatting>
  <conditionalFormatting sqref="B14">
    <cfRule type="cellIs" dxfId="794" priority="11" stopIfTrue="1" operator="equal">
      <formula>"已过期"</formula>
    </cfRule>
  </conditionalFormatting>
  <conditionalFormatting sqref="B15">
    <cfRule type="cellIs" dxfId="793" priority="10" stopIfTrue="1" operator="equal">
      <formula>"已过期"</formula>
    </cfRule>
  </conditionalFormatting>
  <conditionalFormatting sqref="A15">
    <cfRule type="cellIs" dxfId="792" priority="9" stopIfTrue="1" operator="equal">
      <formula>"已过期"</formula>
    </cfRule>
  </conditionalFormatting>
  <conditionalFormatting sqref="C15">
    <cfRule type="expression" dxfId="791" priority="8">
      <formula>AND($C15-TODAY()&lt;30,TODAY()&lt;$C15)</formula>
    </cfRule>
  </conditionalFormatting>
  <conditionalFormatting sqref="F16">
    <cfRule type="cellIs" dxfId="790" priority="7" stopIfTrue="1" operator="lessThan">
      <formula>$B$2</formula>
    </cfRule>
  </conditionalFormatting>
  <conditionalFormatting sqref="E16 E14">
    <cfRule type="cellIs" dxfId="789" priority="6" stopIfTrue="1" operator="equal">
      <formula>"已过期"</formula>
    </cfRule>
  </conditionalFormatting>
  <conditionalFormatting sqref="E15">
    <cfRule type="cellIs" dxfId="788" priority="5" stopIfTrue="1" operator="equal">
      <formula>"已过期"</formula>
    </cfRule>
  </conditionalFormatting>
  <conditionalFormatting sqref="D15">
    <cfRule type="cellIs" dxfId="787" priority="4" stopIfTrue="1" operator="equal">
      <formula>"已过期"</formula>
    </cfRule>
  </conditionalFormatting>
  <conditionalFormatting sqref="F17">
    <cfRule type="cellIs" dxfId="786" priority="3" stopIfTrue="1" operator="lessThan">
      <formula>$B$2</formula>
    </cfRule>
  </conditionalFormatting>
  <conditionalFormatting sqref="E17">
    <cfRule type="cellIs" dxfId="785" priority="2" stopIfTrue="1" operator="equal">
      <formula>"已过期"</formula>
    </cfRule>
  </conditionalFormatting>
  <conditionalFormatting sqref="F14">
    <cfRule type="cellIs" dxfId="784"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173</vt:i4>
      </vt:variant>
    </vt:vector>
  </HeadingPairs>
  <TitlesOfParts>
    <vt:vector size="22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比较法-高层含地下</vt:lpstr>
      <vt:lpstr>比较法-高层不含</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比较法-高层含阁楼</vt:lpstr>
      <vt:lpstr>比较法-合院</vt:lpstr>
      <vt:lpstr>收益法</vt:lpstr>
      <vt:lpstr>整理面积表</vt:lpstr>
      <vt:lpstr>政策</vt:lpstr>
      <vt:lpstr>工程进度</vt:lpstr>
      <vt:lpstr>土地案例</vt:lpstr>
      <vt:lpstr>高层案例</vt:lpstr>
      <vt:lpstr>合院案例</vt:lpstr>
      <vt:lpstr>车库案例</vt:lpstr>
      <vt:lpstr>预评函面积表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'比较法-高层含地下'!住宅朝向</vt:lpstr>
      <vt:lpstr>'比较法-高层含阁楼'!住宅朝向</vt:lpstr>
      <vt:lpstr>'比较法-合院'!住宅朝向</vt:lpstr>
      <vt:lpstr>住宅朝向</vt:lpstr>
      <vt:lpstr>'比较法-高层含地下'!住宅房型</vt:lpstr>
      <vt:lpstr>'比较法-高层含阁楼'!住宅房型</vt:lpstr>
      <vt:lpstr>'比较法-合院'!住宅房型</vt:lpstr>
      <vt:lpstr>住宅房型</vt:lpstr>
      <vt:lpstr>'比较法-高层含地下'!住宅公共部分装修</vt:lpstr>
      <vt:lpstr>'比较法-高层含阁楼'!住宅公共部分装修</vt:lpstr>
      <vt:lpstr>'比较法-合院'!住宅公共部分装修</vt:lpstr>
      <vt:lpstr>住宅公共部分装修</vt:lpstr>
      <vt:lpstr>'比较法-高层含地下'!住宅基础设施水平</vt:lpstr>
      <vt:lpstr>'比较法-高层含阁楼'!住宅基础设施水平</vt:lpstr>
      <vt:lpstr>'比较法-合院'!住宅基础设施水平</vt:lpstr>
      <vt:lpstr>住宅基础设施水平</vt:lpstr>
      <vt:lpstr>'比较法-高层含地下'!住宅建筑结构</vt:lpstr>
      <vt:lpstr>'比较法-高层含阁楼'!住宅建筑结构</vt:lpstr>
      <vt:lpstr>'比较法-合院'!住宅建筑结构</vt:lpstr>
      <vt:lpstr>住宅建筑结构</vt:lpstr>
      <vt:lpstr>'比较法-高层含地下'!住宅建筑类型</vt:lpstr>
      <vt:lpstr>'比较法-高层含阁楼'!住宅建筑类型</vt:lpstr>
      <vt:lpstr>'比较法-合院'!住宅建筑类型</vt:lpstr>
      <vt:lpstr>住宅建筑类型</vt:lpstr>
      <vt:lpstr>'比较法-高层含地下'!住宅建筑品质</vt:lpstr>
      <vt:lpstr>'比较法-高层含阁楼'!住宅建筑品质</vt:lpstr>
      <vt:lpstr>'比较法-合院'!住宅建筑品质</vt:lpstr>
      <vt:lpstr>住宅建筑品质</vt:lpstr>
      <vt:lpstr>'比较法-高层含地下'!住宅交易情况</vt:lpstr>
      <vt:lpstr>'比较法-高层含阁楼'!住宅交易情况</vt:lpstr>
      <vt:lpstr>'比较法-合院'!住宅交易情况</vt:lpstr>
      <vt:lpstr>住宅交易情况</vt:lpstr>
      <vt:lpstr>'比较法-高层含地下'!住宅楼层</vt:lpstr>
      <vt:lpstr>'比较法-高层含阁楼'!住宅楼层</vt:lpstr>
      <vt:lpstr>'比较法-合院'!住宅楼层</vt:lpstr>
      <vt:lpstr>住宅楼层</vt:lpstr>
      <vt:lpstr>'比较法-高层含地下'!住宅内部装修</vt:lpstr>
      <vt:lpstr>'比较法-高层含阁楼'!住宅内部装修</vt:lpstr>
      <vt:lpstr>'比较法-合院'!住宅内部装修</vt:lpstr>
      <vt:lpstr>住宅内部装修</vt:lpstr>
      <vt:lpstr>'比较法-高层含地下'!住宅物业管理</vt:lpstr>
      <vt:lpstr>'比较法-高层含阁楼'!住宅物业管理</vt:lpstr>
      <vt:lpstr>'比较法-合院'!住宅物业管理</vt:lpstr>
      <vt:lpstr>住宅物业管理</vt:lpstr>
      <vt:lpstr>'比较法-高层含地下'!住宅用途</vt:lpstr>
      <vt:lpstr>'比较法-高层含阁楼'!住宅用途</vt:lpstr>
      <vt:lpstr>'比较法-合院'!住宅用途</vt:lpstr>
      <vt:lpstr>住宅用途</vt:lpstr>
      <vt:lpstr>'比较法-高层含地下'!住宅主力户型面积</vt:lpstr>
      <vt:lpstr>'比较法-高层含阁楼'!住宅主力户型面积</vt:lpstr>
      <vt:lpstr>'比较法-合院'!住宅主力户型面积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2018-12-14T07:26:07Z</cp:lastPrinted>
  <dcterms:created xsi:type="dcterms:W3CDTF">2015-07-13T07:17:23Z</dcterms:created>
  <dcterms:modified xsi:type="dcterms:W3CDTF">2018-12-21T07:04:03Z</dcterms:modified>
</cp:coreProperties>
</file>