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N6" i="1"/>
  <c r="I48" i="34"/>
  <c r="G48" i="34"/>
  <c r="E48" i="34"/>
  <c r="C37" i="34"/>
  <c r="E60" i="34"/>
  <c r="F60" i="34" s="1"/>
  <c r="G60" i="34" s="1"/>
  <c r="H60" i="34" s="1"/>
  <c r="I60" i="34" s="1"/>
  <c r="J60" i="34" s="1"/>
  <c r="K60" i="34" s="1"/>
  <c r="L60" i="34" s="1"/>
  <c r="M60" i="34" s="1"/>
  <c r="N60" i="34" s="1"/>
  <c r="O60" i="34" s="1"/>
  <c r="D60" i="34"/>
  <c r="Y6" i="1" l="1"/>
  <c r="N19"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P67" i="71"/>
  <c r="E66" i="71"/>
  <c r="C52" i="71"/>
  <c r="T52" i="71" s="1"/>
  <c r="D51" i="71"/>
  <c r="C40" i="71"/>
  <c r="T40" i="71" s="1"/>
  <c r="D39" i="71"/>
  <c r="C32" i="71"/>
  <c r="T32" i="71" s="1"/>
  <c r="D31" i="71"/>
  <c r="C26" i="71"/>
  <c r="D26" i="71" s="1"/>
  <c r="D27" i="71"/>
  <c r="V28" i="71"/>
  <c r="P65" i="71"/>
  <c r="P66" i="71"/>
  <c r="O66" i="71"/>
  <c r="D66" i="71"/>
  <c r="O65" i="71"/>
  <c r="D32" i="71"/>
  <c r="D40" i="71"/>
  <c r="D52"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F84" i="34"/>
  <c r="G84" i="34"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W35" i="34" s="1"/>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C20" i="71"/>
  <c r="C19" i="71" s="1"/>
  <c r="C18" i="71" s="1"/>
  <c r="C17" i="71" s="1"/>
  <c r="D21" i="71"/>
  <c r="D18" i="71"/>
  <c r="D19" i="71"/>
  <c r="L47" i="67"/>
  <c r="M9" i="15"/>
  <c r="F16" i="67"/>
  <c r="F42" i="15"/>
  <c r="F37" i="15"/>
  <c r="D5" i="73"/>
  <c r="M29" i="15"/>
  <c r="F7" i="67"/>
  <c r="F26" i="67"/>
  <c r="F13" i="15"/>
  <c r="L48" i="67"/>
  <c r="J15" i="67"/>
  <c r="D35" i="9"/>
  <c r="M22" i="15"/>
  <c r="B11" i="76"/>
  <c r="F8" i="15"/>
  <c r="F42" i="67"/>
  <c r="E2" i="69"/>
  <c r="M26" i="15"/>
  <c r="E2" i="68"/>
  <c r="L47" i="15"/>
  <c r="F38" i="15"/>
  <c r="B8" i="76"/>
  <c r="F8" i="67"/>
  <c r="M23" i="67"/>
  <c r="F9" i="67"/>
  <c r="F6" i="67"/>
  <c r="M29" i="67"/>
  <c r="M24" i="67"/>
  <c r="F6" i="73"/>
  <c r="M9" i="67"/>
  <c r="D4" i="73"/>
  <c r="F9" i="15"/>
  <c r="F5" i="73"/>
  <c r="F4" i="73"/>
  <c r="F20" i="31"/>
  <c r="J15" i="15"/>
  <c r="E9" i="76"/>
  <c r="B13" i="76"/>
  <c r="F16" i="15"/>
  <c r="M28" i="15"/>
  <c r="D6" i="73"/>
  <c r="E11" i="76"/>
  <c r="L48" i="15"/>
  <c r="F43" i="67"/>
  <c r="F3" i="73"/>
  <c r="D3" i="73"/>
  <c r="M6" i="15"/>
  <c r="F7" i="15"/>
  <c r="D7" i="73"/>
  <c r="F26" i="15"/>
  <c r="M6" i="67"/>
  <c r="M26" i="67"/>
  <c r="F40" i="67"/>
  <c r="F7" i="73"/>
  <c r="C76" i="15"/>
  <c r="E7" i="76"/>
  <c r="E12" i="76"/>
  <c r="E10" i="76"/>
  <c r="M8" i="67"/>
  <c r="AO13" i="1"/>
  <c r="F6" i="15"/>
  <c r="B12" i="76"/>
  <c r="B7" i="76"/>
  <c r="M28" i="67"/>
  <c r="F37" i="67"/>
  <c r="F38" i="67"/>
  <c r="F36" i="15"/>
  <c r="E8" i="76"/>
  <c r="E13" i="76"/>
  <c r="M23" i="15"/>
  <c r="F43" i="15"/>
  <c r="D34" i="9"/>
  <c r="F36" i="67"/>
  <c r="B9" i="76"/>
  <c r="M24" i="15"/>
  <c r="F13" i="67"/>
  <c r="F40" i="15"/>
  <c r="B10" i="76"/>
  <c r="C76" i="67"/>
  <c r="M8" i="15"/>
  <c r="M22" i="67"/>
  <c r="S27" i="34" l="1"/>
  <c r="S44" i="34"/>
  <c r="U44" i="34"/>
  <c r="AC36" i="34"/>
  <c r="S35" i="34"/>
  <c r="W19" i="34"/>
  <c r="S21" i="34"/>
  <c r="AC17" i="34"/>
  <c r="U15" i="34"/>
  <c r="W8" i="34"/>
  <c r="C21" i="68"/>
  <c r="C40" i="69"/>
  <c r="D17" i="71"/>
  <c r="C16" i="71"/>
  <c r="E15" i="71"/>
  <c r="E14" i="71" s="1"/>
  <c r="E13" i="71" s="1"/>
  <c r="E12" i="71" s="1"/>
  <c r="V16" i="71"/>
  <c r="U13" i="21"/>
  <c r="AB13" i="21"/>
  <c r="AC29" i="21"/>
  <c r="W29" i="21"/>
  <c r="D20" i="71"/>
  <c r="U20" i="71" s="1"/>
  <c r="T20" i="71"/>
  <c r="V20" i="71"/>
  <c r="AZ557" i="3"/>
  <c r="S12" i="21"/>
  <c r="AA12" i="21"/>
  <c r="AB15" i="21"/>
  <c r="W17" i="21"/>
  <c r="AC15" i="21"/>
  <c r="S20" i="35"/>
  <c r="U12" i="39"/>
  <c r="AA27" i="40"/>
  <c r="AB27" i="40"/>
  <c r="G28" i="6"/>
  <c r="F29" i="6"/>
  <c r="U43" i="33"/>
  <c r="AA41" i="34"/>
  <c r="U46" i="33"/>
  <c r="AA13" i="35"/>
  <c r="B73" i="43"/>
  <c r="B79" i="43"/>
  <c r="B76" i="43"/>
  <c r="B75" i="43"/>
  <c r="J9" i="34"/>
  <c r="F9" i="34"/>
  <c r="AA9" i="34" s="1"/>
  <c r="J12" i="34"/>
  <c r="F12" i="34"/>
  <c r="J34" i="35"/>
  <c r="H34" i="35"/>
  <c r="F34" i="35"/>
  <c r="J23" i="36"/>
  <c r="H23" i="36"/>
  <c r="F23" i="36"/>
  <c r="AZ398" i="3"/>
  <c r="AZ405" i="3"/>
  <c r="AZ410" i="3"/>
  <c r="AZ415" i="3"/>
  <c r="AZ420" i="3"/>
  <c r="AZ426" i="3"/>
  <c r="AZ431" i="3"/>
  <c r="AZ448" i="3"/>
  <c r="AZ452" i="3"/>
  <c r="AZ485" i="3"/>
  <c r="BL5" i="3"/>
  <c r="G5" i="3"/>
  <c r="B3" i="3" s="1"/>
  <c r="E253" i="3" s="1"/>
  <c r="H36" i="35"/>
  <c r="J36" i="35"/>
  <c r="AZ429" i="3"/>
  <c r="AZ439" i="3"/>
  <c r="AZ456" i="3"/>
  <c r="AZ466" i="3"/>
  <c r="AZ472" i="3"/>
  <c r="AZ475" i="3"/>
  <c r="AZ483" i="3"/>
  <c r="AZ489" i="3"/>
  <c r="AZ216" i="3"/>
  <c r="AZ221" i="3"/>
  <c r="AZ226" i="3"/>
  <c r="AZ230" i="3"/>
  <c r="AZ242" i="3"/>
  <c r="AZ246" i="3"/>
  <c r="AZ258" i="3"/>
  <c r="AZ270" i="3"/>
  <c r="AZ274" i="3"/>
  <c r="AZ277" i="3"/>
  <c r="AZ298" i="3"/>
  <c r="AZ301" i="3"/>
  <c r="AZ122" i="3"/>
  <c r="AZ125" i="3"/>
  <c r="AZ22" i="3"/>
  <c r="AZ36" i="3"/>
  <c r="AZ46" i="3"/>
  <c r="AZ57" i="3"/>
  <c r="AZ62" i="3"/>
  <c r="AZ65" i="3"/>
  <c r="AZ76" i="3"/>
  <c r="AZ81" i="3"/>
  <c r="AZ90" i="3"/>
  <c r="AZ96" i="3"/>
  <c r="AZ99" i="3"/>
  <c r="AZ106" i="3"/>
  <c r="AZ112" i="3"/>
  <c r="AB21" i="21"/>
  <c r="AC21" i="34"/>
  <c r="D42" i="71"/>
  <c r="C43" i="71"/>
  <c r="C47" i="71"/>
  <c r="D47" i="71" s="1"/>
  <c r="D46" i="71"/>
  <c r="C36" i="71"/>
  <c r="D35" i="71"/>
  <c r="C55" i="71"/>
  <c r="D54" i="71"/>
  <c r="AB29" i="71"/>
  <c r="X9" i="71"/>
  <c r="AB9" i="71"/>
  <c r="V68" i="71"/>
  <c r="F67" i="71"/>
  <c r="AA24" i="71"/>
  <c r="X21" i="71"/>
  <c r="AA22" i="71"/>
  <c r="AA21" i="71"/>
  <c r="Y18" i="71"/>
  <c r="Z18" i="71" s="1"/>
  <c r="AB18" i="71"/>
  <c r="X14" i="71"/>
  <c r="AA13" i="71"/>
  <c r="X17" i="71"/>
  <c r="AA17" i="71"/>
  <c r="U18" i="36"/>
  <c r="Y9" i="71"/>
  <c r="Z9" i="71" s="1"/>
  <c r="Y10" i="71"/>
  <c r="Z10" i="71" s="1"/>
  <c r="AA9" i="71"/>
  <c r="AB24" i="71"/>
  <c r="Y21" i="71"/>
  <c r="Z21" i="71" s="1"/>
  <c r="AB21" i="71"/>
  <c r="X18" i="71"/>
  <c r="AA18" i="71"/>
  <c r="Y14" i="71"/>
  <c r="Z14" i="71" s="1"/>
  <c r="Y17" i="71"/>
  <c r="Z17" i="71" s="1"/>
  <c r="AB17" i="71"/>
  <c r="X24" i="71"/>
  <c r="Y24" i="71"/>
  <c r="Z24" i="71" s="1"/>
  <c r="AB15" i="71"/>
  <c r="AA11" i="71"/>
  <c r="X10" i="71"/>
  <c r="X13" i="71"/>
  <c r="AB13" i="71"/>
  <c r="AB10" i="71"/>
  <c r="Y11" i="71"/>
  <c r="Z11" i="71" s="1"/>
  <c r="Y13" i="71"/>
  <c r="Z13" i="71" s="1"/>
  <c r="Y23" i="71"/>
  <c r="Z23" i="71" s="1"/>
  <c r="Y22" i="71"/>
  <c r="Z22" i="71" s="1"/>
  <c r="AA23" i="71"/>
  <c r="AB23" i="71"/>
  <c r="X22" i="71"/>
  <c r="X15" i="71"/>
  <c r="AA15" i="71"/>
  <c r="AA10" i="71"/>
  <c r="AA12" i="71"/>
  <c r="AA14" i="71"/>
  <c r="X11" i="71"/>
  <c r="X12" i="71"/>
  <c r="AB12" i="71"/>
  <c r="AB11"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S9" i="34" l="1"/>
  <c r="E529" i="3"/>
  <c r="E573" i="3"/>
  <c r="E532" i="3"/>
  <c r="E519" i="3"/>
  <c r="E313" i="3"/>
  <c r="E193" i="3"/>
  <c r="E224" i="3"/>
  <c r="E45" i="3"/>
  <c r="E157" i="3"/>
  <c r="E99" i="3"/>
  <c r="E306" i="3"/>
  <c r="E511" i="3"/>
  <c r="E352" i="3"/>
  <c r="E314" i="3"/>
  <c r="E136" i="3"/>
  <c r="E85" i="3"/>
  <c r="E461" i="3"/>
  <c r="E453" i="3"/>
  <c r="E122" i="3"/>
  <c r="C44" i="71"/>
  <c r="D43" i="71"/>
  <c r="U36" i="35"/>
  <c r="AB36" i="35"/>
  <c r="AB23" i="36"/>
  <c r="U23" i="36"/>
  <c r="AA34" i="35"/>
  <c r="S34" i="35"/>
  <c r="AC34" i="35"/>
  <c r="W34" i="35"/>
  <c r="W12" i="34"/>
  <c r="AC12" i="34"/>
  <c r="AC9" i="34"/>
  <c r="W9" i="34"/>
  <c r="C15" i="71"/>
  <c r="T16" i="71"/>
  <c r="B15" i="71"/>
  <c r="B14" i="71" s="1"/>
  <c r="B13" i="71" s="1"/>
  <c r="B12" i="71" s="1"/>
  <c r="S16" i="71"/>
  <c r="F66" i="71"/>
  <c r="Q67" i="71"/>
  <c r="C56" i="71"/>
  <c r="D55" i="71"/>
  <c r="D36" i="71"/>
  <c r="T36" i="71"/>
  <c r="AC36" i="35"/>
  <c r="W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80" i="3"/>
  <c r="E62" i="3"/>
  <c r="E113" i="3"/>
  <c r="E176" i="3"/>
  <c r="E158" i="3"/>
  <c r="E218" i="3"/>
  <c r="E287" i="3"/>
  <c r="E265" i="3"/>
  <c r="E308" i="3"/>
  <c r="E365" i="3"/>
  <c r="E326" i="3"/>
  <c r="E524" i="3"/>
  <c r="E22" i="3"/>
  <c r="E101" i="3"/>
  <c r="E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63" i="3"/>
  <c r="E19" i="3"/>
  <c r="E81" i="3"/>
  <c r="E154" i="3"/>
  <c r="E118" i="3"/>
  <c r="E179" i="3"/>
  <c r="E264" i="3"/>
  <c r="E222" i="3"/>
  <c r="E283" i="3"/>
  <c r="E323" i="3"/>
  <c r="E309" i="3"/>
  <c r="E373" i="3"/>
  <c r="E513" i="3"/>
  <c r="E82" i="3"/>
  <c r="E21" i="3"/>
  <c r="AA23" i="36"/>
  <c r="S23" i="36"/>
  <c r="AC23" i="36"/>
  <c r="W23" i="36"/>
  <c r="U34" i="35"/>
  <c r="AB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D56" i="71"/>
  <c r="T56" i="71"/>
  <c r="Q66" i="71"/>
  <c r="Q65" i="71"/>
  <c r="B11" i="71"/>
  <c r="B10" i="71" s="1"/>
  <c r="B9" i="71" s="1"/>
  <c r="B8" i="71" s="1"/>
  <c r="B7" i="71" s="1"/>
  <c r="B6" i="71" s="1"/>
  <c r="B5" i="71" s="1"/>
  <c r="S12" i="71"/>
  <c r="D15" i="71"/>
  <c r="C14" i="71"/>
  <c r="D44" i="71"/>
  <c r="T44"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4" i="71" l="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D37" i="69"/>
  <c r="C37" i="69" s="1"/>
  <c r="C33" i="69" s="1"/>
  <c r="I5" i="6"/>
  <c r="I6" i="6"/>
  <c r="C23" i="69"/>
  <c r="E2" i="76"/>
  <c r="B2" i="76"/>
  <c r="I69" i="39"/>
  <c r="J67" i="39"/>
  <c r="I63" i="40"/>
  <c r="H65" i="40"/>
  <c r="I58" i="21"/>
  <c r="J58" i="21" s="1"/>
  <c r="K58" i="21" s="1"/>
  <c r="L58" i="21" s="1"/>
  <c r="M58" i="21" s="1"/>
  <c r="N58" i="21" s="1"/>
  <c r="O58" i="21" s="1"/>
  <c r="H7" i="21" s="1"/>
  <c r="J7" i="21"/>
  <c r="F7" i="21"/>
  <c r="J48" i="35"/>
  <c r="C24" i="69" l="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5" i="68" s="1"/>
  <c r="C18" i="12"/>
  <c r="C21"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22" i="12" l="1"/>
  <c r="C30" i="12" s="1"/>
  <c r="C28" i="12" s="1"/>
  <c r="C23" i="68"/>
  <c r="C20"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31" i="68" l="1"/>
  <c r="C52" i="68" s="1"/>
  <c r="B2" i="68" s="1"/>
  <c r="B3" i="68" s="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7" i="68" l="1"/>
  <c r="C56" i="68"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5"/>
  <c r="D2" i="36"/>
  <c r="D2" i="34"/>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9" i="1"/>
  <c r="AO7" i="1"/>
  <c r="AO11" i="1"/>
  <c r="AO12" i="1"/>
  <c r="AO8" i="1"/>
  <c r="AO10" i="1"/>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G14" i="74" s="1"/>
  <c r="B6" i="74" s="1"/>
  <c r="D6" i="74" s="1"/>
  <c r="D119" i="9"/>
  <c r="D5" i="52" s="1"/>
  <c r="B49" i="72" s="1"/>
  <c r="F4" i="52"/>
  <c r="B51" i="72" s="1"/>
  <c r="H4" i="52"/>
  <c r="H101" i="9"/>
  <c r="I118" i="9"/>
  <c r="H119" i="9"/>
  <c r="H5" i="52" s="1"/>
  <c r="G118" i="9"/>
  <c r="G4" i="52" s="1"/>
  <c r="B52" i="72" s="1"/>
  <c r="B5" i="74" l="1"/>
  <c r="D5" i="74" s="1"/>
  <c r="F14" i="74"/>
  <c r="E14" i="74"/>
  <c r="M48" i="9"/>
  <c r="H107" i="9"/>
  <c r="D45" i="9"/>
  <c r="D5" i="53"/>
  <c r="C105" i="9"/>
  <c r="H102" i="9"/>
  <c r="I4" i="52"/>
  <c r="E118" i="9"/>
  <c r="E4" i="52" s="1"/>
  <c r="B48" i="72" s="1"/>
  <c r="C93" i="9" l="1"/>
  <c r="C86" i="9" s="1"/>
  <c r="C64" i="9"/>
  <c r="C63" i="9" s="1"/>
  <c r="C67" i="9" s="1"/>
  <c r="C72" i="9"/>
  <c r="C79" i="9" s="1"/>
  <c r="D53" i="9"/>
  <c r="D52" i="9"/>
  <c r="C78" i="9"/>
  <c r="C73" i="9" s="1"/>
  <c r="D55" i="9"/>
  <c r="M53" i="9" s="1"/>
  <c r="C85" i="9"/>
  <c r="C5" i="74"/>
  <c r="D7" i="53"/>
  <c r="B21" i="72" s="1"/>
  <c r="D6" i="53"/>
  <c r="B22" i="72" s="1"/>
  <c r="B20" i="72"/>
  <c r="D122" i="9"/>
  <c r="M49" i="9"/>
  <c r="H108" i="9"/>
  <c r="D13" i="53"/>
  <c r="C6" i="74" l="1"/>
  <c r="D15" i="53"/>
  <c r="B31" i="72" s="1"/>
  <c r="D8" i="52"/>
  <c r="D123" i="9"/>
  <c r="D9" i="52" s="1"/>
  <c r="C80" i="9"/>
  <c r="E80" i="9" s="1"/>
  <c r="E81" i="9" s="1"/>
  <c r="D14" i="53"/>
  <c r="B32" i="72" s="1"/>
  <c r="B30" i="72"/>
  <c r="L67" i="9"/>
  <c r="M67" i="9" s="1"/>
  <c r="L68" i="9"/>
  <c r="M68" i="9" s="1"/>
  <c r="L65" i="9"/>
  <c r="M65" i="9" s="1"/>
  <c r="L66" i="9"/>
  <c r="M66" i="9" s="1"/>
  <c r="L64" i="9"/>
  <c r="M64" i="9" s="1"/>
  <c r="L63" i="9"/>
  <c r="M63" i="9" s="1"/>
  <c r="C95" i="9"/>
  <c r="D59" i="9"/>
  <c r="M55" i="9" s="1"/>
  <c r="C68" i="9"/>
  <c r="D54" i="9" s="1"/>
  <c r="C81" i="9" l="1"/>
  <c r="C96" i="9"/>
  <c r="E96" i="9" s="1"/>
  <c r="E97" i="9" s="1"/>
  <c r="M69" i="9"/>
  <c r="N69" i="9" s="1"/>
  <c r="C97" i="9" l="1"/>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<sst xmlns="http://schemas.openxmlformats.org/spreadsheetml/2006/main" count="7841" uniqueCount="3415">
  <si>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</si>
  <si>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</si>
  <si>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</si>
  <si>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</si>
  <si>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</si>
  <si>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</si>
  <si>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</si>
  <si>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</si>
  <si>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</si>
  <si>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</si>
  <si>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</si>
  <si>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</si>
  <si>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</si>
  <si>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</si>
  <si>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</si>
  <si>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</si>
  <si>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</si>
  <si>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</si>
  <si>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</si>
  <si>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</si>
  <si>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</si>
  <si>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</si>
  <si>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</si>
  <si>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</si>
  <si>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</si>
  <si>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</si>
  <si>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</si>
  <si>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</si>
  <si>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</si>
  <si>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</si>
  <si>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</si>
  <si>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</si>
  <si>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</si>
  <si>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</si>
  <si>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</si>
  <si>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</si>
  <si>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</si>
  <si>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</si>
  <si>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</si>
  <si>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</si>
  <si>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</si>
  <si>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</si>
  <si>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</si>
  <si>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</si>
  <si>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</si>
  <si>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</si>
  <si>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</si>
  <si>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</si>
  <si>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</si>
  <si>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</si>
  <si>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</si>
  <si>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</si>
  <si>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</si>
  <si>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</si>
  <si>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</si>
  <si>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</si>
  <si>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</si>
  <si>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</si>
  <si>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</si>
  <si>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</si>
  <si>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</si>
  <si>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</si>
  <si>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</si>
  <si>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</si>
  <si>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</si>
  <si>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</si>
  <si>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</si>
  <si>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</si>
  <si>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</si>
  <si>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</si>
  <si>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</si>
  <si>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</si>
  <si>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</si>
  <si>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</si>
  <si>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</si>
  <si>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</si>
  <si>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</si>
  <si>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</si>
  <si>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</si>
  <si>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</si>
  <si>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</si>
  <si>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</si>
  <si>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</si>
  <si>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</si>
  <si>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</si>
  <si>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</si>
  <si>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</si>
  <si>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</si>
  <si>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</si>
  <si>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</si>
  <si>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</si>
  <si>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</si>
  <si>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</si>
  <si>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</si>
  <si>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</si>
  <si>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</si>
  <si>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</si>
  <si>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</si>
  <si>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</si>
  <si>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</si>
  <si>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</si>
  <si>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</si>
  <si>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</si>
  <si>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</si>
  <si>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</si>
  <si>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</si>
  <si>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</si>
  <si>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</si>
  <si>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</si>
  <si>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</si>
  <si>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</si>
  <si>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</si>
  <si>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</si>
  <si>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</si>
  <si>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</si>
  <si>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</si>
  <si>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</si>
  <si>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</si>
  <si>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</si>
  <si>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</si>
  <si>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</si>
  <si>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</si>
  <si>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</si>
  <si>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</si>
  <si>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</si>
  <si>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</si>
  <si>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</si>
  <si>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</si>
  <si>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</si>
  <si>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</si>
  <si>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</si>
  <si>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</si>
  <si>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</si>
  <si>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</si>
  <si>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</si>
  <si>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</si>
  <si>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</si>
  <si>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</si>
  <si>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</si>
  <si>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</si>
  <si>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</si>
  <si>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</si>
  <si>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</si>
  <si>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</si>
  <si>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</si>
  <si>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</si>
  <si>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</si>
  <si>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</si>
  <si>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</si>
  <si>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</si>
  <si>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</si>
  <si>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</si>
  <si>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</si>
  <si>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</si>
  <si>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</si>
  <si>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</si>
  <si>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</si>
  <si>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</si>
  <si>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</si>
  <si>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</si>
  <si>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</si>
  <si>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</si>
  <si>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</si>
  <si>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</si>
  <si>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</si>
  <si>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</si>
  <si>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</si>
  <si>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</si>
  <si>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</si>
  <si>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</si>
  <si>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</si>
  <si>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</si>
  <si>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</si>
  <si>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</si>
  <si>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</si>
  <si>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</si>
  <si>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</si>
  <si>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</si>
  <si>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</si>
  <si>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</si>
  <si>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</si>
  <si>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</si>
  <si>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</si>
  <si>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</si>
  <si>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</si>
  <si>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</si>
  <si>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</si>
  <si>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</si>
  <si>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</si>
  <si>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</si>
  <si>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</si>
  <si>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</si>
  <si>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</si>
  <si>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</si>
  <si>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</si>
  <si>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</si>
  <si>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</si>
  <si>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</si>
  <si>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</si>
  <si>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</si>
  <si>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</si>
  <si>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</si>
  <si>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</si>
  <si>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</si>
  <si>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</si>
  <si>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</si>
  <si>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</si>
  <si>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</si>
  <si>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</si>
  <si>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</si>
  <si>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</si>
  <si>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</si>
  <si>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</si>
  <si>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</si>
  <si>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</si>
  <si>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</si>
  <si>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</si>
  <si>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</si>
  <si>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</si>
  <si>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</si>
  <si>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</si>
  <si>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</si>
  <si>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</si>
  <si>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</si>
  <si>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</si>
  <si>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</si>
  <si>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</si>
  <si>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</si>
  <si>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</si>
  <si>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</si>
  <si>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</si>
  <si>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</si>
  <si>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</si>
  <si>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</si>
  <si>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</si>
  <si>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</si>
  <si>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</si>
  <si>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</si>
  <si>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</si>
  <si>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</si>
  <si>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</si>
  <si>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</si>
  <si>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</si>
  <si>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</si>
  <si>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</si>
  <si>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</si>
  <si>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</si>
  <si>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</si>
  <si>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</si>
  <si>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</si>
  <si>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</si>
  <si>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</si>
  <si>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</si>
  <si>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</si>
  <si>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</si>
  <si>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</si>
  <si>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</si>
  <si>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</si>
  <si>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</si>
  <si>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</si>
  <si>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</si>
  <si>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</si>
  <si>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</si>
  <si>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</si>
  <si>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</si>
  <si>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</si>
  <si>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</si>
  <si>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</si>
  <si>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</si>
  <si>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</si>
  <si>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</si>
  <si>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</si>
  <si>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</si>
  <si>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</si>
  <si>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</si>
  <si>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</si>
  <si>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</si>
  <si>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</si>
  <si>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</si>
  <si>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</si>
  <si>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</si>
  <si>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</si>
  <si>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</si>
  <si>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</si>
  <si>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</si>
  <si>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</si>
  <si>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</si>
  <si>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</si>
  <si>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</si>
  <si>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</si>
  <si>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</si>
  <si>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</si>
  <si>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</si>
  <si>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</si>
  <si>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</si>
  <si>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</si>
  <si>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</si>
  <si>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</si>
  <si>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</si>
  <si>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</si>
  <si>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</si>
  <si>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</si>
  <si>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</si>
  <si>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</si>
  <si>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</si>
  <si>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</si>
  <si>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</si>
  <si>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</si>
  <si>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</si>
  <si>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</si>
  <si>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</si>
  <si>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</si>
  <si>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</si>
  <si>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</si>
  <si>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</si>
  <si>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</si>
  <si>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</si>
  <si>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</si>
  <si>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</si>
  <si>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</si>
  <si>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</si>
  <si>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</si>
  <si>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</si>
  <si>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</si>
  <si>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</si>
  <si>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</si>
  <si>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</si>
  <si>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</si>
  <si>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</si>
  <si>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</si>
  <si>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</si>
  <si>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</si>
  <si>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</si>
  <si>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</si>
  <si>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</si>
  <si>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</si>
  <si>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</si>
  <si>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</si>
  <si>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</si>
  <si>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</si>
  <si>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</si>
  <si>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</si>
  <si>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</si>
  <si>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</si>
  <si>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</si>
  <si>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</si>
  <si>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</si>
  <si>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</si>
  <si>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</si>
  <si>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</si>
  <si>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</si>
  <si>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</si>
  <si>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</si>
  <si>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</si>
  <si>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</si>
  <si>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</si>
  <si>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</si>
  <si>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</si>
  <si>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</si>
  <si>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</si>
  <si>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</si>
  <si>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</si>
  <si>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</si>
  <si>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</si>
  <si>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</si>
  <si>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</si>
  <si>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</si>
  <si>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</si>
  <si>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</si>
  <si>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</si>
  <si>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</si>
  <si>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</si>
  <si>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</si>
  <si>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</si>
  <si>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</si>
  <si>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</si>
  <si>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</si>
  <si>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</si>
  <si>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</si>
  <si>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</si>
  <si>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</si>
  <si>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</si>
  <si>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</si>
  <si>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</si>
  <si>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</si>
  <si>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</si>
  <si>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</si>
  <si>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</si>
  <si>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</si>
  <si>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</si>
  <si>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</si>
  <si>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</si>
  <si>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</si>
  <si>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</si>
  <si>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</si>
  <si>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</si>
  <si>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</si>
  <si>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</si>
  <si>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</si>
  <si>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</si>
  <si>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</si>
  <si>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</si>
  <si>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</si>
  <si>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</si>
  <si>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</si>
  <si>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</si>
  <si>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</si>
  <si>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</si>
  <si>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</si>
  <si>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</si>
  <si>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</si>
  <si>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</si>
  <si>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</si>
  <si>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</si>
  <si>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</si>
  <si>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</si>
  <si>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</si>
  <si>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</si>
  <si>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</si>
  <si>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</si>
  <si>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</si>
  <si>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</si>
  <si>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</si>
  <si>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</si>
  <si>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</si>
  <si>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</si>
  <si>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</si>
  <si>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</si>
  <si>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</si>
  <si>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</si>
  <si>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</si>
  <si>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</si>
  <si>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</si>
  <si>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</si>
  <si>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</si>
  <si>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</si>
  <si>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</si>
  <si>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</si>
  <si>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</si>
  <si>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</si>
  <si>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</si>
  <si>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</si>
  <si>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</si>
  <si>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</si>
  <si>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</si>
  <si>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</si>
  <si>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</si>
  <si>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</si>
  <si>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</si>
  <si>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</si>
  <si>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</si>
  <si>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</si>
  <si>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</si>
  <si>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</si>
  <si>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</si>
  <si>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</si>
  <si>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</si>
  <si>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</si>
  <si>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</si>
  <si>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</si>
  <si>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</si>
  <si>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</si>
  <si>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</si>
  <si>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</si>
  <si>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</si>
  <si>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</si>
  <si>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</si>
  <si>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</si>
  <si>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</si>
  <si>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</si>
  <si>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</si>
  <si>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</si>
  <si>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</si>
  <si>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</si>
  <si>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</si>
  <si>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</si>
  <si>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</si>
  <si>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</si>
  <si>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</si>
  <si>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</si>
  <si>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</si>
  <si>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</si>
  <si>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</si>
  <si>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</si>
  <si>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</si>
  <si>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</si>
  <si>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</si>
  <si>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</si>
  <si>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</si>
  <si>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</si>
  <si>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</si>
  <si>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</si>
  <si>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</si>
  <si>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</si>
  <si>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</si>
  <si>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</si>
  <si>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</si>
  <si>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</si>
  <si>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</si>
  <si>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</si>
  <si>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</si>
  <si>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</si>
  <si>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</si>
  <si>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</si>
  <si>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</si>
  <si>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</si>
  <si>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</si>
  <si>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</si>
  <si>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</si>
  <si>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</si>
  <si>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</si>
  <si>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</si>
  <si>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</si>
  <si>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</si>
  <si>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</si>
  <si>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</si>
  <si>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</si>
  <si>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</si>
  <si>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</si>
  <si>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</si>
  <si>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</si>
  <si>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</si>
  <si>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</si>
  <si>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</si>
  <si>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</si>
  <si>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</si>
  <si>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</si>
  <si>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</si>
  <si>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</si>
  <si>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</si>
  <si>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</si>
  <si>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</si>
  <si>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</si>
  <si>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</si>
  <si>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</si>
  <si>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</si>
  <si>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</si>
  <si>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</si>
  <si>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</si>
  <si>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</si>
  <si>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</si>
  <si>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</si>
  <si>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</si>
  <si>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</si>
  <si>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</si>
  <si>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</si>
  <si>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</si>
  <si>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</si>
  <si>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</si>
  <si>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</si>
  <si>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</si>
  <si>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</si>
  <si>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</si>
  <si>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</si>
  <si>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</si>
  <si>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</si>
  <si>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</si>
  <si>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</si>
  <si>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</si>
  <si>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</si>
  <si>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</si>
  <si>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</si>
  <si>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</si>
  <si>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</si>
  <si>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</si>
  <si>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</si>
  <si>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</si>
  <si>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</si>
  <si>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</si>
  <si>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</si>
  <si>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</si>
  <si>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</si>
  <si>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</si>
  <si>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</si>
  <si>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</si>
  <si>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</si>
  <si>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</si>
  <si>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</si>
  <si>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</si>
  <si>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</si>
  <si>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</si>
  <si>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</si>
  <si>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</si>
  <si>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</si>
  <si>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</si>
  <si>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</si>
  <si>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</si>
  <si>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</si>
  <si>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</si>
  <si>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</si>
  <si>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</si>
  <si>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</si>
  <si>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</si>
  <si>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</si>
  <si>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</si>
  <si>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</si>
  <si>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</si>
  <si>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</si>
  <si>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</si>
  <si>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</si>
  <si>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</si>
  <si>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</si>
  <si>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</si>
  <si>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</si>
  <si>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</si>
  <si>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</si>
  <si>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</si>
  <si>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</si>
  <si>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</si>
  <si>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</si>
  <si>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</si>
  <si>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</si>
  <si>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</si>
  <si>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</si>
  <si>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</si>
  <si>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</si>
  <si>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</si>
  <si>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</si>
  <si>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</si>
  <si>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</si>
  <si>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</si>
  <si>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</si>
  <si>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</si>
  <si>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</si>
  <si>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</si>
  <si>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</si>
  <si>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</si>
  <si>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</si>
  <si>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</si>
  <si>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</si>
  <si>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</si>
  <si>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</si>
  <si>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</si>
  <si>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</si>
  <si>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</si>
  <si>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</si>
  <si>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</si>
  <si>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</si>
  <si>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</si>
  <si>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</si>
  <si>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</si>
  <si>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</si>
  <si>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</si>
  <si>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</si>
  <si>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</si>
  <si>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</si>
  <si>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</si>
  <si>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</si>
  <si>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</si>
  <si>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</si>
  <si>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</si>
  <si>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</si>
  <si>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</si>
  <si>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</si>
  <si>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</si>
  <si>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</si>
  <si>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</si>
  <si>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</si>
  <si>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</si>
  <si>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</si>
  <si>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</si>
  <si>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</si>
  <si>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</si>
  <si>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</si>
  <si>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</si>
  <si>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</si>
  <si>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</si>
  <si>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</si>
  <si>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</si>
  <si>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</si>
  <si>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</si>
  <si>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</si>
  <si>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</si>
  <si>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</si>
  <si>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</si>
  <si>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</si>
  <si>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</si>
  <si>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</si>
  <si>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</si>
  <si>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</si>
  <si>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</si>
  <si>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</si>
  <si>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</si>
  <si>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</si>
  <si>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</si>
  <si>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</si>
  <si>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</si>
  <si>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</si>
  <si>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</si>
  <si>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</si>
  <si>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</si>
  <si>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</si>
  <si>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</si>
  <si>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</si>
  <si>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</si>
  <si>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</si>
  <si>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</si>
  <si>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</si>
  <si>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</si>
  <si>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</si>
  <si>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</si>
  <si>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</si>
  <si>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</si>
  <si>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</si>
  <si>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</si>
  <si>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</si>
  <si>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</si>
  <si>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</si>
  <si>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</si>
  <si>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</si>
  <si>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</si>
  <si>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</si>
  <si>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</si>
  <si>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</si>
  <si>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</si>
  <si>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</si>
  <si>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</si>
  <si>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</si>
  <si>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</si>
  <si>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</si>
  <si>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</si>
  <si>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</si>
  <si>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</si>
  <si>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</si>
  <si>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</si>
  <si>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</si>
  <si>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</si>
  <si>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</si>
  <si>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</si>
  <si>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</si>
  <si>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</si>
  <si>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</si>
  <si>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</si>
  <si>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</si>
  <si>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</si>
  <si>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</si>
  <si>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</si>
  <si>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</si>
  <si>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</si>
  <si>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</si>
  <si>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</si>
  <si>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</si>
  <si>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</si>
  <si>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</si>
  <si>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</si>
  <si>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</si>
  <si>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</si>
  <si>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</si>
  <si>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</si>
  <si>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</si>
  <si>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</si>
  <si>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</si>
  <si>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</si>
  <si>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</si>
  <si>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</si>
  <si>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</si>
  <si>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</si>
  <si>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</si>
  <si>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</si>
  <si>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</si>
  <si>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</si>
  <si>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</si>
  <si>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</si>
  <si>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</si>
  <si>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</si>
  <si>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</si>
  <si>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</si>
  <si>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</si>
  <si>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</si>
  <si>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</si>
  <si>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</si>
  <si>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</si>
  <si>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</si>
  <si>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</si>
  <si>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</si>
  <si>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</si>
  <si>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</si>
  <si>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</si>
  <si>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</si>
  <si>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</si>
  <si>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</si>
  <si>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</si>
  <si>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</si>
  <si>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</si>
  <si>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</si>
  <si>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</si>
  <si>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</si>
  <si>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</si>
  <si>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</si>
  <si>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</si>
  <si>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</si>
  <si>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</si>
  <si>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</si>
  <si>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</si>
  <si>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</si>
  <si>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</si>
  <si>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</si>
  <si>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</si>
  <si>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</si>
  <si>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</si>
  <si>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</si>
  <si>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</si>
  <si>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</si>
  <si>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</si>
  <si>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</si>
  <si>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</si>
  <si>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</si>
  <si>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</si>
  <si>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</si>
  <si>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</si>
  <si>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</si>
  <si>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</si>
  <si>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</si>
  <si>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</si>
  <si>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</si>
  <si>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</si>
  <si>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</si>
  <si>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</si>
  <si>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</si>
  <si>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</si>
  <si>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</si>
  <si>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</si>
  <si>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</si>
  <si>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</si>
  <si>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</si>
  <si>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</si>
  <si>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</si>
  <si>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</si>
  <si>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</si>
  <si>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</si>
  <si>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</si>
  <si>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</si>
  <si>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</si>
  <si>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</si>
  <si>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</si>
  <si>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</si>
  <si>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</si>
  <si>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</si>
  <si>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</si>
  <si>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</si>
  <si>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</si>
  <si>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</si>
  <si>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</si>
  <si>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</si>
  <si>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</si>
  <si>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</si>
  <si>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</si>
  <si>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</si>
  <si>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</si>
  <si>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</si>
  <si>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</si>
  <si>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</si>
  <si>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</si>
  <si>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</si>
  <si>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</si>
  <si>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</si>
  <si>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</si>
  <si>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</si>
  <si>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</si>
  <si>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</si>
  <si>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</si>
  <si>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</si>
  <si>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</si>
  <si>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</si>
  <si>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</si>
  <si>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</si>
  <si>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</si>
  <si>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</si>
  <si>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</si>
  <si>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</si>
  <si>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</si>
  <si>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</si>
  <si>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</si>
  <si>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</si>
  <si>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</si>
  <si>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</si>
  <si>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</si>
  <si>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</si>
  <si>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</si>
  <si>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</si>
  <si>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</si>
  <si>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</si>
  <si>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</si>
  <si>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</si>
  <si>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</si>
  <si>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</si>
  <si>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</si>
  <si>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</si>
  <si>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</si>
  <si>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</si>
  <si>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</si>
  <si>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</si>
  <si>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</si>
  <si>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</si>
  <si>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</si>
  <si>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</si>
  <si>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</si>
  <si>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</si>
  <si>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</si>
  <si>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</si>
  <si>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</si>
  <si>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</si>
  <si>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</si>
  <si>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</si>
  <si>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</si>
  <si>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</si>
  <si>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</si>
  <si>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</si>
  <si>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</si>
  <si>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</si>
  <si>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</si>
  <si>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</si>
  <si>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</si>
  <si>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</si>
  <si>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</si>
  <si>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</si>
  <si>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</si>
  <si>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</si>
  <si>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</si>
  <si>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</si>
  <si>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</si>
  <si>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</si>
  <si>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</si>
  <si>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</si>
  <si>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</si>
  <si>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</si>
  <si>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</si>
  <si>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</si>
  <si>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</si>
  <si>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</si>
  <si>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</si>
  <si>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</si>
  <si>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</si>
  <si>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</si>
  <si>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</si>
  <si>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</si>
  <si>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</si>
  <si>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</si>
  <si>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</si>
  <si>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</si>
  <si>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</si>
  <si>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</si>
  <si>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</si>
  <si>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</si>
  <si>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</si>
  <si>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</si>
  <si>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</si>
  <si>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</si>
  <si>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</si>
  <si>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</si>
  <si>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</si>
  <si>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</si>
  <si>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</si>
  <si>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</si>
  <si>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</si>
  <si>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</si>
  <si>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</si>
  <si>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</si>
  <si>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</si>
  <si>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</si>
  <si>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</si>
  <si>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</si>
  <si>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</si>
  <si>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</si>
  <si>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</si>
  <si>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</si>
  <si>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</si>
  <si>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</si>
  <si>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</si>
  <si>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</si>
  <si>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</si>
  <si>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</si>
  <si>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</si>
  <si>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</si>
  <si>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</si>
  <si>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</si>
  <si>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</si>
  <si>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</si>
  <si>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</si>
  <si>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</si>
  <si>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</si>
  <si>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</si>
  <si>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</si>
  <si>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</si>
  <si>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</si>
  <si>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</si>
  <si>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</si>
  <si>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</si>
  <si>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</si>
  <si>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</si>
  <si>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</si>
  <si>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</si>
  <si>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</si>
  <si>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</si>
  <si>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</si>
  <si>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</si>
  <si>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</si>
  <si>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</si>
  <si>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</si>
  <si>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</si>
  <si>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</si>
  <si>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</si>
  <si>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</si>
  <si>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</si>
  <si>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</si>
  <si>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</si>
  <si>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</si>
  <si>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</si>
  <si>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</si>
  <si>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</si>
  <si>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</si>
  <si>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</si>
  <si>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</si>
  <si>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</si>
  <si>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</si>
  <si>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</si>
  <si>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</si>
  <si>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</si>
  <si>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</si>
  <si>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</si>
  <si>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</si>
  <si>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</si>
  <si>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</si>
  <si>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</si>
  <si>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</si>
  <si>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</si>
  <si>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</si>
  <si>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</si>
  <si>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</si>
  <si>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</si>
  <si>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</si>
  <si>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</si>
  <si>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</si>
  <si>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</si>
  <si>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</si>
  <si>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</si>
  <si>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</si>
  <si>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</si>
  <si>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</si>
  <si>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</si>
  <si>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</si>
  <si>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</si>
  <si>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</si>
  <si>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</si>
  <si>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</si>
  <si>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</si>
  <si>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</si>
  <si>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</si>
  <si>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</si>
  <si>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</si>
  <si>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</si>
  <si>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</si>
  <si>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</si>
  <si>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</si>
  <si>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</si>
  <si>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</si>
  <si>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</si>
  <si>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</si>
  <si>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</si>
  <si>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</si>
  <si>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</si>
  <si>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</si>
  <si>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</si>
  <si>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</si>
  <si>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</si>
  <si>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</si>
  <si>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</si>
  <si>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</si>
  <si>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</si>
  <si>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</si>
  <si>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</si>
  <si>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</si>
  <si>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</si>
  <si>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</si>
  <si>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</si>
  <si>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</si>
  <si>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</si>
  <si>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</si>
  <si>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</si>
  <si>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</si>
  <si>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</si>
  <si>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</si>
  <si>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</si>
  <si>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</si>
  <si>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</si>
  <si>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</si>
  <si>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</si>
  <si>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</si>
  <si>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</si>
  <si>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</si>
  <si>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</si>
  <si>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</si>
  <si>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</si>
  <si>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</si>
  <si>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</si>
  <si>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</si>
  <si>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</si>
  <si>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</si>
  <si>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</si>
  <si>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</si>
  <si>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</si>
  <si>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</si>
  <si>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</si>
  <si>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</si>
  <si>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</si>
  <si>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</si>
  <si>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</si>
  <si>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</si>
  <si>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</si>
  <si>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</si>
  <si>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</si>
  <si>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</si>
  <si>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</si>
  <si>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</si>
  <si>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</si>
  <si>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</si>
  <si>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</si>
  <si>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</si>
  <si>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</si>
  <si>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</si>
  <si>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</si>
  <si>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</si>
  <si>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</si>
  <si>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</si>
  <si>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</si>
  <si>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</si>
  <si>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</si>
  <si>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</si>
  <si>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</si>
  <si>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</si>
  <si>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</si>
  <si>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</si>
  <si>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</si>
  <si>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</si>
  <si>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</si>
  <si>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</si>
  <si>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</si>
  <si>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</si>
  <si>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</si>
  <si>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</si>
  <si>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</si>
  <si>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</si>
  <si>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</si>
  <si>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</si>
  <si>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</si>
  <si>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</si>
  <si>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</si>
  <si>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</si>
  <si>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</si>
  <si>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</si>
  <si>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</si>
  <si>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</si>
  <si>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</si>
  <si>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</si>
  <si>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</si>
  <si>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</si>
  <si>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</si>
  <si>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</si>
  <si>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</si>
  <si>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</si>
  <si>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</si>
  <si>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</si>
  <si>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</si>
  <si>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</si>
  <si>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</si>
  <si>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</si>
  <si>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</si>
  <si>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</si>
  <si>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</si>
  <si>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</si>
  <si>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</si>
  <si>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</si>
  <si>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</si>
  <si>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</si>
  <si>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</si>
  <si>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</si>
  <si>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</si>
  <si>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</si>
  <si>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</si>
  <si>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</si>
  <si>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</si>
  <si>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</si>
  <si>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</si>
  <si>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</si>
  <si>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</si>
  <si>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</si>
  <si>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</si>
  <si>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</si>
  <si>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</si>
  <si>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</si>
  <si>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</si>
  <si>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</si>
  <si>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</si>
  <si>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</si>
  <si>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</si>
  <si>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</si>
  <si>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</si>
  <si>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</si>
  <si>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</si>
  <si>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</si>
  <si>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</si>
  <si>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</si>
  <si>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</si>
  <si>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</si>
  <si>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</si>
  <si>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</si>
  <si>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</si>
  <si>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</si>
  <si>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</si>
  <si>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</si>
  <si>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</si>
  <si>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</si>
  <si>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</si>
  <si>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</si>
  <si>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</si>
  <si>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</si>
  <si>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</si>
  <si>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</si>
  <si>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</si>
  <si>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</si>
  <si>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</si>
  <si>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</si>
  <si>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</si>
  <si>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</si>
  <si>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</si>
  <si>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</si>
  <si>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</si>
  <si>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</si>
  <si>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</si>
  <si>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</si>
  <si>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</si>
  <si>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</si>
  <si>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</si>
  <si>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</si>
  <si>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</si>
  <si>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</si>
  <si>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</si>
  <si>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</si>
  <si>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</si>
  <si>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</si>
  <si>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</si>
  <si>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</si>
  <si>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</si>
  <si>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</si>
  <si>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</si>
  <si>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</si>
  <si>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</si>
  <si>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</si>
  <si>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</si>
  <si>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</si>
  <si>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</si>
  <si>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</si>
  <si>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</si>
  <si>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</si>
  <si>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</si>
  <si>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</si>
  <si>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</si>
  <si>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</si>
  <si>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</si>
  <si>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</si>
  <si>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</si>
  <si>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</si>
  <si>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</si>
  <si>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</si>
  <si>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</si>
  <si>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</si>
  <si>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</si>
  <si>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</si>
  <si>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</si>
  <si>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</si>
  <si>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</si>
  <si>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</si>
  <si>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</si>
  <si>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</si>
  <si>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</si>
  <si>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</si>
  <si>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</si>
  <si>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</si>
  <si>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</si>
  <si>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</si>
  <si>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</si>
  <si>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</si>
  <si>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</si>
  <si>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</si>
  <si>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</si>
  <si>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</si>
  <si>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</si>
  <si>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</si>
  <si>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</si>
  <si>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</si>
  <si>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</si>
  <si>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</si>
  <si>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</si>
  <si>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</si>
  <si>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</si>
  <si>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</si>
  <si>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</si>
  <si>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</si>
  <si>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</si>
  <si>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</si>
  <si>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</si>
  <si>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</si>
  <si>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</si>
  <si>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</si>
  <si>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</si>
  <si>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</si>
  <si>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</si>
  <si>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</si>
  <si>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</si>
  <si>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</si>
  <si>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</si>
  <si>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</si>
  <si>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</si>
  <si>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</si>
  <si>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</si>
  <si>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</si>
  <si>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</si>
  <si>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</si>
  <si>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</si>
  <si>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</si>
  <si>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</si>
  <si>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</si>
  <si>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</si>
  <si>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</si>
  <si>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</si>
  <si>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</si>
  <si>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</si>
  <si>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</si>
  <si>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</si>
  <si>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</si>
  <si>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</si>
  <si>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</si>
  <si>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</si>
  <si>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</si>
  <si>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</si>
  <si>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</si>
  <si>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</si>
  <si>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</si>
  <si>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</si>
  <si>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</si>
  <si>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</si>
  <si>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</si>
  <si>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</si>
  <si>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</si>
  <si>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</si>
  <si>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</si>
  <si>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</si>
  <si>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</si>
  <si>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</si>
  <si>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</si>
  <si>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</si>
  <si>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</si>
  <si>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</si>
  <si>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</si>
  <si>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</si>
  <si>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</si>
  <si>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</si>
  <si>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</si>
  <si>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</si>
  <si>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</si>
  <si>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</si>
  <si>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</si>
  <si>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</si>
  <si>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</si>
  <si>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</si>
  <si>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</si>
  <si>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</si>
  <si>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</si>
  <si>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</si>
  <si>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</si>
  <si>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</si>
  <si>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</si>
  <si>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</si>
  <si>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</si>
  <si>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</si>
  <si>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</si>
  <si>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</si>
  <si>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</si>
  <si>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</si>
  <si>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</si>
  <si>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</si>
  <si>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</si>
  <si>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</si>
  <si>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</si>
  <si>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</si>
  <si>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</si>
  <si>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</si>
  <si>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</si>
  <si>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</si>
  <si>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</si>
  <si>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</si>
  <si>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</si>
  <si>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</si>
  <si>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</si>
  <si>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</si>
  <si>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</si>
  <si>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</si>
  <si>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</si>
  <si>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</si>
  <si>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</si>
  <si>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</si>
  <si>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</si>
  <si>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</si>
  <si>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</si>
  <si>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</si>
  <si>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</si>
  <si>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</si>
  <si>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</si>
  <si>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</si>
  <si>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</si>
  <si>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</si>
  <si>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</si>
  <si>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</si>
  <si>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</si>
  <si>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</si>
  <si>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</si>
  <si>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</si>
  <si>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</si>
  <si>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</si>
  <si>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</si>
  <si>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</si>
  <si>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</si>
  <si>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</si>
  <si>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</si>
  <si>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</si>
  <si>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</si>
  <si>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</si>
  <si>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</si>
  <si>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</si>
  <si>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</si>
  <si>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</si>
  <si>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</si>
  <si>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</si>
  <si>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</si>
  <si>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</si>
  <si>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</si>
  <si>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</si>
  <si>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</si>
  <si>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</si>
  <si>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</si>
  <si>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</si>
  <si>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</si>
  <si>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</si>
  <si>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</si>
  <si>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</si>
  <si>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</si>
  <si>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</si>
  <si>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</si>
  <si>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</si>
  <si>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</si>
  <si>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</si>
  <si>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</si>
  <si>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</si>
  <si>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</si>
  <si>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</si>
  <si>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</si>
  <si>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</si>
  <si>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</si>
  <si>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</si>
  <si>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</si>
  <si>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</si>
  <si>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</si>
  <si>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</si>
  <si>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</si>
  <si>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</si>
  <si>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</si>
  <si>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</si>
  <si>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</si>
  <si>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</si>
  <si>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</si>
  <si>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</si>
  <si>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</si>
  <si>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</si>
  <si>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</si>
  <si>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</si>
  <si>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</si>
  <si>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</si>
  <si>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</si>
  <si>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</si>
  <si>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</si>
  <si>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</si>
  <si>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</si>
  <si>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</si>
  <si>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</si>
  <si>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</si>
  <si>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</si>
  <si>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</si>
  <si>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</si>
  <si>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</si>
  <si>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</si>
  <si>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</si>
  <si>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</si>
  <si>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</si>
  <si>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</si>
  <si>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</si>
  <si>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</si>
  <si>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</si>
  <si>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</si>
  <si>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</si>
  <si>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</si>
  <si>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</si>
  <si>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</si>
  <si>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</si>
  <si>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</si>
  <si>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</si>
  <si>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</si>
  <si>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</si>
  <si>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</si>
  <si>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</si>
  <si>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</si>
  <si>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</si>
  <si>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</si>
  <si>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</si>
  <si>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</si>
  <si>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</si>
  <si>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</si>
  <si>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</si>
  <si>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</si>
  <si>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</si>
  <si>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</si>
  <si>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</si>
  <si>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</si>
  <si>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</si>
  <si>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</si>
  <si>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</si>
  <si>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</si>
  <si>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</si>
  <si>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</si>
  <si>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</si>
  <si>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</si>
  <si>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</si>
  <si>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</si>
  <si>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</si>
  <si>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</si>
  <si>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</si>
  <si>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</si>
  <si>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</si>
  <si>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</si>
  <si>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</si>
  <si>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</si>
  <si>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</si>
  <si>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</si>
  <si>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</si>
  <si>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</si>
  <si>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</si>
  <si>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</si>
  <si>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</si>
  <si>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</si>
  <si>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</si>
  <si>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</si>
  <si>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</si>
  <si>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</si>
  <si>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</si>
  <si>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</si>
  <si>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</si>
  <si>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</si>
  <si>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</si>
  <si>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</si>
  <si>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</si>
  <si>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</si>
  <si>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</si>
  <si>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</si>
  <si>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</si>
  <si>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</si>
  <si>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</si>
  <si>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</si>
  <si>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</si>
  <si>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</si>
  <si>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</si>
  <si>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</si>
  <si>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</si>
  <si>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</si>
  <si>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</si>
  <si>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</si>
  <si>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</si>
  <si>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</si>
  <si>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</si>
  <si>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</si>
  <si>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</si>
  <si>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</si>
  <si>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</si>
  <si>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</si>
  <si>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</si>
  <si>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</si>
  <si>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</si>
  <si>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</si>
  <si>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</si>
  <si>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</si>
  <si>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</si>
  <si>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</si>
  <si>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</si>
  <si>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</si>
  <si>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</si>
  <si>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</si>
  <si>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</si>
  <si>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</si>
  <si>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</si>
  <si>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</si>
  <si>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</si>
  <si>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</si>
  <si>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</si>
  <si>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</si>
  <si>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</si>
  <si>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</si>
  <si>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</si>
  <si>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</si>
  <si>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</si>
  <si>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</si>
  <si>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</si>
  <si>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</si>
  <si>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</si>
  <si>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</si>
  <si>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</si>
  <si>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</si>
  <si>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</si>
  <si>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</si>
  <si>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</si>
  <si>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</si>
  <si>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</si>
  <si>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</si>
  <si>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</si>
  <si>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</si>
  <si>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</si>
  <si>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</si>
  <si>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</si>
  <si>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</si>
  <si>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</si>
  <si>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</si>
  <si>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</si>
  <si>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</si>
  <si>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</si>
  <si>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</si>
  <si>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</si>
  <si>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</si>
  <si>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</si>
  <si>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</si>
  <si>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</si>
  <si>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</si>
  <si>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</si>
  <si>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</si>
  <si>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</si>
  <si>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</si>
  <si>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</si>
  <si>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</si>
  <si>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</si>
  <si>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</si>
  <si>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</si>
  <si>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</si>
  <si>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</si>
  <si>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</si>
  <si>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</si>
  <si>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</si>
  <si>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</si>
  <si>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</si>
  <si>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</si>
  <si>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</si>
  <si>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</si>
  <si>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</si>
  <si>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</si>
  <si>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</si>
  <si>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</si>
  <si>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</si>
  <si>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</si>
  <si>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</si>
  <si>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</si>
  <si>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</si>
  <si>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</si>
  <si>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</si>
  <si>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</si>
  <si>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</si>
  <si>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</si>
  <si>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</si>
  <si>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</si>
  <si>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</si>
  <si>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</si>
  <si>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</si>
  <si>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</si>
  <si>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</si>
  <si>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</si>
  <si>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</si>
  <si>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</si>
  <si>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</si>
  <si>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</si>
  <si>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</si>
  <si>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</si>
  <si>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</si>
  <si>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</si>
  <si>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</si>
  <si>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</si>
  <si>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</si>
  <si>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</si>
  <si>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</si>
  <si>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</si>
  <si>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</si>
  <si>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</si>
  <si>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</si>
  <si>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</si>
  <si>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</si>
  <si>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</si>
  <si>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</si>
  <si>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</si>
  <si>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</si>
  <si>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</si>
  <si>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</si>
  <si>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</si>
  <si>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</si>
  <si>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</si>
  <si>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</si>
  <si>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</si>
  <si>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</si>
  <si>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</si>
  <si>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</si>
  <si>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</si>
  <si>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</si>
  <si>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</si>
  <si>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</si>
  <si>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</si>
  <si>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</si>
  <si>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</si>
  <si>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</si>
  <si>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</si>
  <si>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</si>
  <si>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</si>
  <si>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</si>
  <si>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</si>
  <si>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</si>
  <si>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</si>
  <si>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</si>
  <si>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</si>
  <si>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</si>
  <si>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</si>
  <si>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</si>
  <si>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</si>
  <si>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</si>
  <si>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</si>
  <si>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</si>
  <si>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</si>
  <si>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</si>
  <si>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</si>
  <si>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</si>
  <si>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</si>
  <si>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</si>
  <si>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</si>
  <si>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</si>
  <si>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</si>
  <si>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</si>
  <si>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</si>
  <si>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</si>
  <si>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</si>
  <si>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</si>
  <si>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</si>
  <si>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</si>
  <si>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</si>
  <si>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</si>
  <si>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</si>
  <si>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</si>
  <si>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</si>
  <si>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</si>
  <si>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</si>
  <si>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</si>
  <si>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</si>
  <si>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</si>
  <si>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</si>
  <si>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</si>
  <si>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</si>
  <si>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</si>
  <si>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</si>
  <si>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</si>
  <si>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</si>
  <si>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</si>
  <si>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</si>
  <si>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</si>
  <si>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</si>
  <si>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</si>
  <si>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</si>
  <si>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</si>
  <si>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</si>
  <si>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</si>
  <si>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</si>
  <si>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</si>
  <si>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</si>
  <si>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</si>
  <si>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</si>
  <si>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</si>
  <si>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</si>
  <si>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</si>
  <si>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</si>
  <si>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</si>
  <si>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</si>
  <si>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</si>
  <si>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</si>
  <si>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</si>
  <si>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</si>
  <si>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</si>
  <si>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</si>
  <si>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</si>
  <si>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</si>
  <si>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</si>
  <si>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</si>
  <si>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</si>
  <si>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</si>
  <si>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</si>
  <si>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</si>
  <si>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</si>
  <si>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</si>
  <si>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</si>
  <si>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</si>
  <si>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</si>
  <si>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</si>
  <si>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</si>
  <si>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</si>
  <si>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</si>
  <si>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</si>
  <si>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</si>
  <si>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</si>
  <si>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</si>
  <si>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</si>
  <si>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</si>
  <si>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</si>
  <si>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</si>
  <si>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</si>
  <si>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</si>
  <si>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</si>
  <si>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</si>
  <si>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</si>
  <si>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</si>
  <si>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</si>
  <si>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</si>
  <si>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</si>
  <si>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</si>
  <si>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</si>
  <si>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</si>
  <si>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</si>
  <si>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</si>
  <si>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</si>
  <si>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</si>
  <si>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</si>
  <si>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</si>
  <si>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</si>
  <si>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</si>
  <si>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</si>
  <si>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</si>
  <si>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</si>
  <si>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</si>
  <si>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</si>
  <si>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</si>
  <si>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</si>
  <si>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</si>
  <si>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</si>
  <si>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</si>
  <si>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</si>
  <si>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</si>
  <si>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</si>
  <si>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</si>
  <si>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</si>
  <si>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</si>
  <si>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</si>
  <si>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</si>
  <si>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</si>
  <si>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</si>
  <si>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</si>
  <si>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</si>
  <si>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</si>
  <si>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</si>
  <si>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</si>
  <si>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</si>
  <si>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</si>
  <si>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</si>
  <si>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</si>
  <si>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</si>
  <si>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</si>
  <si>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</si>
  <si>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</si>
  <si>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</si>
  <si>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</si>
  <si>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</si>
  <si>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</si>
  <si>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</si>
  <si>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</si>
  <si>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</si>
  <si>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</si>
  <si>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</si>
  <si>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</si>
  <si>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</si>
  <si>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</si>
  <si>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</si>
  <si>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</si>
  <si>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</si>
  <si>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</si>
  <si>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</si>
  <si>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</si>
  <si>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</si>
  <si>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</si>
  <si>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</si>
  <si>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</si>
  <si>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</si>
  <si>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</si>
  <si>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</si>
  <si>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</si>
  <si>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</si>
  <si>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</si>
  <si>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</si>
  <si>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</si>
  <si>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</si>
  <si>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</si>
  <si>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</si>
  <si>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</si>
  <si>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</si>
  <si>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</si>
  <si>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</si>
  <si>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</si>
  <si>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</si>
  <si>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</si>
  <si>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</si>
  <si>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</si>
  <si>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</si>
  <si>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</si>
  <si>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</si>
  <si>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</si>
  <si>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</si>
  <si>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</si>
  <si>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</si>
  <si>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</si>
  <si>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</si>
  <si>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</si>
  <si>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</si>
  <si>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</si>
  <si>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</si>
  <si>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</si>
  <si>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</si>
  <si>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</si>
  <si>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</si>
  <si>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</si>
  <si>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</si>
  <si>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</si>
  <si>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</si>
  <si>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</si>
  <si>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</si>
  <si>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</si>
  <si>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</si>
  <si>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</si>
  <si>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</si>
  <si>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</si>
  <si>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</si>
  <si>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</si>
  <si>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</si>
  <si>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</si>
  <si>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</si>
  <si>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</si>
  <si>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</si>
  <si>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</si>
  <si>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</si>
  <si>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</si>
  <si>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</si>
  <si>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</si>
  <si>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</si>
  <si>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</si>
  <si>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</si>
  <si>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</si>
  <si>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</si>
  <si>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</si>
  <si>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</si>
  <si>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</si>
  <si>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</si>
  <si>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</si>
  <si>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</si>
  <si>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</si>
  <si>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</si>
  <si>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</si>
  <si>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</si>
  <si>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</si>
  <si>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</si>
  <si>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</si>
  <si>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</si>
  <si>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</si>
  <si>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</si>
  <si>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</si>
  <si>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</si>
  <si>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</si>
  <si>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</si>
  <si>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</si>
  <si>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</si>
  <si>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</si>
  <si>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</si>
  <si>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</si>
  <si>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</si>
  <si>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</si>
  <si>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</si>
  <si>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</si>
  <si>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</si>
  <si>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</si>
  <si>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</si>
  <si>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</si>
  <si>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</si>
  <si>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</si>
  <si>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</si>
  <si>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</si>
  <si>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</si>
  <si>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</si>
  <si>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</si>
  <si>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</si>
  <si>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</si>
  <si>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</si>
  <si>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</si>
  <si>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</si>
  <si>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</si>
  <si>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</si>
  <si>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</si>
  <si>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</si>
  <si>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</si>
  <si>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</si>
  <si>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</si>
  <si>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</si>
  <si>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</si>
  <si>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</si>
  <si>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</si>
  <si>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</si>
  <si>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</si>
  <si>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</si>
  <si>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</si>
  <si>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</si>
  <si>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</si>
  <si>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</si>
  <si>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</si>
  <si>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</si>
  <si>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</si>
  <si>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</si>
  <si>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</si>
  <si>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</si>
  <si>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</si>
  <si>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</si>
  <si>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</si>
  <si>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</si>
  <si>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</si>
  <si>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</si>
  <si>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</si>
  <si>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</si>
  <si>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</si>
  <si>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</si>
  <si>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</si>
  <si>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</si>
  <si>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</si>
  <si>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</si>
  <si>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</si>
  <si>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</si>
  <si>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</si>
  <si>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</si>
  <si>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</si>
  <si>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</si>
  <si>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</si>
  <si>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</si>
  <si>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</si>
  <si>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</si>
  <si>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</si>
  <si>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</si>
  <si>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</si>
  <si>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</si>
  <si>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</si>
  <si>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</si>
  <si>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</si>
  <si>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</si>
  <si>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</si>
  <si>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</si>
  <si>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</si>
  <si>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</si>
  <si>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</si>
  <si>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</si>
  <si>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</si>
  <si>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</si>
  <si>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</si>
  <si>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</si>
  <si>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</si>
  <si>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</si>
  <si>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</si>
  <si>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</si>
  <si>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</si>
  <si>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</si>
  <si>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</si>
  <si>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</si>
  <si>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</si>
  <si>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</si>
  <si>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</si>
  <si>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</si>
  <si>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</si>
  <si>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</si>
  <si>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</si>
  <si>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</si>
  <si>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</si>
  <si>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</si>
  <si>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</si>
  <si>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</si>
  <si>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</si>
  <si>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</si>
  <si>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</si>
  <si>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</si>
  <si>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</si>
  <si>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</si>
  <si>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</si>
  <si>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</si>
  <si>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</si>
  <si>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</si>
  <si>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</si>
  <si>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</si>
  <si>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</si>
  <si>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</si>
  <si>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</si>
  <si>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</si>
  <si>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</si>
  <si>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</si>
  <si>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</si>
  <si>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</si>
  <si>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</si>
  <si>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</si>
  <si>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</si>
  <si>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</si>
  <si>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</si>
  <si>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</si>
  <si>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</si>
  <si>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</si>
  <si>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</si>
  <si>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</si>
  <si>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</si>
  <si>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</si>
  <si>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</si>
  <si>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</si>
  <si>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</si>
  <si>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</si>
  <si>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</si>
  <si>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</si>
  <si>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</si>
  <si>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</si>
  <si>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</si>
  <si>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</si>
  <si>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</si>
  <si>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</si>
  <si>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</si>
  <si>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</si>
  <si>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</si>
  <si>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</si>
  <si>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</si>
  <si>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</si>
  <si>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</si>
  <si>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</si>
  <si>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</si>
  <si>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</si>
  <si>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</si>
  <si>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</si>
  <si>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</si>
  <si>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</si>
  <si>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</si>
  <si>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</si>
  <si>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</si>
  <si>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</si>
  <si>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</si>
  <si>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</si>
  <si>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</si>
  <si>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</si>
  <si>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</si>
  <si>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</si>
  <si>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</si>
  <si>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</si>
  <si>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</si>
  <si>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</si>
  <si>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</si>
  <si>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</si>
  <si>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</si>
  <si>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</si>
  <si>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</si>
  <si>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</si>
  <si>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</si>
  <si>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</si>
  <si>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</si>
  <si>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</si>
  <si>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</si>
  <si>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</si>
  <si>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</si>
  <si>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</si>
  <si>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</si>
  <si>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</si>
  <si>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</si>
  <si>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</si>
  <si>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</si>
  <si>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</si>
  <si>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</si>
  <si>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</si>
  <si>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</si>
  <si>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</si>
  <si>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</si>
  <si>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</si>
  <si>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</si>
  <si>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</si>
  <si>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</si>
  <si>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</si>
  <si>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</si>
  <si>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</si>
  <si>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</si>
  <si>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</si>
  <si>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</si>
  <si>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</si>
  <si>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</si>
  <si>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</si>
  <si>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</si>
  <si>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</si>
  <si>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</si>
  <si>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</si>
  <si>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</si>
  <si>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</si>
  <si>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</si>
  <si>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</si>
  <si>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</si>
  <si>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</si>
  <si>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</si>
  <si>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</si>
  <si>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</si>
  <si>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</si>
  <si>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</si>
  <si>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</si>
  <si>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</si>
  <si>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</si>
  <si>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</si>
  <si>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</si>
  <si>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</si>
  <si>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</si>
  <si>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</si>
  <si>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</si>
  <si>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</si>
  <si>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</si>
  <si>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</si>
  <si>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</si>
  <si>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</si>
  <si>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</si>
  <si>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</si>
  <si>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</si>
  <si>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</si>
  <si>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</si>
  <si>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</si>
  <si>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</si>
  <si>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</si>
  <si>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</si>
  <si>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</si>
  <si>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</si>
  <si>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</si>
  <si>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</si>
  <si>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</si>
  <si>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</si>
  <si>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</si>
  <si>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</si>
  <si>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</si>
  <si>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</si>
  <si>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</si>
  <si>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</si>
  <si>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</si>
  <si>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</si>
  <si>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</si>
  <si>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</si>
  <si>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</si>
  <si>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</si>
  <si>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</si>
  <si>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</si>
  <si>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</si>
  <si>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</si>
  <si>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</si>
  <si>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</si>
  <si>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</si>
  <si>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</si>
  <si>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</si>
  <si>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</si>
  <si>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</si>
  <si>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</si>
  <si>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</si>
  <si>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</si>
  <si>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</si>
  <si>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</si>
  <si>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</si>
  <si>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</si>
  <si>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</si>
  <si>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</si>
  <si>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</si>
  <si>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</si>
  <si>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</si>
  <si>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</si>
  <si>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</si>
  <si>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</si>
  <si>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</si>
  <si>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</si>
  <si>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</si>
  <si>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</si>
  <si>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</si>
  <si>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</si>
  <si>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</si>
  <si>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</si>
  <si>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</si>
  <si>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</si>
  <si>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</si>
  <si>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</si>
  <si>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</si>
  <si>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</si>
  <si>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</si>
  <si>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</si>
  <si>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</si>
  <si>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</si>
  <si>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</si>
  <si>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</si>
  <si>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</si>
  <si>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</si>
  <si>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</si>
  <si>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</si>
  <si>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</si>
  <si>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</si>
  <si>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</si>
  <si>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</si>
  <si>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</si>
  <si>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</si>
  <si>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</si>
  <si>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</si>
  <si>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</si>
  <si>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</si>
  <si>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</si>
  <si>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</si>
  <si>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</si>
  <si>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</si>
  <si>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</si>
  <si>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</si>
  <si>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</si>
  <si>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</si>
  <si>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</si>
  <si>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</si>
  <si>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</si>
  <si>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</si>
  <si>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</si>
  <si>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</si>
  <si>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</si>
  <si>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</si>
  <si>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</si>
  <si>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</si>
  <si>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</si>
  <si>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</si>
  <si>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</si>
  <si>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</si>
  <si>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</si>
  <si>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</si>
  <si>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</si>
  <si>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</si>
  <si>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</si>
  <si>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</si>
  <si>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</si>
  <si>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</si>
  <si>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</si>
  <si>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</si>
  <si>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</si>
  <si>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</si>
  <si>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</si>
  <si>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</si>
  <si>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</si>
  <si>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</si>
  <si>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</si>
  <si>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</si>
  <si>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</si>
  <si>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</si>
  <si>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</si>
  <si>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</si>
  <si>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</si>
  <si>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</si>
  <si>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</si>
  <si>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</si>
  <si>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</si>
  <si>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</si>
  <si>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</si>
  <si>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</si>
  <si>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</si>
  <si>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</si>
  <si>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</si>
  <si>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</si>
  <si>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</si>
  <si>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</si>
  <si>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</si>
  <si>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</si>
  <si>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</si>
  <si>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</si>
  <si>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</si>
  <si>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</si>
  <si>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</si>
  <si>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</si>
  <si>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</si>
  <si>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</si>
  <si>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</si>
  <si>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</si>
  <si>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</si>
  <si>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</si>
  <si>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</si>
  <si>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</si>
  <si>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</si>
  <si>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</si>
  <si>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</si>
  <si>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</si>
  <si>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</si>
  <si>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</si>
  <si>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</si>
  <si>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</si>
  <si>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</si>
  <si>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</si>
  <si>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</si>
  <si>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</si>
  <si>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</si>
  <si>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</si>
  <si>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</si>
  <si>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</si>
  <si>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</si>
  <si>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</si>
  <si>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</si>
  <si>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</si>
  <si>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</si>
  <si>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</si>
  <si>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</si>
  <si>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</si>
  <si>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</si>
  <si>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</si>
  <si>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</si>
  <si>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</si>
  <si>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</si>
  <si>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</si>
  <si>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</si>
  <si>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</si>
  <si>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</si>
  <si>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</si>
  <si>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</si>
  <si>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</si>
  <si>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</si>
  <si>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</si>
  <si>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</si>
  <si>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</si>
  <si>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</si>
  <si>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</si>
  <si>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</si>
  <si>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</si>
  <si>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</si>
  <si>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</si>
  <si>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</si>
  <si>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</si>
  <si>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</si>
  <si>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</si>
  <si>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</si>
  <si>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</si>
  <si>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</si>
  <si>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</si>
  <si>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</si>
  <si>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</si>
  <si>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</si>
  <si>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</si>
  <si>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</si>
  <si>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</si>
  <si>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</si>
  <si>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</si>
  <si>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</si>
  <si>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</si>
  <si>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</si>
  <si>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</si>
  <si>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</si>
  <si>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</si>
  <si>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</si>
  <si>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</si>
  <si>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</si>
  <si>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</si>
  <si>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</si>
  <si>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</si>
  <si>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</si>
  <si>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</si>
  <si>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</si>
  <si>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</si>
  <si>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</si>
  <si>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</si>
  <si>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</si>
  <si>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</si>
  <si>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</si>
  <si>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</si>
  <si>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</si>
  <si>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</si>
  <si>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</si>
  <si>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</si>
  <si>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</si>
  <si>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</si>
  <si>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</si>
  <si>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</si>
  <si>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</si>
  <si>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</si>
  <si>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</si>
  <si>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</si>
  <si>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</si>
  <si>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</si>
  <si>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</si>
  <si>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</si>
  <si>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</si>
  <si>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</si>
  <si>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</si>
  <si>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</si>
  <si>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</si>
  <si>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</si>
  <si>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</si>
  <si>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</si>
  <si>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</si>
  <si>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</si>
  <si>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</si>
  <si>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</si>
  <si>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</si>
  <si>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</si>
  <si>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</si>
  <si>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</si>
  <si>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</si>
  <si>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</si>
  <si>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</si>
  <si>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</si>
  <si>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</si>
  <si>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</si>
  <si>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</si>
  <si>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</si>
  <si>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</si>
  <si>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</si>
  <si>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</si>
  <si>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</si>
  <si>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</si>
  <si>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</si>
  <si>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</si>
  <si>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</si>
  <si>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</si>
  <si>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</si>
  <si>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</si>
  <si>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</si>
  <si>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</si>
  <si>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</si>
  <si>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</si>
  <si>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</si>
  <si>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</si>
  <si>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</si>
  <si>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</si>
  <si>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</si>
  <si>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</si>
  <si>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</si>
  <si>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</si>
  <si>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</si>
  <si>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</si>
  <si>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</si>
  <si>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</si>
  <si>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</si>
  <si>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</si>
  <si>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</si>
  <si>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</si>
  <si>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</si>
  <si>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</si>
  <si>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</si>
  <si>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</si>
  <si>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</si>
  <si>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</si>
  <si>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</si>
  <si>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</si>
  <si>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</si>
  <si>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</si>
  <si>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</si>
  <si>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</si>
  <si>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</si>
  <si>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</si>
  <si>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</si>
  <si>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</si>
  <si>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</si>
  <si>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</si>
  <si>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</si>
  <si>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</si>
  <si>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</si>
  <si>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</si>
  <si>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</si>
  <si>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</si>
  <si>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</si>
  <si>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</si>
  <si>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</si>
  <si>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</si>
  <si>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</si>
  <si>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</si>
  <si>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</si>
  <si>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</si>
  <si>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</si>
  <si>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</si>
  <si>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</si>
  <si>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</si>
  <si>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</si>
  <si>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</si>
  <si>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</si>
  <si>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</si>
  <si>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</si>
  <si>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</si>
  <si>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</si>
  <si>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</si>
  <si>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</si>
  <si>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</si>
  <si>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</si>
  <si>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</si>
  <si>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</si>
  <si>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</si>
  <si>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</si>
  <si>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</si>
  <si>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</si>
  <si>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</si>
  <si>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</si>
  <si>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</si>
  <si>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</si>
  <si>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</si>
  <si>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</si>
  <si>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</si>
  <si>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</si>
  <si>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</si>
  <si>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</si>
  <si>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</si>
  <si>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</si>
  <si>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</si>
  <si>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</si>
  <si>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</si>
  <si>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</si>
  <si>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</si>
  <si>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</si>
  <si>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</si>
  <si>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</si>
  <si>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</si>
  <si>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</si>
  <si>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</si>
  <si>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</si>
  <si>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</si>
  <si>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</si>
  <si>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</si>
  <si>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</si>
  <si>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</si>
  <si>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</si>
  <si>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</si>
  <si>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</si>
  <si>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</si>
  <si>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</si>
  <si>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</si>
  <si>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</si>
  <si>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</si>
  <si>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</si>
  <si>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</si>
  <si>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</si>
  <si>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</si>
  <si>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</si>
  <si>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</si>
  <si>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</si>
  <si>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</si>
  <si>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</si>
  <si>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</si>
  <si>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</si>
  <si>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</si>
  <si>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</si>
  <si>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</si>
  <si>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</si>
  <si>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</si>
  <si>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</si>
  <si>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</si>
  <si>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</si>
  <si>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</si>
  <si>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</si>
  <si>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</si>
  <si>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</si>
  <si>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</si>
  <si>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</si>
  <si>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</si>
  <si>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</si>
  <si>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</si>
  <si>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</si>
  <si>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</si>
  <si>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</si>
  <si>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</si>
  <si>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</si>
  <si>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</si>
  <si>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</si>
  <si>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</si>
  <si>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</si>
  <si>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</si>
  <si>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</si>
  <si>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</si>
  <si>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</si>
  <si>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</si>
  <si>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</si>
  <si>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</si>
  <si>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</si>
  <si>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</si>
  <si>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</si>
  <si>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</si>
  <si>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</si>
  <si>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</si>
  <si>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</si>
  <si>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</si>
  <si>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</si>
  <si>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</si>
  <si>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</si>
  <si>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</si>
  <si>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</si>
  <si>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</si>
  <si>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</si>
  <si>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</si>
  <si>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</si>
  <si>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</si>
  <si>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</si>
  <si>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</si>
  <si>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</si>
  <si>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</si>
  <si>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</si>
  <si>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</si>
  <si>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</si>
  <si>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</si>
  <si>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</si>
  <si>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</si>
  <si>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</si>
  <si>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</si>
  <si>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</si>
  <si>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</si>
  <si>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</si>
  <si>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</si>
  <si>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</si>
  <si>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</si>
  <si>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</si>
  <si>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</si>
  <si>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</si>
  <si>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</si>
  <si>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</si>
  <si>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</si>
  <si>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</si>
  <si>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</si>
  <si>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</si>
  <si>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</si>
  <si>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</si>
  <si>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</si>
  <si>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</si>
  <si>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</si>
  <si>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</si>
  <si>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</si>
  <si>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</si>
  <si>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</si>
  <si>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</si>
  <si>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</si>
  <si>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</si>
  <si>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</si>
  <si>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</si>
  <si>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</si>
  <si>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</si>
  <si>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</si>
  <si>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</si>
  <si>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</si>
  <si>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</si>
  <si>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</si>
  <si>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</si>
  <si>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</si>
  <si>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</si>
  <si>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</si>
  <si>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</si>
  <si>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</si>
  <si>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</si>
  <si>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</si>
  <si>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</si>
  <si>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</si>
  <si>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</si>
  <si>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</si>
  <si>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</si>
  <si>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</si>
  <si>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</si>
  <si>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</si>
  <si>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</si>
  <si>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</si>
  <si>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</si>
  <si>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</si>
  <si>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</si>
  <si>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</si>
  <si>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</si>
  <si>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</si>
  <si>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</si>
  <si>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</si>
  <si>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</si>
  <si>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</si>
  <si>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</si>
  <si>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</si>
  <si>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</si>
  <si>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</si>
  <si>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</si>
  <si>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</si>
  <si>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</si>
  <si>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</si>
  <si>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</si>
  <si>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</si>
  <si>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</si>
  <si>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</si>
  <si>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</si>
  <si>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</si>
  <si>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</si>
  <si>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</si>
  <si>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</si>
  <si>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</si>
  <si>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</si>
  <si>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</si>
  <si>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</si>
  <si>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</si>
  <si>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</si>
  <si>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</si>
  <si>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</si>
  <si>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</si>
  <si>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</si>
  <si>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</si>
  <si>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</si>
  <si>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</si>
  <si>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</si>
  <si>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</si>
  <si>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</si>
  <si>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</si>
  <si>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</si>
  <si>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</si>
  <si>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</si>
  <si>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</si>
  <si>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</si>
  <si>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</si>
  <si>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</si>
  <si>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</si>
  <si>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</si>
  <si>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</si>
  <si>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</si>
  <si>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</si>
  <si>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</si>
  <si>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</si>
  <si>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</si>
  <si>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</si>
  <si>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</si>
  <si>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</si>
  <si>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</si>
  <si>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</si>
  <si>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</si>
  <si>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</si>
  <si>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</si>
  <si>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</si>
  <si>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</si>
  <si>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</si>
  <si>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</si>
  <si>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</si>
  <si>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</si>
  <si>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</si>
  <si>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</si>
  <si>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</si>
  <si>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</si>
  <si>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</si>
  <si>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</si>
  <si>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</si>
  <si>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</si>
  <si>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</si>
  <si>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</si>
  <si>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</si>
  <si>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</si>
  <si>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</si>
  <si>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</si>
  <si>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</si>
  <si>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</si>
  <si>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</si>
  <si>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</si>
  <si>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</si>
  <si>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</si>
  <si>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</si>
  <si>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</si>
  <si>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</si>
  <si>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</si>
  <si>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</si>
  <si>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</si>
  <si>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</si>
  <si>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</si>
  <si>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</si>
  <si>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</si>
  <si>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</si>
  <si>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</si>
  <si>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</si>
  <si>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</si>
  <si>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</si>
  <si>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</si>
  <si>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</si>
  <si>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</si>
  <si>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</si>
  <si>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</si>
  <si>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</si>
  <si>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</si>
  <si>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</si>
  <si>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</si>
  <si>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</si>
  <si>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</si>
  <si>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</si>
  <si>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</si>
  <si>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</si>
  <si>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</si>
  <si>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</si>
  <si>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</si>
  <si>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</si>
  <si>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</si>
  <si>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</si>
  <si>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</si>
  <si>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</si>
  <si>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</si>
  <si>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</si>
  <si>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</si>
  <si>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</si>
  <si>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</si>
  <si>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</si>
  <si>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</si>
  <si>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</si>
  <si>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</si>
  <si>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</si>
  <si>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</si>
  <si>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</si>
  <si>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</si>
  <si>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</si>
  <si>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</si>
  <si>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</si>
  <si>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</si>
  <si>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</si>
  <si>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</si>
  <si>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</si>
  <si>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</si>
  <si>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</si>
  <si>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</si>
  <si>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</si>
  <si>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</si>
  <si>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</si>
  <si>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</si>
  <si>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</si>
  <si>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</si>
  <si>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</si>
  <si>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</si>
  <si>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</si>
  <si>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</si>
  <si>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</si>
  <si>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</si>
  <si>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</si>
  <si>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</si>
  <si>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</si>
  <si>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</si>
  <si>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</si>
  <si>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</si>
  <si>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</si>
  <si>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</si>
  <si>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</si>
  <si>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</si>
  <si>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</si>
  <si>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</si>
  <si>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</si>
  <si>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</si>
  <si>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</si>
  <si>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</si>
  <si>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</si>
  <si>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</si>
  <si>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</si>
  <si>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</si>
  <si>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</si>
  <si>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</si>
  <si>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</si>
  <si>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</si>
  <si>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</si>
  <si>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</si>
  <si>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</si>
  <si>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</si>
  <si>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</si>
  <si>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</si>
  <si>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</si>
  <si>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</si>
  <si>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</si>
  <si>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</si>
  <si>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</si>
  <si>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</si>
  <si>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</si>
  <si>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</si>
  <si>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</si>
  <si>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</si>
  <si>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</si>
  <si>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</si>
  <si>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</si>
  <si>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</si>
  <si>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</si>
  <si>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</si>
  <si>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</si>
  <si>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</si>
  <si>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</si>
  <si>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</si>
  <si>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</si>
  <si>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</si>
  <si>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</si>
  <si>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</si>
  <si>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</si>
  <si>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</si>
  <si>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</si>
  <si>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</si>
  <si>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</si>
  <si>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</si>
  <si>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</si>
  <si>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</si>
  <si>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</si>
  <si>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</si>
  <si>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</si>
  <si>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</si>
  <si>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</si>
  <si>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</si>
  <si>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</si>
  <si>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</si>
  <si>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</si>
  <si>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</si>
  <si>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</si>
  <si>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</si>
  <si>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</si>
  <si>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</si>
  <si>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</si>
  <si>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</si>
  <si>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</si>
  <si>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</si>
  <si>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</si>
  <si>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</si>
  <si>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</si>
  <si>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</si>
  <si>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</si>
  <si>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</si>
  <si>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</si>
  <si>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</si>
  <si>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</si>
  <si>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</si>
  <si>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</si>
  <si>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</si>
  <si>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</si>
  <si>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</si>
  <si>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</si>
  <si>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</si>
  <si>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</si>
  <si>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</si>
  <si>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</si>
  <si>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</si>
  <si>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</si>
  <si>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</si>
  <si>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</si>
  <si>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</si>
  <si>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</si>
  <si>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</si>
  <si>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</si>
  <si>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</si>
  <si>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</si>
  <si>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</si>
  <si>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</si>
  <si>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</si>
  <si>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</si>
  <si>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</si>
  <si>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</si>
  <si>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</si>
  <si>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</si>
  <si>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</si>
  <si>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</si>
  <si>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</si>
  <si>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</si>
  <si>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</si>
  <si>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</si>
  <si>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</si>
  <si>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</si>
  <si>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</si>
  <si>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</si>
  <si>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</si>
  <si>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</si>
  <si>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</si>
  <si>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</si>
  <si>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</si>
  <si>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</si>
  <si>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</si>
  <si>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</si>
  <si>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</si>
  <si>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</si>
  <si>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</si>
  <si>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</si>
  <si>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</si>
  <si>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</si>
  <si>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</si>
  <si>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</si>
  <si>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</si>
  <si>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</si>
  <si>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</si>
  <si>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</si>
  <si>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</si>
  <si>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</si>
  <si>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</si>
  <si>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</si>
  <si>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</si>
  <si>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</si>
  <si>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</si>
  <si>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</si>
  <si>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</si>
  <si>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</si>
  <si>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</si>
  <si>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</si>
  <si>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</si>
  <si>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</si>
  <si>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</si>
  <si>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</si>
  <si>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</si>
  <si>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</si>
  <si>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</si>
  <si>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</si>
  <si>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</si>
  <si>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</si>
  <si>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</si>
  <si>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</si>
  <si>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</si>
  <si>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</si>
  <si>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</si>
  <si>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</si>
  <si>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</si>
  <si>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</si>
  <si>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</si>
  <si>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</si>
  <si>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</si>
  <si>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</si>
  <si>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</si>
  <si>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</si>
  <si>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</si>
  <si>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</si>
  <si>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</si>
  <si>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</si>
  <si>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</si>
  <si>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</si>
  <si>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</si>
  <si>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</si>
  <si>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</si>
  <si>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</si>
  <si>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</si>
  <si>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</si>
  <si>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</si>
  <si>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</si>
  <si>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</si>
  <si>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</si>
  <si>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</si>
  <si>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</si>
  <si>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</si>
  <si>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</si>
  <si>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</si>
  <si>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</si>
  <si>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</si>
  <si>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</si>
  <si>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</si>
  <si>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</si>
  <si>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</si>
  <si>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</si>
  <si>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</si>
  <si>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</si>
  <si>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</si>
  <si>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</si>
  <si>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</si>
  <si>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</si>
  <si>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</si>
  <si>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</si>
  <si>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</si>
  <si>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</si>
  <si>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</si>
  <si>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</si>
  <si>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</si>
  <si>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</si>
  <si>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</si>
  <si>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</si>
  <si>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</si>
  <si>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</si>
  <si>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</si>
  <si>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</si>
  <si>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</si>
  <si>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</si>
  <si>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</si>
  <si>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</si>
  <si>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</si>
  <si>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</si>
  <si>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</si>
  <si>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</si>
  <si>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</si>
  <si>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</si>
  <si>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</si>
  <si>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</si>
  <si>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</si>
  <si>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</si>
  <si>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</si>
  <si>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</si>
  <si>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</si>
  <si>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</si>
  <si>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</si>
  <si>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</si>
  <si>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</si>
  <si>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</si>
  <si>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</si>
  <si>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</si>
  <si>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</si>
  <si>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</si>
  <si>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</si>
  <si>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</si>
  <si>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</si>
  <si>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</si>
  <si>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</si>
  <si>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</si>
  <si>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</si>
  <si>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</si>
  <si>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</si>
  <si>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</si>
  <si>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</si>
  <si>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</si>
  <si>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</si>
  <si>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</si>
  <si>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</si>
  <si>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</si>
  <si>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</si>
  <si>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</si>
  <si>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</si>
  <si>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</si>
  <si>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</si>
  <si>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</si>
  <si>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</si>
  <si>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</si>
  <si>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</si>
  <si>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</si>
  <si>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</si>
  <si>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</si>
  <si>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</si>
  <si>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</si>
  <si>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</si>
  <si>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</si>
  <si>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</si>
  <si>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</si>
  <si>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</si>
  <si>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</si>
  <si>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</si>
  <si>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</si>
  <si>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</si>
  <si>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</si>
  <si>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</si>
  <si>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</si>
  <si>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</si>
  <si>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</si>
  <si>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</si>
  <si>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</si>
  <si>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</si>
  <si>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</si>
  <si>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</si>
  <si>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</si>
  <si>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</si>
  <si>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</si>
  <si>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</si>
  <si>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</si>
  <si>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</si>
  <si>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</si>
  <si>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</si>
  <si>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</si>
  <si>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</si>
  <si>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</si>
  <si>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</si>
  <si>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</si>
  <si>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</si>
  <si>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</si>
  <si>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</si>
  <si>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</si>
  <si>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</si>
  <si>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</si>
  <si>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</si>
  <si>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</si>
  <si>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</si>
  <si>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</si>
  <si>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</si>
  <si>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</si>
  <si>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</si>
  <si>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</si>
  <si>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</si>
  <si>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</si>
  <si>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</si>
  <si>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</si>
  <si>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</si>
  <si>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</si>
  <si>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</si>
  <si>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</si>
  <si>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</si>
  <si>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</si>
  <si>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</si>
  <si>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</si>
  <si>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</si>
  <si>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</si>
  <si>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</si>
  <si>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</si>
  <si>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</si>
  <si>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</si>
  <si>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</si>
  <si>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</si>
  <si>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</si>
  <si>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</si>
  <si>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</si>
  <si>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</si>
  <si>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</si>
  <si>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</si>
  <si>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</si>
  <si>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</si>
  <si>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</si>
  <si>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</si>
  <si>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</si>
  <si>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</si>
  <si>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</si>
  <si>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</si>
  <si>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</si>
  <si>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</si>
  <si>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</si>
  <si>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</si>
  <si>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</si>
  <si>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</si>
  <si>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</si>
  <si>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</si>
  <si>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</si>
  <si>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</si>
  <si>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</si>
  <si>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</si>
  <si>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</si>
  <si>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</si>
  <si>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</si>
  <si>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</si>
  <si>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</si>
  <si>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</si>
  <si>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</si>
  <si>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</si>
  <si>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</si>
  <si>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</si>
  <si>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</si>
  <si>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</si>
  <si>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</si>
  <si>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</si>
  <si>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</si>
  <si>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</si>
  <si>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</si>
  <si>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</si>
  <si>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</si>
  <si>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</si>
  <si>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</si>
  <si>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</si>
  <si>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</si>
  <si>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</si>
  <si>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</si>
  <si>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</si>
  <si>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</si>
  <si>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</si>
  <si>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</si>
  <si>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</si>
  <si>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</si>
  <si>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</si>
  <si>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</si>
  <si>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</si>
  <si>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</si>
  <si>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</si>
  <si>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</si>
  <si>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</si>
  <si>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</si>
  <si>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</si>
  <si>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</si>
  <si>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</si>
  <si>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</si>
  <si>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</si>
  <si>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</si>
  <si>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</si>
  <si>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</si>
  <si>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</si>
  <si>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</si>
  <si>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</si>
  <si>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</si>
  <si>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</si>
  <si>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</si>
  <si>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</si>
  <si>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</si>
  <si>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</si>
  <si>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</si>
  <si>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</si>
  <si>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</si>
  <si>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</si>
  <si>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</si>
  <si>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</si>
  <si>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</si>
  <si>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</si>
  <si>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</si>
  <si>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</si>
  <si>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</si>
  <si>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</si>
  <si>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</si>
  <si>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</si>
  <si>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</si>
  <si>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r>
      <rPr>
        <sz val="10"/>
        <color theme="9" tint="-0.249977111117893"/>
        <rFont val="宋体"/>
        <family val="3"/>
        <charset val="134"/>
      </rPr>
      <t>朝阳区广渠路</t>
    </r>
    <r>
      <rPr>
        <sz val="10"/>
        <color theme="9" tint="-0.249977111117893"/>
        <rFont val="Arial"/>
        <family val="2"/>
      </rPr>
      <t>36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722</t>
    </r>
    <phoneticPr fontId="6" type="noConversion"/>
  </si>
  <si>
    <t>是</t>
  </si>
  <si>
    <t>地上</t>
  </si>
  <si>
    <t>公寓</t>
  </si>
  <si>
    <t>公寓</t>
    <phoneticPr fontId="7" type="noConversion"/>
  </si>
  <si>
    <t>成新度</t>
  </si>
  <si>
    <t>利息：取LPR加浮动点数</t>
  </si>
  <si>
    <t>收益法 (元)</t>
  </si>
  <si>
    <t>押一</t>
  </si>
  <si>
    <t>钢混</t>
  </si>
  <si>
    <t>非生产用房</t>
  </si>
  <si>
    <t>否</t>
  </si>
  <si>
    <t>单套模式</t>
  </si>
  <si>
    <t>售价</t>
  </si>
  <si>
    <t>正常</t>
  </si>
  <si>
    <t>公寓</t>
    <phoneticPr fontId="31" type="noConversion"/>
  </si>
  <si>
    <t>较好</t>
  </si>
  <si>
    <t>七通</t>
  </si>
  <si>
    <t>一般</t>
  </si>
  <si>
    <t>高区</t>
  </si>
  <si>
    <t>高区</t>
    <phoneticPr fontId="31" type="noConversion"/>
  </si>
  <si>
    <t>中区</t>
  </si>
  <si>
    <t>中区</t>
    <phoneticPr fontId="31" type="noConversion"/>
  </si>
  <si>
    <t>低区</t>
  </si>
  <si>
    <t>低区</t>
    <phoneticPr fontId="31" type="noConversion"/>
  </si>
  <si>
    <t>钢混</t>
    <phoneticPr fontId="31" type="noConversion"/>
  </si>
  <si>
    <t>精装</t>
  </si>
  <si>
    <t>精装</t>
    <phoneticPr fontId="31" type="noConversion"/>
  </si>
  <si>
    <t>普装</t>
  </si>
  <si>
    <t>普装</t>
    <phoneticPr fontId="31" type="noConversion"/>
  </si>
  <si>
    <t>超高层高</t>
  </si>
  <si>
    <t>超高层高</t>
    <phoneticPr fontId="31" type="noConversion"/>
  </si>
  <si>
    <t>复式</t>
    <phoneticPr fontId="31" type="noConversion"/>
  </si>
  <si>
    <t>比较法-办公</t>
  </si>
  <si>
    <t>现房</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</si>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</sst>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15</xdr:row>
      <xdr:rowOff>104775</xdr:rowOff>
    </xdr:from>
    <xdr:to>
      <xdr:col>13</xdr:col>
      <xdr:colOff>122702</xdr:colOff>
      <xdr:row>28</xdr:row>
      <xdr:rowOff>171163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2676525"/>
          <a:ext cx="8990477" cy="2295238"/>
        </a:xfrm>
        <a:prstGeom prst="rect">
          <a:avLst/>
        </a:prstGeom>
      </xdr:spPr>
    </xdr:pic>
    <xdr:clientData/>
  </xdr:twoCellAnchor>
  <xdr:twoCellAnchor editAs="oneCell">
    <xdr:from>
      <xdr:col>1</xdr:col>
      <xdr:colOff>371475</xdr:colOff>
      <xdr:row>86</xdr:row>
      <xdr:rowOff>66675</xdr:rowOff>
    </xdr:from>
    <xdr:to>
      <xdr:col>8</xdr:col>
      <xdr:colOff>170875</xdr:colOff>
      <xdr:row>98</xdr:row>
      <xdr:rowOff>142608</xdr:rowOff>
    </xdr:to>
    <xdr:pic>
      <xdr:nvPicPr>
        <xdr:cNvPr id="3" name="图片 2"/>
        <xdr:cNvPicPr>
          <a:picLocks noChangeAspect="1"/>
        </xdr:cNvPicPr>
      </xdr:nvPicPr>
      <xdr:blipFill>
        <a:blip xmlns:r="http://schemas.openxmlformats.org/officeDocument/2006/relationships" r:embed="rId2"/>
        <a:stretch>
          <a:fillRect/>
        </a:stretch>
      </xdr:blipFill>
      <xdr:spPr>
        <a:xfrm>
          <a:off x="1057275" y="14811375"/>
          <a:ext cx="4600000" cy="2133333"/>
        </a:xfrm>
        <a:prstGeom prst="rect">
          <a:avLst/>
        </a:prstGeom>
      </xdr:spPr>
    </xdr:pic>
    <xdr:clientData/>
  </xdr:twoCellAnchor>
  <xdr:twoCellAnchor editAs="oneCell">
    <xdr:from>
      <xdr:col>14</xdr:col>
      <xdr:colOff>276225</xdr:colOff>
      <xdr:row>1</xdr:row>
      <xdr:rowOff>66675</xdr:rowOff>
    </xdr:from>
    <xdr:to>
      <xdr:col>26</xdr:col>
      <xdr:colOff>227578</xdr:colOff>
      <xdr:row>31</xdr:row>
      <xdr:rowOff>75556</xdr:rowOff>
    </xdr:to>
    <xdr:pic>
      <xdr:nvPicPr>
        <xdr:cNvPr id="5" name="图片 4"/>
        <xdr:cNvPicPr>
          <a:picLocks noChangeAspect="1"/>
        </xdr:cNvPicPr>
      </xdr:nvPicPr>
      <xdr:blipFill>
        <a:blip xmlns:r="http://schemas.openxmlformats.org/officeDocument/2006/relationships" r:embed="rId3"/>
        <a:stretch>
          <a:fillRect/>
        </a:stretch>
      </xdr:blipFill>
      <xdr:spPr>
        <a:xfrm>
          <a:off x="9877425" y="238125"/>
          <a:ext cx="8180953" cy="5152381"/>
        </a:xfrm>
        <a:prstGeom prst="rect">
          <a:avLst/>
        </a:prstGeom>
      </xdr:spPr>
    </xdr:pic>
    <xdr:clientData/>
  </xdr:twoCellAnchor>
  <xdr:twoCellAnchor editAs="oneCell">
    <xdr:from>
      <xdr:col>14</xdr:col>
      <xdr:colOff>171450</xdr:colOff>
      <xdr:row>32</xdr:row>
      <xdr:rowOff>38100</xdr:rowOff>
    </xdr:from>
    <xdr:to>
      <xdr:col>27</xdr:col>
      <xdr:colOff>227479</xdr:colOff>
      <xdr:row>71</xdr:row>
      <xdr:rowOff>56312</xdr:rowOff>
    </xdr:to>
    <xdr:pic>
      <xdr:nvPicPr>
        <xdr:cNvPr id="6" name="图片 5"/>
        <xdr:cNvPicPr>
          <a:picLocks noChangeAspect="1"/>
        </xdr:cNvPicPr>
      </xdr:nvPicPr>
      <xdr:blipFill>
        <a:blip xmlns:r="http://schemas.openxmlformats.org/officeDocument/2006/relationships" r:embed="rId4"/>
        <a:stretch>
          <a:fillRect/>
        </a:stretch>
      </xdr:blipFill>
      <xdr:spPr>
        <a:xfrm>
          <a:off x="9772650" y="5524500"/>
          <a:ext cx="8971429" cy="6704762"/>
        </a:xfrm>
        <a:prstGeom prst="rect">
          <a:avLst/>
        </a:prstGeom>
      </xdr:spPr>
    </xdr:pic>
    <xdr:clientData/>
  </xdr:twoCellAnchor>
  <xdr:twoCellAnchor editAs="oneCell">
    <xdr:from>
      <xdr:col>14</xdr:col>
      <xdr:colOff>114300</xdr:colOff>
      <xdr:row>72</xdr:row>
      <xdr:rowOff>19050</xdr:rowOff>
    </xdr:from>
    <xdr:to>
      <xdr:col>26</xdr:col>
      <xdr:colOff>589463</xdr:colOff>
      <xdr:row>111</xdr:row>
      <xdr:rowOff>170596</xdr:rowOff>
    </xdr:to>
    <xdr:pic>
      <xdr:nvPicPr>
        <xdr:cNvPr id="7" name="图片 6"/>
        <xdr:cNvPicPr>
          <a:picLocks noChangeAspect="1"/>
        </xdr:cNvPicPr>
      </xdr:nvPicPr>
      <xdr:blipFill>
        <a:blip xmlns:r="http://schemas.openxmlformats.org/officeDocument/2006/relationships" r:embed="rId5"/>
        <a:stretch>
          <a:fillRect/>
        </a:stretch>
      </xdr:blipFill>
      <xdr:spPr>
        <a:xfrm>
          <a:off x="9715500" y="12363450"/>
          <a:ext cx="8704763" cy="6838096"/>
        </a:xfrm>
        <a:prstGeom prst="rect">
          <a:avLst/>
        </a:prstGeom>
      </xdr:spPr>
    </xdr:pic>
    <xdr:clientData/>
  </xdr:twoCellAnchor>
  <xdr:twoCellAnchor editAs="oneCell">
    <xdr:from>
      <xdr:col>0</xdr:col>
      <xdr:colOff>114300</xdr:colOff>
      <xdr:row>29</xdr:row>
      <xdr:rowOff>104775</xdr:rowOff>
    </xdr:from>
    <xdr:to>
      <xdr:col>13</xdr:col>
      <xdr:colOff>236996</xdr:colOff>
      <xdr:row>42</xdr:row>
      <xdr:rowOff>47354</xdr:rowOff>
    </xdr:to>
    <xdr:pic>
      <xdr:nvPicPr>
        <xdr:cNvPr id="8" name="图片 7"/>
        <xdr:cNvPicPr>
          <a:picLocks noChangeAspect="1"/>
        </xdr:cNvPicPr>
      </xdr:nvPicPr>
      <xdr:blipFill>
        <a:blip xmlns:r="http://schemas.openxmlformats.org/officeDocument/2006/relationships" r:embed="rId6"/>
        <a:stretch>
          <a:fillRect/>
        </a:stretch>
      </xdr:blipFill>
      <xdr:spPr>
        <a:xfrm>
          <a:off x="114300" y="5076825"/>
          <a:ext cx="9038096" cy="2171429"/>
        </a:xfrm>
        <a:prstGeom prst="rect">
          <a:avLst/>
        </a:prstGeom>
      </xdr:spPr>
    </xdr:pic>
    <xdr:clientData/>
  </xdr:twoCellAnchor>
  <xdr:twoCellAnchor editAs="oneCell">
    <xdr:from>
      <xdr:col>0</xdr:col>
      <xdr:colOff>123825</xdr:colOff>
      <xdr:row>43</xdr:row>
      <xdr:rowOff>95250</xdr:rowOff>
    </xdr:from>
    <xdr:to>
      <xdr:col>13</xdr:col>
      <xdr:colOff>170330</xdr:colOff>
      <xdr:row>83</xdr:row>
      <xdr:rowOff>122965</xdr:rowOff>
    </xdr:to>
    <xdr:pic>
      <xdr:nvPicPr>
        <xdr:cNvPr id="9" name="图片 8"/>
        <xdr:cNvPicPr>
          <a:picLocks noChangeAspect="1"/>
        </xdr:cNvPicPr>
      </xdr:nvPicPr>
      <xdr:blipFill>
        <a:blip xmlns:r="http://schemas.openxmlformats.org/officeDocument/2006/relationships" r:embed="rId7"/>
        <a:stretch>
          <a:fillRect/>
        </a:stretch>
      </xdr:blipFill>
      <xdr:spPr>
        <a:xfrm>
          <a:off x="123825" y="7467600"/>
          <a:ext cx="8961905" cy="6885715"/>
        </a:xfrm>
        <a:prstGeom prst="rect">
          <a:avLst/>
        </a:prstGeom>
      </xdr:spPr>
    </xdr:pic>
    <xdr:clientData/>
  </xdr:twoCellAnchor>
  <xdr:twoCellAnchor editAs="oneCell">
    <xdr:from>
      <xdr:col>0</xdr:col>
      <xdr:colOff>19050</xdr:colOff>
      <xdr:row>0</xdr:row>
      <xdr:rowOff>104775</xdr:rowOff>
    </xdr:from>
    <xdr:to>
      <xdr:col>13</xdr:col>
      <xdr:colOff>84603</xdr:colOff>
      <xdr:row>14</xdr:row>
      <xdr:rowOff>94951</xdr:rowOff>
    </xdr:to>
    <xdr:pic>
      <xdr:nvPicPr>
        <xdr:cNvPr id="4" name="图片 3"/>
        <xdr:cNvPicPr>
          <a:picLocks noChangeAspect="1"/>
        </xdr:cNvPicPr>
      </xdr:nvPicPr>
      <xdr:blipFill>
        <a:blip xmlns:r="http://schemas.openxmlformats.org/officeDocument/2006/relationships" r:embed="rId8"/>
        <a:stretch>
          <a:fillRect/>
        </a:stretch>
      </xdr:blipFill>
      <xdr:spPr>
        <a:xfrm>
          <a:off x="19050" y="104775"/>
          <a:ext cx="8980953"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北京市朝阳区广渠路36号院5号楼7层722房地产抵押价值预评估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受贵公司委托，我公司对北京市朝阳区广渠路36号院5号楼7层722房地产抵押价值进行了预评估。</v>
      </c>
    </row>
    <row r="7" spans="1:2" s="1203" customFormat="1">
      <c r="A7" s="1201" t="s">
        <v>566</v>
      </c>
      <c r="B7" s="1202" t="str">
        <f>'预评函-1'!A7</f>
        <v>估价对象为北京市朝阳区广渠路36号院5号楼7层722房地产，为所有。根据《国有土地使用证》[]，估价对象（分摊）出让国有建设用地使用权面积为0平方米，建筑面积为72.23平方米。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广渠路36号院5号楼7层722房地产,属开发建设的，该项目尚在开发建设中。根据《国有土地使用证》[]，估价对象（分摊）出让国有建设用地使用权面积为0平方米，规划建筑面积为72.23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378</v>
      </c>
    </row>
    <row r="21" spans="1:2" s="1203" customFormat="1">
      <c r="A21" s="1201" t="s">
        <v>537</v>
      </c>
      <c r="B21" s="1202">
        <f ca="1">'预评函-2'!D7</f>
        <v>52333</v>
      </c>
    </row>
    <row r="22" spans="1:2" s="1203" customFormat="1">
      <c r="A22" s="1201" t="s">
        <v>538</v>
      </c>
      <c r="B22" s="1202" t="str">
        <f ca="1">'预评函-2'!D6</f>
        <v>叁佰柒拾捌万元整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378</v>
      </c>
    </row>
    <row r="31" spans="1:2" s="1203" customFormat="1">
      <c r="A31" s="1201" t="s">
        <v>576</v>
      </c>
      <c r="B31" s="1202">
        <f ca="1">'预评函-2'!D15</f>
        <v>52333</v>
      </c>
    </row>
    <row r="32" spans="1:2" s="1203" customFormat="1">
      <c r="A32" s="1201" t="s">
        <v>543</v>
      </c>
      <c r="B32" s="1202" t="str">
        <f ca="1">'预评函-2'!D14</f>
        <v>叁佰柒拾捌万元整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北京市朝阳区广渠路36号院5号楼7层722房地产</v>
      </c>
    </row>
    <row r="42" spans="1:2" s="1203" customFormat="1">
      <c r="A42" s="1201" t="s">
        <v>590</v>
      </c>
      <c r="B42" s="1202" t="str">
        <f>'预评函-3'!B2</f>
        <v>建筑面积</v>
      </c>
    </row>
    <row r="43" spans="1:2" s="1203" customFormat="1">
      <c r="A43" s="1201" t="s">
        <v>591</v>
      </c>
      <c r="B43" s="1202">
        <f>'预评函-3'!B4</f>
        <v>72.23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489" t="s">
        <v>2583</v>
      </c>
      <c r="J2" s="3489"/>
      <c r="K2" s="3489"/>
      <c r="L2" s="3489"/>
      <c r="M2" s="3489"/>
      <c r="N2" s="3489"/>
      <c r="O2" s="3489"/>
      <c r="P2" s="3489"/>
      <c r="Q2" s="3489"/>
      <c r="R2" s="3489"/>
    </row>
    <row r="3" spans="1:18">
      <c r="A3" s="3020" t="s">
        <v>2504</v>
      </c>
      <c r="B3" s="3021">
        <f>项目基本情况!D3</f>
        <v>44937</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北京市朝阳区广渠路36号院5号楼7层722房地产抵押价值预评估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北京市朝阳区广渠路36号院5号楼7层722房地产抵押价值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北京市朝阳区广渠路36号院5号楼7层722房地产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01"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02"/>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t="s">
        <v>3379</v>
      </c>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55158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72.23</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2"/>
      <c r="B30" s="302" t="s">
        <v>2218</v>
      </c>
      <c r="C30" s="3493"/>
      <c r="D30" s="3494"/>
      <c r="E30" s="2664"/>
      <c r="F30" s="2664"/>
      <c r="G30" s="2664"/>
      <c r="H30" s="2664"/>
      <c r="I30" s="2664"/>
      <c r="J30" s="2439"/>
      <c r="K30" s="2616"/>
      <c r="L30" s="2613"/>
      <c r="M30" s="2613"/>
      <c r="N30" s="2439"/>
      <c r="O30" s="2450"/>
      <c r="P30" s="2439"/>
      <c r="Q30" s="2439"/>
      <c r="R30" s="2439"/>
      <c r="S30" s="2439"/>
      <c r="T30" s="2439"/>
      <c r="U30" s="2439"/>
      <c r="V30" s="2439"/>
    </row>
    <row r="31" spans="1:28">
      <c r="A31" s="349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0" t="s">
        <v>2228</v>
      </c>
      <c r="T34" s="2428" t="str">
        <f>NUMBERSTRING(7-K34,1)&amp;"通"</f>
        <v>七通</v>
      </c>
      <c r="U34" s="2439"/>
      <c r="V34" s="2439"/>
    </row>
    <row r="35" spans="1:30">
      <c r="A35" s="2429"/>
      <c r="B35" s="3497" t="s">
        <v>2229</v>
      </c>
      <c r="C35" s="3497"/>
      <c r="D35" s="3497"/>
      <c r="E35" s="349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72.23</v>
      </c>
      <c r="H5" s="13">
        <f t="shared" ref="H5:AT5" si="0">SUM(H13:H656)</f>
        <v>72.23</v>
      </c>
      <c r="I5" s="13">
        <f t="shared" si="0"/>
        <v>72.23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72.23</v>
      </c>
      <c r="BA5" s="15">
        <f t="shared" si="1"/>
        <v>72.23</v>
      </c>
      <c r="BB5" s="15">
        <f t="shared" si="1"/>
        <v>72.23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72.23</v>
      </c>
      <c r="H13" s="17">
        <f>SUMIF(I$12:AB$12,"总值",I13:AB13)</f>
        <v>72.23</v>
      </c>
      <c r="I13" s="1626">
        <v>72.23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72.23</v>
      </c>
      <c r="BA13" s="13">
        <f>SUM(BB13:BK13)</f>
        <v>72.23</v>
      </c>
      <c r="BB13" s="13">
        <f>IF($D13="是",I13-J13,0)</f>
        <v>72.23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9"/>
      <c r="G2" s="2650"/>
      <c r="H2" s="2651"/>
      <c r="I2" s="2325" t="s">
        <v>1132</v>
      </c>
      <c r="J2" s="2659"/>
      <c r="K2" s="2659"/>
      <c r="L2" s="2659"/>
      <c r="M2" s="2659"/>
      <c r="N2" s="2661"/>
      <c r="O2" s="2659"/>
      <c r="P2" s="2659"/>
    </row>
    <row r="3" spans="1:16" ht="15.75" thickBot="1">
      <c r="A3" s="3530" t="s">
        <v>1105</v>
      </c>
      <c r="B3" s="3530"/>
      <c r="C3" s="3530"/>
      <c r="D3" s="43">
        <f>'数据-基础表'!AY6</f>
        <v>0</v>
      </c>
      <c r="E3" s="43">
        <f>'数据-基础表'!AZ5</f>
        <v>72.23</v>
      </c>
      <c r="F3" s="2659"/>
      <c r="G3" s="1145"/>
      <c r="H3" s="1026" t="s">
        <v>1106</v>
      </c>
      <c r="I3" s="855" t="e">
        <f>ROUND('数据-基础表'!B3/'数据-基础表'!A3,2)</f>
        <v>#DIV/0!</v>
      </c>
      <c r="J3" s="2659"/>
      <c r="K3" s="2659"/>
      <c r="L3" s="2659"/>
      <c r="M3" s="2659"/>
      <c r="N3" s="2661"/>
      <c r="O3" s="2659"/>
      <c r="P3" s="2659"/>
    </row>
    <row r="4" spans="1:16" ht="15">
      <c r="A4" s="3531"/>
      <c r="B4" s="3532"/>
      <c r="C4" s="353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4" t="s">
        <v>1110</v>
      </c>
      <c r="C5" s="353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4" t="s">
        <v>1111</v>
      </c>
      <c r="C6" s="3534"/>
      <c r="D6" s="45">
        <f>ROUND($D$3*E6/$E$3,2)</f>
        <v>0</v>
      </c>
      <c r="E6" s="46">
        <f>E3-E5</f>
        <v>72.23</v>
      </c>
      <c r="F6" s="2659"/>
      <c r="G6" s="2653" t="s">
        <v>1112</v>
      </c>
      <c r="H6" s="1146" t="s">
        <v>1113</v>
      </c>
      <c r="I6" s="2654" t="e">
        <f>ROUND(F31/D31,2)</f>
        <v>#DIV/0!</v>
      </c>
      <c r="J6" s="2659"/>
      <c r="K6" s="2659"/>
      <c r="L6" s="2659"/>
      <c r="M6" s="2659"/>
      <c r="N6" s="2659"/>
      <c r="O6" s="2659"/>
      <c r="P6" s="2659"/>
    </row>
    <row r="7" spans="1:16" ht="15.75" thickBot="1">
      <c r="A7" s="3526"/>
      <c r="B7" s="3527"/>
      <c r="C7" s="352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72.23</v>
      </c>
      <c r="F16" s="2659"/>
      <c r="G16" s="2660"/>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3383</v>
      </c>
      <c r="D19" s="45">
        <f>ROUND($D$3*E19/$E$3,2)</f>
        <v>0</v>
      </c>
      <c r="E19" s="53">
        <f t="shared" ref="E19:E26" si="1">SUM(F19:G19)</f>
        <v>72.23</v>
      </c>
      <c r="F19" s="2795">
        <f>'数据-基础表'!I13</f>
        <v>72.23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72.23</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72.23</v>
      </c>
      <c r="F27" s="1140">
        <f>IF(SUM(F19:F26)=E8,SUM(F19:F26),"地上面积有误")</f>
        <v>72.23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72.23</v>
      </c>
      <c r="F31" s="677">
        <f>F27+F30</f>
        <v>72.23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3.3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公寓</v>
      </c>
      <c r="B6" s="1713" t="str">
        <f>IF(A6=0,"","经营性")</f>
        <v>经营性</v>
      </c>
      <c r="C6" s="1714" t="s">
        <v>673</v>
      </c>
      <c r="D6" s="858">
        <f>SUMIF(项目基本情况!C$12:I$12,C6,项目基本情况!C$14:I$14)</f>
        <v>40</v>
      </c>
      <c r="E6" s="857">
        <f>IF(B6="","",SUMIF(项目基本情况!C$12:H$12,C6,项目基本情况!C$13:H$13))</f>
        <v>55158</v>
      </c>
      <c r="F6" s="64">
        <f>SUMIF(项目基本情况!C$12:I$12,C6,项目基本情况!C$15:I$15)</f>
        <v>28</v>
      </c>
      <c r="G6" s="65">
        <f>IF(ISERROR(ROUND(POWER(1+H6,D6-F6)*(POWER(1+H6,F6)-1)/(POWER(1+H6,D6)-1),3)),0,ROUND(POWER(1+H6,D6-F6)*(POWER(1+H6,F6)-1)/(POWER(1+H6,D6)-1),3))</f>
        <v>0.86799999999999999</v>
      </c>
      <c r="H6" s="732">
        <v>0.05</v>
      </c>
      <c r="I6" s="732">
        <v>5.5E-2</v>
      </c>
      <c r="J6" s="66">
        <v>7.4999999999999997E-2</v>
      </c>
      <c r="K6" s="1030">
        <f>SUMIF('数据-汇总表'!C$19:C$33,A6,'数据-汇总表'!E$19:E$33)</f>
        <v>72.23</v>
      </c>
      <c r="L6" s="733">
        <v>4000</v>
      </c>
      <c r="M6" s="67">
        <f t="shared" ref="M6:M14" si="0">ROUND(K6*L6/10000,0)</f>
        <v>29</v>
      </c>
      <c r="N6" s="731">
        <f>(N19+N20)/2</f>
        <v>0.86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14000</v>
      </c>
      <c r="V6" s="70">
        <v>0.03</v>
      </c>
      <c r="W6" s="70">
        <v>0.1</v>
      </c>
      <c r="X6" s="1040"/>
      <c r="Y6" s="71">
        <f>N6</f>
        <v>0.86</v>
      </c>
      <c r="Z6" s="72"/>
      <c r="AA6" s="66"/>
      <c r="AB6" s="66"/>
      <c r="AC6" s="1040"/>
      <c r="AD6" s="73"/>
      <c r="AE6" s="1041">
        <f ca="1">IF(AN6="",0,SUMIF(INDIRECT("'"&amp;AN6&amp;"'"&amp;"!E:E"),$AE$5,INDIRECT("'"&amp;AN6&amp;"'"&amp;"!F:F")))</f>
        <v>28</v>
      </c>
      <c r="AF6" s="1348"/>
      <c r="AG6" s="138">
        <f>IF(AF6="",0,AE6-AF6)</f>
        <v>0</v>
      </c>
      <c r="AH6" s="74">
        <v>1</v>
      </c>
      <c r="AI6" s="76">
        <v>12</v>
      </c>
      <c r="AJ6" s="77"/>
      <c r="AK6" s="78">
        <v>0.01</v>
      </c>
      <c r="AL6" s="79">
        <v>1.5E-3</v>
      </c>
      <c r="AM6" s="80">
        <v>0.01</v>
      </c>
      <c r="AN6" s="1715" t="s">
        <v>3386</v>
      </c>
      <c r="AO6" s="52">
        <f ca="1">SUMIF(INDIRECT("'"&amp;AN6&amp;"'"&amp;"!A:A"),"总价",INDIRECT("'"&amp;AN6&amp;"'"&amp;"!B:B"))</f>
        <v>266.20170000000002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0.86799999999999999</v>
      </c>
      <c r="H16" s="90">
        <f>ROUND(SUMPRODUCT(H6:H13,K6:K13)/SUMPRODUCT((H6:H13&gt;0)*(K6:K13)),3)</f>
        <v>0.05</v>
      </c>
      <c r="I16" s="91"/>
      <c r="J16" s="91"/>
      <c r="K16" s="92">
        <f>SUM(K6:K15)</f>
        <v>72.23</v>
      </c>
      <c r="L16" s="93">
        <f>ROUND(M16*10000/SUM(K6:K14),0)</f>
        <v>4015</v>
      </c>
      <c r="M16" s="93">
        <f>SUM(M6:M14)</f>
        <v>29</v>
      </c>
      <c r="N16" s="94">
        <f>ROUND(SUMPRODUCT(M6:M14,N6:N14)/M16,3)</f>
        <v>0.86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14.25">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14.25">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5" t="s">
        <v>2286</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0" sqref="G30"/>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72.23</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44937</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378</v>
      </c>
      <c r="C5" s="2512">
        <f ca="1">IF(B5=D14,结果表!H102,ROUND(B5*10000/$B$1,0))</f>
        <v>52333</v>
      </c>
      <c r="D5" s="2512" t="e">
        <f ca="1">ROUND(B5*10000/$B$2,0)</f>
        <v>#DIV/0!</v>
      </c>
      <c r="E5" s="2686"/>
      <c r="F5" s="2687"/>
      <c r="G5" s="2687"/>
      <c r="H5" s="2688"/>
      <c r="I5" s="2688"/>
      <c r="J5" s="2688"/>
      <c r="K5" s="2688"/>
    </row>
    <row r="6" spans="1:11">
      <c r="A6" s="2512" t="s">
        <v>656</v>
      </c>
      <c r="B6" s="2512">
        <f ca="1">SUM(G14:G23)</f>
        <v>378</v>
      </c>
      <c r="C6" s="2512">
        <f ca="1">IF(B6=G14,结果表!H108,ROUND(B6*10000/$B$1,0))</f>
        <v>52333</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3367</v>
      </c>
      <c r="D10" s="2512" t="s">
        <v>3368</v>
      </c>
      <c r="E10" s="3443"/>
      <c r="F10" s="3447" t="s">
        <v>3369</v>
      </c>
      <c r="G10" s="3444"/>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'数据-汇总表'!E27</f>
        <v>72.23</v>
      </c>
      <c r="C14" s="2518"/>
      <c r="D14" s="2518">
        <f ca="1">结果表!H118</f>
        <v>378</v>
      </c>
      <c r="E14" s="2518">
        <f ca="1">ROUND(D14*10000/B14,0)</f>
        <v>52333</v>
      </c>
      <c r="F14" s="2518" t="e">
        <f ca="1">ROUND(D14*10000/C14,0)</f>
        <v>#DIV/0!</v>
      </c>
      <c r="G14" s="2518">
        <f ca="1">D14</f>
        <v>378</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t="s">
        <v>3413</v>
      </c>
      <c r="H1" s="1750" t="str">
        <f>IF(G1="现房","——","估价对象范围")</f>
        <v>——</v>
      </c>
      <c r="I1" s="1751"/>
    </row>
    <row r="2" spans="1:12" ht="21.75" customHeight="1" thickBot="1">
      <c r="A2" s="3571" t="str">
        <f>项目基本情况!S2</f>
        <v>北京市朝阳区广渠路36号院5号楼7层722房地产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3412</v>
      </c>
      <c r="D4" s="1756" t="s">
        <v>3386</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v>8</v>
      </c>
      <c r="D14" s="3574">
        <v>2</v>
      </c>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1" t="s">
        <v>2131</v>
      </c>
      <c r="F18" s="3562"/>
      <c r="G18" s="3562"/>
      <c r="H18" s="3562"/>
      <c r="I18" s="3562"/>
      <c r="K18" s="302" t="s">
        <v>1289</v>
      </c>
      <c r="L18" s="302">
        <f>IF(C1="",'数据-汇总表'!E3,SUMIF(项目类型,C1,'数据-汇总表'!E17:E26)+SUMIF(项目类型,C1,'数据-汇总表'!I17:I26))</f>
        <v>72.23</v>
      </c>
      <c r="M18" s="302">
        <f>IF(C1="",'数据-汇总表'!E3,SUMIF(项目类型,C1,'数据-汇总表'!E17:E26))</f>
        <v>72.23</v>
      </c>
    </row>
    <row r="19" spans="1:36" ht="15">
      <c r="A19" s="1761" t="s">
        <v>1290</v>
      </c>
      <c r="B19" s="1762" t="s">
        <v>1291</v>
      </c>
      <c r="C19" s="134">
        <f ca="1">SUMIF(INDIRECT("'"&amp;C4&amp;"'"&amp;"!A:A"),结果表!B19,INDIRECT("'"&amp;C4&amp;"'"&amp;"!B:B"))</f>
        <v>405.70150000000001</v>
      </c>
      <c r="D19" s="135">
        <f ca="1">SUMIF(INDIRECT("'"&amp;D4&amp;"'"&amp;"!A:A"),结果表!B19,INDIRECT("'"&amp;D4&amp;"'"&amp;"!B:B"))</f>
        <v>266.20170000000002</v>
      </c>
      <c r="E19" s="1761" t="s">
        <v>1292</v>
      </c>
      <c r="F19" s="1762" t="s">
        <v>1291</v>
      </c>
      <c r="G19" s="136">
        <f ca="1">ROUND(C19*$C$18+D19*$D$18,0)</f>
        <v>378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56168</v>
      </c>
      <c r="D20" s="138">
        <f ca="1">SUMIF(INDIRECT("'"&amp;D4&amp;"'"&amp;"!A:A"),结果表!B20,INDIRECT("'"&amp;D4&amp;"'"&amp;"!B:B"))</f>
        <v>36855</v>
      </c>
      <c r="E20" s="1764"/>
      <c r="F20" s="1026" t="s">
        <v>1295</v>
      </c>
      <c r="G20" s="139">
        <f ca="1">ROUND(C20*$C$18+D20*$D$18,0)</f>
        <v>52305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0.52403797571540678</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378</v>
      </c>
      <c r="D32" s="1775" t="s">
        <v>3414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f ca="1">ROUND(H101*F45,0)</f>
        <v>378</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3">
        <v>1</v>
      </c>
      <c r="K46" s="3601" t="s">
        <v>1331</v>
      </c>
      <c r="L46" s="3601"/>
      <c r="M46" s="3621"/>
      <c r="N46" s="3621"/>
      <c r="O46" s="3621"/>
    </row>
    <row r="47" spans="1:15" ht="12" customHeight="1">
      <c r="A47" s="160" t="s">
        <v>1332</v>
      </c>
      <c r="B47" s="161"/>
      <c r="C47" s="162"/>
      <c r="D47" s="1087" t="s">
        <v>1333</v>
      </c>
      <c r="E47" s="302" t="s">
        <v>1334</v>
      </c>
      <c r="F47" s="163" t="s">
        <v>1335</v>
      </c>
      <c r="G47" s="2546" t="s">
        <v>1336</v>
      </c>
      <c r="H47" s="2547"/>
      <c r="I47" s="159"/>
      <c r="J47" s="2523">
        <v>2</v>
      </c>
      <c r="K47" s="3601" t="s">
        <v>1337</v>
      </c>
      <c r="L47" s="3601"/>
      <c r="M47" s="3622">
        <f>'数据-取费表'!B2</f>
        <v>44937</v>
      </c>
      <c r="N47" s="3622"/>
      <c r="O47" s="3622"/>
    </row>
    <row r="48" spans="1:15" ht="25.5">
      <c r="A48" s="3570" t="s">
        <v>1338</v>
      </c>
      <c r="B48" s="3553"/>
      <c r="C48" s="355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1" t="s">
        <v>1340</v>
      </c>
      <c r="L48" s="3601"/>
      <c r="M48" s="3623">
        <f ca="1">H101</f>
        <v>378</v>
      </c>
      <c r="N48" s="3623"/>
      <c r="O48" s="3623"/>
    </row>
    <row r="49" spans="1:35" ht="25.5" customHeight="1">
      <c r="A49" s="2333" t="s">
        <v>1341</v>
      </c>
      <c r="B49" s="3537" t="s">
        <v>1342</v>
      </c>
      <c r="C49" s="3537"/>
      <c r="D49" s="1590">
        <v>0</v>
      </c>
      <c r="E49" s="324" t="s">
        <v>1343</v>
      </c>
      <c r="F49" s="2424" t="s">
        <v>28</v>
      </c>
      <c r="G49" s="3607"/>
      <c r="H49" s="2310" t="s">
        <v>2134</v>
      </c>
      <c r="I49" s="2311"/>
      <c r="J49" s="2523">
        <v>4</v>
      </c>
      <c r="K49" s="3601" t="str">
        <f>IF(项目基本情况!E8="房地产抵押价值","房地产抵押价值","抵押担保权已注销时的房地产抵押价值")</f>
        <v>房地产抵押价值</v>
      </c>
      <c r="L49" s="3601"/>
      <c r="M49" s="3623">
        <f ca="1">IF(项目基本情况!E8="房地产抵押价值",H107,H109)</f>
        <v>378</v>
      </c>
      <c r="N49" s="3623"/>
      <c r="O49" s="3623"/>
    </row>
    <row r="50" spans="1:35" ht="25.5" customHeight="1">
      <c r="A50" s="2551"/>
      <c r="B50" s="3537" t="s">
        <v>1344</v>
      </c>
      <c r="C50" s="3537"/>
      <c r="D50" s="2552"/>
      <c r="E50" s="332"/>
      <c r="F50" s="2424"/>
      <c r="G50" s="3608"/>
      <c r="H50" s="2312" t="s">
        <v>2135</v>
      </c>
      <c r="I50" s="2311"/>
      <c r="J50" s="3620" t="s">
        <v>1345</v>
      </c>
      <c r="K50" s="3620"/>
      <c r="L50" s="3620"/>
      <c r="M50" s="3620"/>
      <c r="N50" s="3620"/>
      <c r="O50" s="3620"/>
    </row>
    <row r="51" spans="1:35" ht="20.45" customHeight="1">
      <c r="A51" s="2553"/>
      <c r="B51" s="3537" t="s">
        <v>1346</v>
      </c>
      <c r="C51" s="3537"/>
      <c r="D51" s="1087"/>
      <c r="E51" s="327"/>
      <c r="F51" s="2424"/>
      <c r="G51" s="3609"/>
      <c r="H51" s="2312" t="s">
        <v>2136</v>
      </c>
      <c r="I51" s="2311"/>
      <c r="J51" s="2524" t="s">
        <v>1347</v>
      </c>
      <c r="K51" s="3601" t="s">
        <v>1348</v>
      </c>
      <c r="L51" s="3601"/>
      <c r="M51" s="2524" t="s">
        <v>1349</v>
      </c>
      <c r="N51" s="2524" t="s">
        <v>1350</v>
      </c>
      <c r="O51" s="2524" t="s">
        <v>1351</v>
      </c>
    </row>
    <row r="52" spans="1:35" ht="24" customHeight="1">
      <c r="A52" s="2335" t="s">
        <v>1352</v>
      </c>
      <c r="B52" s="3537" t="s">
        <v>1353</v>
      </c>
      <c r="C52" s="3537"/>
      <c r="D52" s="1087">
        <f ca="1">ROUND(D45*'数据-取费表'!B41/(1+'数据-取费表'!C42),0)</f>
        <v>20</v>
      </c>
      <c r="E52" s="2334" t="s">
        <v>1354</v>
      </c>
      <c r="F52" s="2554">
        <f>'数据-取费表'!B41</f>
        <v>5.6000000000000001E-2</v>
      </c>
      <c r="G52" s="2555"/>
      <c r="H52" s="2544"/>
      <c r="I52" s="1807"/>
      <c r="J52" s="2523">
        <v>1</v>
      </c>
      <c r="K52" s="3602" t="s">
        <v>1355</v>
      </c>
      <c r="L52" s="3602"/>
      <c r="M52" s="2525" t="b">
        <f>D48</f>
        <v>0</v>
      </c>
      <c r="N52" s="2523" t="str">
        <f>E48</f>
        <v>销售额×税（费）率</v>
      </c>
      <c r="O52" s="2526">
        <f>F48</f>
        <v>5.6000000000000001E-2</v>
      </c>
    </row>
    <row r="53" spans="1:35" ht="12" customHeight="1">
      <c r="A53" s="2335" t="s">
        <v>1356</v>
      </c>
      <c r="B53" s="3563" t="s">
        <v>2291</v>
      </c>
      <c r="C53" s="3564"/>
      <c r="D53" s="1087">
        <f ca="1">ROUND(D45*'数据-取费表'!B41/(1+'数据-取费表'!C42),0)</f>
        <v>20</v>
      </c>
      <c r="E53" s="2334" t="s">
        <v>1354</v>
      </c>
      <c r="F53" s="2554">
        <f>'数据-取费表'!B41</f>
        <v>5.6000000000000001E-2</v>
      </c>
      <c r="G53" s="2555"/>
      <c r="H53" s="2544"/>
      <c r="I53" s="1807"/>
      <c r="J53" s="2523">
        <v>2</v>
      </c>
      <c r="K53" s="3602" t="s">
        <v>1357</v>
      </c>
      <c r="L53" s="3602"/>
      <c r="M53" s="2525">
        <f t="shared" ref="M53:O54" ca="1" si="0">D55</f>
        <v>0</v>
      </c>
      <c r="N53" s="2523" t="str">
        <f t="shared" si="0"/>
        <v>销售额×税（费）率</v>
      </c>
      <c r="O53" s="2526" t="str">
        <f t="shared" si="0"/>
        <v>免征</v>
      </c>
    </row>
    <row r="54" spans="1:35" ht="12" customHeight="1">
      <c r="A54" s="2335" t="s">
        <v>1358</v>
      </c>
      <c r="B54" s="3563" t="s">
        <v>2292</v>
      </c>
      <c r="C54" s="3564"/>
      <c r="D54" s="1087">
        <f ca="1">C68</f>
        <v>20</v>
      </c>
      <c r="E54" s="327" t="s">
        <v>1359</v>
      </c>
      <c r="F54" s="2554">
        <f>'数据-取费表'!B41</f>
        <v>5.6000000000000001E-2</v>
      </c>
      <c r="G54" s="2555"/>
      <c r="H54" s="2556"/>
      <c r="I54" s="1807"/>
      <c r="J54" s="2523">
        <v>3</v>
      </c>
      <c r="K54" s="3602" t="s">
        <v>1360</v>
      </c>
      <c r="L54" s="3602"/>
      <c r="M54" s="2525">
        <f t="shared" ca="1" si="0"/>
        <v>214</v>
      </c>
      <c r="N54" s="2523" t="str">
        <f t="shared" si="0"/>
        <v>增值额×税（费）率</v>
      </c>
      <c r="O54" s="2527" t="str">
        <f t="shared" si="0"/>
        <v>免征</v>
      </c>
    </row>
    <row r="55" spans="1:35" ht="24" customHeight="1">
      <c r="A55" s="3552" t="s">
        <v>1361</v>
      </c>
      <c r="B55" s="3553"/>
      <c r="C55" s="3553"/>
      <c r="D55" s="2324">
        <f ca="1">IF(H55="个人住宅",0,ROUND(D45*I55,0))</f>
        <v>0</v>
      </c>
      <c r="E55" s="2334" t="s">
        <v>1362</v>
      </c>
      <c r="F55" s="2554" t="str">
        <f>IF(H55="正常",I55,"免征")</f>
        <v>免征</v>
      </c>
      <c r="G55" s="2555"/>
      <c r="H55" s="2550"/>
      <c r="I55" s="165">
        <f>'数据-取费表'!B49</f>
        <v>5.0000000000000001E-4</v>
      </c>
      <c r="J55" s="2523">
        <f>IF(H59="非个人房产","",4)</f>
        <v>4</v>
      </c>
      <c r="K55" s="3602" t="str">
        <f>IF(H59="非个人房产","——","个人所得税")</f>
        <v>个人所得税</v>
      </c>
      <c r="L55" s="3602"/>
      <c r="M55" s="2528">
        <f ca="1">D59</f>
        <v>4</v>
      </c>
      <c r="N55" s="2040" t="str">
        <f>E59</f>
        <v>差额计税</v>
      </c>
      <c r="O55" s="2529">
        <f>F59</f>
        <v>0.01</v>
      </c>
    </row>
    <row r="56" spans="1:35" ht="24.75">
      <c r="A56" s="3552" t="s">
        <v>1363</v>
      </c>
      <c r="B56" s="3553"/>
      <c r="C56" s="3553"/>
      <c r="D56" s="2324">
        <f ca="1">IF(H56="个人住宅",D57,D58)</f>
        <v>214</v>
      </c>
      <c r="E56" s="2334" t="s">
        <v>1364</v>
      </c>
      <c r="F56" s="2554" t="str">
        <f>IF(H56="正常",F58,"免征")</f>
        <v>免征</v>
      </c>
      <c r="G56" s="2557" t="s">
        <v>1365</v>
      </c>
      <c r="H56" s="2558"/>
      <c r="I56" s="1808"/>
      <c r="J56" s="2523" t="str">
        <f>IF(项目基本情况!K6="上海银行",IF(J55="",4,J55+1),"")</f>
        <v/>
      </c>
      <c r="K56" s="3625" t="str">
        <f>IF(项目基本情况!K6="上海银行","其他处置费用","")</f>
        <v/>
      </c>
      <c r="L56" s="3626"/>
      <c r="M56" s="2525" t="str">
        <f>IF(项目基本情况!K6="上海银行",M69,"")</f>
        <v/>
      </c>
      <c r="N56" s="3625" t="str">
        <f>IF(项目基本情况!K6="上海银行","包含处置中涉及的律师、诉讼、拍卖、评估等费用","")</f>
        <v/>
      </c>
      <c r="O56" s="3628"/>
    </row>
    <row r="57" spans="1:35" ht="12.75">
      <c r="A57" s="2335" t="s">
        <v>1341</v>
      </c>
      <c r="B57" s="3563" t="s">
        <v>1366</v>
      </c>
      <c r="C57" s="3564"/>
      <c r="D57" s="1590">
        <v>0</v>
      </c>
      <c r="E57" s="324" t="s">
        <v>1343</v>
      </c>
      <c r="F57" s="302"/>
      <c r="G57" s="2555"/>
      <c r="H57" s="2559"/>
      <c r="I57" s="1808"/>
      <c r="J57" s="3602">
        <f>IF(AND(J55="",J56=""),4,IF(项目基本情况!K6="上海银行",结果表!J56+1,结果表!J55+1))</f>
        <v>5</v>
      </c>
      <c r="K57" s="3602" t="s">
        <v>1367</v>
      </c>
      <c r="L57" s="2530" t="s">
        <v>1368</v>
      </c>
      <c r="M57" s="2531"/>
      <c r="N57" s="2532">
        <f ca="1">SUMIF(M52:M56,"&lt;9e307")</f>
        <v>218</v>
      </c>
      <c r="O57" s="2533"/>
      <c r="P57" s="2690">
        <f ca="1">N57/M49</f>
        <v>0.57671957671957674</v>
      </c>
    </row>
    <row r="58" spans="1:35" ht="24.75">
      <c r="A58" s="2335" t="s">
        <v>1352</v>
      </c>
      <c r="B58" s="3563" t="s">
        <v>1369</v>
      </c>
      <c r="C58" s="3537"/>
      <c r="D58" s="2324">
        <f ca="1">IF(H58="转让取得",C81,C97)</f>
        <v>214</v>
      </c>
      <c r="E58" s="2334" t="s">
        <v>1364</v>
      </c>
      <c r="F58" s="302" t="s">
        <v>28</v>
      </c>
      <c r="G58" s="2555"/>
      <c r="H58" s="2558"/>
      <c r="I58" s="1808"/>
      <c r="J58" s="3602"/>
      <c r="K58" s="3602"/>
      <c r="L58" s="2530" t="s">
        <v>1370</v>
      </c>
      <c r="M58" s="2534"/>
      <c r="N58" s="2535" t="str">
        <f ca="1">NUMBERSTRING(INT(N57*10000),2)&amp;"元整"</f>
        <v>贰佰壹拾捌万元整</v>
      </c>
      <c r="O58" s="2536"/>
    </row>
    <row r="59" spans="1:35" ht="24.75" thickBot="1">
      <c r="A59" s="3605" t="s">
        <v>1371</v>
      </c>
      <c r="B59" s="3606"/>
      <c r="C59" s="3606"/>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3">
        <f>J57+1</f>
        <v>6</v>
      </c>
      <c r="K59" s="3602" t="s">
        <v>1372</v>
      </c>
      <c r="L59" s="2523" t="s">
        <v>1368</v>
      </c>
      <c r="M59" s="2537"/>
      <c r="N59" s="2538">
        <f ca="1">M49-N57</f>
        <v>160</v>
      </c>
      <c r="O59" s="2539"/>
    </row>
    <row r="60" spans="1:35" ht="12" customHeight="1">
      <c r="A60" s="1809"/>
      <c r="B60" s="1747"/>
      <c r="C60" s="1747"/>
      <c r="D60" s="1747"/>
      <c r="E60" s="1578"/>
      <c r="F60" s="1808"/>
      <c r="G60" s="1808"/>
      <c r="H60" s="1810"/>
      <c r="I60" s="129"/>
      <c r="J60" s="3604"/>
      <c r="K60" s="3602"/>
      <c r="L60" s="2530" t="s">
        <v>1370</v>
      </c>
      <c r="M60" s="2534"/>
      <c r="N60" s="2535" t="str">
        <f ca="1">NUMBERSTRING(INT(N59*10000),2)&amp;"元整"</f>
        <v>壹佰陆拾万元整</v>
      </c>
      <c r="O60" s="2536"/>
    </row>
    <row r="61" spans="1:35" ht="13.5" thickBot="1">
      <c r="A61" s="3550" t="s">
        <v>1373</v>
      </c>
      <c r="B61" s="3550"/>
      <c r="C61" s="3550"/>
      <c r="D61" s="3550"/>
      <c r="E61" s="3550"/>
      <c r="F61" s="1808"/>
      <c r="G61" s="1808"/>
      <c r="H61" s="1810"/>
      <c r="I61" s="129"/>
      <c r="J61" s="2523">
        <f>J59+1</f>
        <v>7</v>
      </c>
      <c r="K61" s="3602" t="s">
        <v>1374</v>
      </c>
      <c r="L61" s="3602"/>
      <c r="M61" s="2540"/>
      <c r="N61" s="2541">
        <f ca="1">ROUND(N59*10000/'数据-汇总表'!E3,0)</f>
        <v>22151</v>
      </c>
      <c r="O61" s="2542"/>
    </row>
    <row r="62" spans="1:35" ht="12.75">
      <c r="A62" s="3568" t="s">
        <v>1375</v>
      </c>
      <c r="B62" s="3569"/>
      <c r="C62" s="2021"/>
      <c r="D62" s="2021" t="s">
        <v>1376</v>
      </c>
      <c r="E62" s="166" t="s">
        <v>1377</v>
      </c>
      <c r="F62" s="1808"/>
      <c r="G62" s="1808"/>
      <c r="H62" s="1810"/>
      <c r="I62" s="129"/>
    </row>
    <row r="63" spans="1:35" ht="12.75">
      <c r="A63" s="173" t="s">
        <v>330</v>
      </c>
      <c r="B63" s="167" t="s">
        <v>1378</v>
      </c>
      <c r="C63" s="2564">
        <f ca="1">ROUND((C64+C65)/(1+'数据-取费表'!C42),0)</f>
        <v>360</v>
      </c>
      <c r="D63" s="167"/>
      <c r="E63" s="168"/>
      <c r="F63" s="1808"/>
      <c r="G63" s="1808"/>
      <c r="H63" s="1810"/>
      <c r="I63" s="129"/>
      <c r="J63" s="3627" t="s">
        <v>1379</v>
      </c>
      <c r="K63" s="1332" t="s">
        <v>1380</v>
      </c>
      <c r="L63" s="1332">
        <f ca="1">IF(M49&gt;10000,M49*0.5%,IF(AND(M49&gt;1000,M49&lt;=10000),M49*1%,IF(AND(M49&gt;100,M49&lt;=1000),M49*3%,IF(AND(M49&gt;10,M49&lt;=100),M49*5%,M49*8%))))</f>
        <v>11.34</v>
      </c>
      <c r="M63" s="302">
        <f ca="1">ROUND(L63,1)</f>
        <v>11.3</v>
      </c>
      <c r="N63" s="2543"/>
      <c r="Z63" s="1752"/>
      <c r="AI63" s="1753"/>
    </row>
    <row r="64" spans="1:35" ht="14.25" customHeight="1">
      <c r="A64" s="169" t="s">
        <v>325</v>
      </c>
      <c r="B64" s="170" t="s">
        <v>1381</v>
      </c>
      <c r="C64" s="2565">
        <f ca="1">D45</f>
        <v>378</v>
      </c>
      <c r="D64" s="170" t="s">
        <v>26</v>
      </c>
      <c r="E64" s="172"/>
      <c r="F64" s="1808"/>
      <c r="G64" s="1808"/>
      <c r="H64" s="1810"/>
      <c r="I64" s="129"/>
      <c r="J64" s="3627"/>
      <c r="K64" s="1332" t="s">
        <v>1382</v>
      </c>
      <c r="L64" s="1332">
        <f ca="1">IF(M49&gt;2000,M49*0.5%,IF(AND(M49&gt;1000,M49&lt;=2000),M49*0.6%,IF(AND(M49&gt;500,M49&lt;=1000),M49*0.7%,IF(AND(M49&gt;200,M49&lt;=500),M49*0.8%,IF(AND(M49&gt;100,M49&lt;=200),M49*0.9%,IF(AND(M49&gt;50,M49&lt;=100),M49*1%,IF(AND(M49&gt;20,M49&lt;=50),M49*1.5%,IF(AND(M49&gt;10,M49&lt;=20),M49*2%,IF(AND(M49&gt;1,M49&lt;=10),M49*2.5%)))))))))</f>
        <v>3.024</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627"/>
      <c r="K65" s="1332" t="s">
        <v>1385</v>
      </c>
      <c r="L65" s="1332">
        <f ca="1">IF(M49&gt;1000,M49*0.1%,IF(AND(M49&gt;500,M49&lt;=1000),M49*0.5%,IF(AND(M49&gt;50,M49&lt;=500),M49*1%,IF(AND(M49&gt;1,M49&lt;=50),M49*1.5%))))</f>
        <v>3.7800000000000002</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627"/>
      <c r="K66" s="1332" t="s">
        <v>1387</v>
      </c>
      <c r="L66" s="1332">
        <f ca="1">M49*0.5%</f>
        <v>1.8900000000000001</v>
      </c>
      <c r="M66" s="302">
        <f ca="1">IF(L66&gt;0.5,0.5,ROUND(L66,0))</f>
        <v>0.5</v>
      </c>
      <c r="N66" s="2544" t="s">
        <v>1388</v>
      </c>
      <c r="Z66" s="1752"/>
      <c r="AI66" s="1753"/>
    </row>
    <row r="67" spans="1:35" ht="14.25" customHeight="1">
      <c r="A67" s="173" t="s">
        <v>328</v>
      </c>
      <c r="B67" s="174" t="s">
        <v>1389</v>
      </c>
      <c r="C67" s="2568">
        <f ca="1">C63-C66</f>
        <v>360</v>
      </c>
      <c r="D67" s="170" t="s">
        <v>26</v>
      </c>
      <c r="E67" s="172"/>
      <c r="F67" s="1808"/>
      <c r="G67" s="1808"/>
      <c r="H67" s="1810"/>
      <c r="I67" s="129"/>
      <c r="J67" s="3627"/>
      <c r="K67" s="1332" t="s">
        <v>1390</v>
      </c>
      <c r="L67" s="1332">
        <f ca="1">IF(M49&gt;=10000,(8.25+(M49-10000)*0.01%),IF(AND(M49&gt;=8000,M49&lt;10000),(7.85+(M49-8000)*0.02%),IF(AND(M49&gt;=5000,M49&lt;8000),(6.65+(M49-5000)*0.04%),IF(AND(M49&gt;=2000,M49&lt;5000),(4.25+(PM49-2000)*0.08%),IF(AND(M49&gt;=1000,M49&lt;2000),(2.75+(M49-1000)*0.15%),IF(AND(M49&gt;=100,M49&lt;1000),(0.5+(M49-100)*0.25%),IF(AND(M49&gt;0,M49&lt;100),M49*0.5%)))))))</f>
        <v>1.1950000000000001</v>
      </c>
      <c r="M67" s="302">
        <f ca="1">ROUND(L67*0.9,1)</f>
        <v>1.1000000000000001</v>
      </c>
      <c r="N67" s="2543"/>
      <c r="Z67" s="1752"/>
      <c r="AI67" s="1753"/>
    </row>
    <row r="68" spans="1:35" ht="14.25" customHeight="1" thickBot="1">
      <c r="A68" s="176" t="s">
        <v>329</v>
      </c>
      <c r="B68" s="177" t="s">
        <v>1391</v>
      </c>
      <c r="C68" s="2569">
        <f ca="1">IF(C67&lt;=0,0,ROUND(C67*D68,0))</f>
        <v>20</v>
      </c>
      <c r="D68" s="2570">
        <f>'数据-取费表'!B41</f>
        <v>5.6000000000000001E-2</v>
      </c>
      <c r="E68" s="178"/>
      <c r="F68" s="1808"/>
      <c r="G68" s="1808"/>
      <c r="H68" s="1810"/>
      <c r="I68" s="129"/>
      <c r="J68" s="3627"/>
      <c r="K68" s="1332" t="s">
        <v>1392</v>
      </c>
      <c r="L68" s="1332">
        <f ca="1">IF(M49&gt;10000,M49*0.5%,IF(AND(M49&gt;5000,M49&lt;=10000),M49*1%,IF(AND(M49&gt;1000,M49&lt;=5000),M49*2%,IF(AND(M49&gt;200,M49&lt;=1000),M49*3%,M49*5%))))</f>
        <v>11.34</v>
      </c>
      <c r="M68" s="302">
        <f ca="1">ROUND(L68,1)</f>
        <v>11.3</v>
      </c>
      <c r="N68" s="2543"/>
      <c r="Z68" s="1752"/>
      <c r="AI68" s="1753"/>
    </row>
    <row r="69" spans="1:35" s="1772" customFormat="1" ht="16.5" customHeight="1">
      <c r="A69" s="1811"/>
      <c r="B69" s="1812"/>
      <c r="C69" s="1813"/>
      <c r="D69" s="1814"/>
      <c r="E69" s="1815"/>
      <c r="F69" s="1578"/>
      <c r="G69" s="1578"/>
      <c r="H69" s="1577"/>
      <c r="I69" s="1747"/>
      <c r="J69" s="3627"/>
      <c r="K69" s="1332" t="s">
        <v>1393</v>
      </c>
      <c r="L69" s="1332"/>
      <c r="M69" s="302">
        <f ca="1">ROUND(SUM(M63:M68),0)</f>
        <v>31</v>
      </c>
      <c r="N69" s="2545">
        <f ca="1">M69/M49</f>
        <v>8.2010582010582006E-2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1394</v>
      </c>
      <c r="B70" s="3590"/>
      <c r="C70" s="3590"/>
      <c r="D70" s="3590"/>
      <c r="E70" s="3590"/>
      <c r="F70" s="3590"/>
      <c r="G70" s="3590"/>
      <c r="H70" s="359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1375</v>
      </c>
      <c r="B71" s="356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9" t="s">
        <v>2129</v>
      </c>
      <c r="H90" s="363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7" t="s">
        <v>1422</v>
      </c>
      <c r="F92" s="3548"/>
      <c r="G92" s="3548"/>
      <c r="H92" s="355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5" t="str">
        <f>C4</f>
        <v>比较法-办公</v>
      </c>
      <c r="D101" s="2586" t="str">
        <f>D4</f>
        <v>收益法 (元)</v>
      </c>
      <c r="E101" s="3624" t="s">
        <v>1431</v>
      </c>
      <c r="F101" s="3581"/>
      <c r="G101" s="1827" t="s">
        <v>1432</v>
      </c>
      <c r="H101" s="2595">
        <f ca="1">H118</f>
        <v>378</v>
      </c>
      <c r="I101" s="129"/>
    </row>
    <row r="102" spans="1:35" ht="18.75" customHeight="1">
      <c r="A102" s="3583" t="s">
        <v>1433</v>
      </c>
      <c r="B102" s="2584" t="s">
        <v>1432</v>
      </c>
      <c r="C102" s="2585">
        <f ca="1">IF(D32="楼面单价",ROUND(C19,0),C19)</f>
        <v>405.70150000000001</v>
      </c>
      <c r="D102" s="2586">
        <f ca="1">IF(D32="楼面单价",ROUND(D19,0),D19)</f>
        <v>266.20170000000002</v>
      </c>
      <c r="E102" s="3624"/>
      <c r="F102" s="3581"/>
      <c r="G102" s="1827" t="s">
        <v>1434</v>
      </c>
      <c r="H102" s="2555">
        <f ca="1">I118</f>
        <v>52333</v>
      </c>
      <c r="I102" s="129"/>
    </row>
    <row r="103" spans="1:35" ht="42.75" customHeight="1">
      <c r="A103" s="3583"/>
      <c r="B103" s="2584" t="s">
        <v>1434</v>
      </c>
      <c r="C103" s="2587">
        <f ca="1">C20</f>
        <v>56168</v>
      </c>
      <c r="D103" s="2588">
        <f ca="1">D20</f>
        <v>36855</v>
      </c>
      <c r="E103" s="3618" t="s">
        <v>1435</v>
      </c>
      <c r="F103" s="3619"/>
      <c r="G103" s="1828" t="s">
        <v>1436</v>
      </c>
      <c r="H103" s="2595">
        <f>IF(D36="正常操作",H104+H105+H106,H105+H106)</f>
        <v>0</v>
      </c>
      <c r="I103" s="129"/>
    </row>
    <row r="104" spans="1:35" ht="18.75" customHeight="1">
      <c r="A104" s="3583" t="s">
        <v>1437</v>
      </c>
      <c r="B104" s="2589" t="s">
        <v>1432</v>
      </c>
      <c r="C104" s="2590">
        <f ca="1">H118</f>
        <v>378</v>
      </c>
      <c r="D104" s="2591"/>
      <c r="E104" s="1674" t="s">
        <v>1438</v>
      </c>
      <c r="F104" s="1666"/>
      <c r="G104" s="1828" t="s">
        <v>1436</v>
      </c>
      <c r="H104" s="2596">
        <f>IF(D36="同一抵押权人同一抵押物续贷",C36&amp;"（续贷，未扣减，详见特别提示）",C36)</f>
        <v>0</v>
      </c>
      <c r="I104" s="129"/>
    </row>
    <row r="105" spans="1:35" ht="18.75" customHeight="1" thickBot="1">
      <c r="A105" s="3584"/>
      <c r="B105" s="2592" t="s">
        <v>1434</v>
      </c>
      <c r="C105" s="2593">
        <f ca="1">I118</f>
        <v>52333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81"/>
      <c r="G107" s="1827" t="s">
        <v>1432</v>
      </c>
      <c r="H107" s="2595">
        <f ca="1">IF(E107="——","——",H101-H103)</f>
        <v>378</v>
      </c>
      <c r="I107" s="129"/>
    </row>
    <row r="108" spans="1:35" ht="18.75" customHeight="1">
      <c r="A108" s="129"/>
      <c r="B108" s="129"/>
      <c r="C108" s="129"/>
      <c r="D108" s="129"/>
      <c r="E108" s="3580"/>
      <c r="F108" s="3581"/>
      <c r="G108" s="1827" t="s">
        <v>1434</v>
      </c>
      <c r="H108" s="2555">
        <f ca="1">IF(H107=H101,H102,ROUND(H107*10000/'数据-汇总表'!E3,0))</f>
        <v>52333</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580"/>
      <c r="F110" s="3581"/>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北京市朝阳区广渠路36号院5号楼7层722房地产</v>
      </c>
      <c r="B118" s="2329">
        <f>M18</f>
        <v>72.23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378</v>
      </c>
      <c r="I118" s="2329">
        <f ca="1">ROUND(IF(D32="楼面单价",C32,H118*10000/B118),0)</f>
        <v>52333</v>
      </c>
    </row>
    <row r="119" spans="1:27" ht="18.75" customHeight="1">
      <c r="A119" s="3551" t="s">
        <v>1452</v>
      </c>
      <c r="B119" s="3551"/>
      <c r="C119" s="3551"/>
      <c r="D119" s="3591" t="e">
        <f ca="1">NUMBERSTRING(INT(D118*10000),2)&amp;"元整"</f>
        <v>#REF!</v>
      </c>
      <c r="E119" s="3593"/>
      <c r="F119" s="3591" t="e">
        <f ca="1">NUMBERSTRING(INT(F118*10000),2)&amp;"元整"</f>
        <v>#REF!</v>
      </c>
      <c r="G119" s="3593"/>
      <c r="H119" s="3591" t="str">
        <f ca="1">NUMBERSTRING(INT(H118*10000),2)&amp;"元整"</f>
        <v>叁佰柒拾捌万元整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378</v>
      </c>
      <c r="E122" s="3616"/>
      <c r="F122" s="3616"/>
      <c r="G122" s="3616"/>
      <c r="H122" s="3616"/>
      <c r="I122" s="3617"/>
      <c r="AA122" s="725"/>
    </row>
    <row r="123" spans="1:27" ht="18.75" customHeight="1">
      <c r="A123" s="3551" t="s">
        <v>1452</v>
      </c>
      <c r="B123" s="3551"/>
      <c r="C123" s="3551"/>
      <c r="D123" s="3591" t="str">
        <f ca="1">NUMBERSTRING(INT(D122*10000),2)&amp;"元整"</f>
        <v>叁佰柒拾捌万元整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72.23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72.23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0.86</v>
      </c>
      <c r="G50" s="247" t="s">
        <v>1557</v>
      </c>
    </row>
    <row r="51" spans="1:7" ht="16.5" customHeight="1">
      <c r="A51" s="255" t="s">
        <v>1558</v>
      </c>
      <c r="B51" s="210" t="s">
        <v>1559</v>
      </c>
      <c r="C51" s="232">
        <f ca="1">ROUND(C49*F50,0)</f>
        <v>35</v>
      </c>
      <c r="D51" s="232"/>
      <c r="E51" s="232"/>
      <c r="F51" s="264"/>
      <c r="G51" s="234" t="s">
        <v>1560</v>
      </c>
    </row>
    <row r="52" spans="1:7" s="208" customFormat="1" ht="16.5"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北京市朝阳区广渠路36号院5号楼7层722房地产抵押价值预评估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39.768700000000003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14446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14446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14446</v>
      </c>
      <c r="D10" s="845">
        <f ca="1">IF(B1="",'数据-汇总表'!E6,IF(INDIRECT("'数据-取费表'!c"&amp;$G$1)="住宅",INDIRECT("'数据-取费表'!s"&amp;$G$1),INDIRECT("'数据-取费表'!k"&amp;$G$1)+INDIRECT("'数据-取费表'!s"&amp;$G$1)))</f>
        <v>72.23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14446</v>
      </c>
      <c r="D19" s="849">
        <f ca="1">D9+D10</f>
        <v>72.23</v>
      </c>
      <c r="E19" s="211">
        <f>'数据-取费表'!B31</f>
        <v>200</v>
      </c>
      <c r="F19" s="231"/>
      <c r="G19" s="1856"/>
    </row>
    <row r="20" spans="1:7" s="214" customFormat="1" ht="13.5" customHeight="1">
      <c r="A20" s="255" t="s">
        <v>1574</v>
      </c>
      <c r="B20" s="210" t="s">
        <v>1575</v>
      </c>
      <c r="C20" s="232">
        <f ca="1">ROUND((C5+C19)*F20,0)</f>
        <v>578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1224</v>
      </c>
      <c r="D24" s="238"/>
      <c r="E24" s="238"/>
      <c r="F24" s="239"/>
      <c r="G24" s="240" t="s">
        <v>1586</v>
      </c>
    </row>
    <row r="25" spans="1:7" s="214" customFormat="1" ht="24">
      <c r="A25" s="780" t="s">
        <v>1476</v>
      </c>
      <c r="B25" s="215" t="s">
        <v>1587</v>
      </c>
      <c r="C25" s="1128">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4421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39401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316368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288920</v>
      </c>
      <c r="D34" s="217"/>
      <c r="E34" s="220"/>
      <c r="F34" s="257"/>
      <c r="G34" s="219"/>
    </row>
    <row r="35" spans="1:7" ht="13.5" customHeight="1">
      <c r="A35" s="780" t="s">
        <v>351</v>
      </c>
      <c r="B35" s="215" t="s">
        <v>1527</v>
      </c>
      <c r="C35" s="220">
        <f ca="1">ROUND(C34*F35,0)</f>
        <v>8668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14446</v>
      </c>
      <c r="D37" s="217">
        <f ca="1">D19</f>
        <v>72.23</v>
      </c>
      <c r="E37" s="249">
        <f>'数据-取费表'!B35</f>
        <v>200</v>
      </c>
      <c r="F37" s="259"/>
      <c r="G37" s="261"/>
    </row>
    <row r="38" spans="1:7" ht="13.5" customHeight="1">
      <c r="A38" s="780" t="s">
        <v>354</v>
      </c>
      <c r="B38" s="215" t="s">
        <v>1533</v>
      </c>
      <c r="C38" s="220">
        <f ca="1">ROUND(C34*F38,0)</f>
        <v>4334</v>
      </c>
      <c r="D38" s="220"/>
      <c r="E38" s="220"/>
      <c r="F38" s="259">
        <f>'数据-取费表'!B36</f>
        <v>1.4999999999999999E-2</v>
      </c>
      <c r="G38" s="219" t="s">
        <v>1528</v>
      </c>
    </row>
    <row r="39" spans="1:7" s="214" customFormat="1" ht="13.5" customHeight="1">
      <c r="A39" s="255" t="s">
        <v>1534</v>
      </c>
      <c r="B39" s="210" t="s">
        <v>1535</v>
      </c>
      <c r="C39" s="232">
        <f ca="1">ROUND(C33*F20,0)</f>
        <v>6327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13392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13129</v>
      </c>
      <c r="D42" s="238"/>
      <c r="E42" s="238"/>
      <c r="F42" s="239"/>
      <c r="G42" s="3631" t="s">
        <v>1591</v>
      </c>
    </row>
    <row r="43" spans="1:7" ht="13.5" customHeight="1">
      <c r="A43" s="780" t="s">
        <v>347</v>
      </c>
      <c r="B43" s="215" t="s">
        <v>1545</v>
      </c>
      <c r="C43" s="238">
        <f ca="1">ROUND(IF('数据-取费表'!B22&lt;=1,C39*F22*'数据-取费表'!B20/2,C39*(POWER((1+F22),'数据-取费表'!B20/2)-1)),0)</f>
        <v>263</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48404</v>
      </c>
      <c r="D45" s="235">
        <f ca="1">C47</f>
        <v>3.0000000000000001E-3</v>
      </c>
      <c r="E45" s="236" t="s">
        <v>1539</v>
      </c>
      <c r="F45" s="246">
        <f ca="1">F27</f>
        <v>0.15</v>
      </c>
      <c r="G45" s="247" t="s">
        <v>1548</v>
      </c>
    </row>
    <row r="46" spans="1:7" s="214" customFormat="1" ht="13.5" customHeight="1">
      <c r="A46" s="780" t="s">
        <v>346</v>
      </c>
      <c r="B46" s="248" t="s">
        <v>1549</v>
      </c>
      <c r="C46" s="249">
        <f ca="1">ROUND((C33+C39)*F27,0)</f>
        <v>48404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416612</v>
      </c>
      <c r="D49" s="232"/>
      <c r="E49" s="232"/>
      <c r="F49" s="264"/>
      <c r="G49" s="234" t="s">
        <v>1554</v>
      </c>
    </row>
    <row r="50" spans="1:7" s="258" customFormat="1">
      <c r="A50" s="255" t="s">
        <v>1555</v>
      </c>
      <c r="B50" s="210" t="s">
        <v>1556</v>
      </c>
      <c r="C50" s="232"/>
      <c r="D50" s="232"/>
      <c r="E50" s="232"/>
      <c r="F50" s="264">
        <f>IF('数据-取费表'!B24=0,'数据-取费表'!N16,1)</f>
        <v>0.86</v>
      </c>
      <c r="G50" s="247"/>
    </row>
    <row r="51" spans="1:7" ht="16.5" customHeight="1">
      <c r="A51" s="255" t="s">
        <v>1558</v>
      </c>
      <c r="B51" s="210" t="s">
        <v>1593</v>
      </c>
      <c r="C51" s="232">
        <f ca="1">ROUND(C49*F50,0)</f>
        <v>358286</v>
      </c>
      <c r="D51" s="232"/>
      <c r="E51" s="232"/>
      <c r="F51" s="264"/>
      <c r="G51" s="234" t="s">
        <v>1560</v>
      </c>
    </row>
    <row r="52" spans="1:7" s="208" customFormat="1" ht="16.5" thickBot="1">
      <c r="A52" s="265" t="s">
        <v>1561</v>
      </c>
      <c r="B52" s="266"/>
      <c r="C52" s="267">
        <f ca="1">C31+C51</f>
        <v>397687</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72.23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0" zoomScaleNormal="70" zoomScaleSheetLayoutView="80" workbookViewId="0">
      <selection activeCell="C48" sqref="C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3382</v>
      </c>
      <c r="E1" s="3435"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405.70150000000001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56168</v>
      </c>
      <c r="C3" s="354" t="s">
        <v>1768</v>
      </c>
      <c r="D3" s="353">
        <f>IF(D1="",'数据-汇总表'!E3,SUMIF('数据-汇总表'!$C19:$C33,D1,'数据-汇总表'!$E19:$E33))</f>
        <v>72.23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5"/>
      <c r="M5" s="2716"/>
      <c r="N5" s="2716"/>
      <c r="O5" s="2716"/>
      <c r="P5" s="3714"/>
      <c r="Q5" s="3685"/>
      <c r="R5" s="3690"/>
      <c r="S5" s="3691"/>
      <c r="T5" s="3690"/>
      <c r="U5" s="3691"/>
      <c r="V5" s="3694"/>
      <c r="W5" s="3694"/>
      <c r="X5" s="1355"/>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715"/>
      <c r="Q6" s="3687"/>
      <c r="R6" s="3690"/>
      <c r="S6" s="3691"/>
      <c r="T6" s="3692"/>
      <c r="U6" s="3693"/>
      <c r="V6" s="3694"/>
      <c r="W6" s="3694"/>
      <c r="X6" s="1355"/>
      <c r="Y6" s="3692"/>
      <c r="Z6" s="3693"/>
      <c r="AA6" s="3677"/>
      <c r="AB6" s="3677"/>
      <c r="AC6" s="3711"/>
    </row>
    <row r="7" spans="1:29" s="108" customFormat="1" ht="15.75" thickBot="1">
      <c r="A7" s="362" t="s">
        <v>1679</v>
      </c>
      <c r="B7" s="363"/>
      <c r="C7" s="364">
        <f>'数据-取费表'!B2</f>
        <v>44937</v>
      </c>
      <c r="D7" s="365">
        <v>100</v>
      </c>
      <c r="E7" s="366">
        <v>44866</v>
      </c>
      <c r="F7" s="367">
        <f>SUMIF(59:59,YEAR(E7)&amp;"-"&amp;MONTH(E7),60:60)</f>
        <v>100</v>
      </c>
      <c r="G7" s="366">
        <v>44713</v>
      </c>
      <c r="H7" s="365">
        <f>SUMIF(59:59,YEAR(G7)&amp;"-"&amp;MONTH(G7),60:60)</f>
        <v>100</v>
      </c>
      <c r="I7" s="366">
        <v>44934</v>
      </c>
      <c r="J7" s="365">
        <f>SUMIF(59:59,YEAR(I7)&amp;"-"&amp;MONTH(I7),60:60)</f>
        <v>100</v>
      </c>
      <c r="K7" s="560"/>
      <c r="L7" s="2717"/>
      <c r="M7" s="2718"/>
      <c r="N7" s="2718"/>
      <c r="O7" s="2718"/>
      <c r="P7" s="3719" t="s">
        <v>1680</v>
      </c>
      <c r="Q7" s="3701"/>
      <c r="R7" s="701" t="s">
        <v>14</v>
      </c>
      <c r="S7" s="702">
        <f t="shared" ref="S7:S15" si="0">F7</f>
        <v>100</v>
      </c>
      <c r="T7" s="701" t="s">
        <v>14</v>
      </c>
      <c r="U7" s="702">
        <f t="shared" ref="U7:U15" si="1">H7</f>
        <v>100</v>
      </c>
      <c r="V7" s="701" t="s">
        <v>14</v>
      </c>
      <c r="W7" s="702">
        <f t="shared" ref="W7:W15" si="2">J7</f>
        <v>100</v>
      </c>
      <c r="X7" s="703"/>
      <c r="Y7" s="3699" t="s">
        <v>1680</v>
      </c>
      <c r="Z7" s="3700"/>
      <c r="AA7" s="704">
        <f>D7/F7</f>
        <v>1</v>
      </c>
      <c r="AB7" s="704">
        <f>D7/H7</f>
        <v>1</v>
      </c>
      <c r="AC7" s="1959">
        <f>D7/J7</f>
        <v>1</v>
      </c>
    </row>
    <row r="8" spans="1:29" s="108" customFormat="1" ht="15.75" thickBot="1">
      <c r="A8" s="362" t="s">
        <v>1681</v>
      </c>
      <c r="B8" s="363"/>
      <c r="C8" s="368" t="s">
        <v>3393</v>
      </c>
      <c r="D8" s="365">
        <v>100</v>
      </c>
      <c r="E8" s="368" t="s">
        <v>3393</v>
      </c>
      <c r="F8" s="367">
        <f>SUMIF(62:62,E8,63:63)-SUMIF(62:62,C8,63:63)+100</f>
        <v>100</v>
      </c>
      <c r="G8" s="368" t="s">
        <v>3393</v>
      </c>
      <c r="H8" s="365">
        <f>SUMIF(62:62,G8,63:63)-SUMIF(62:62,C8,63:63)+100</f>
        <v>100</v>
      </c>
      <c r="I8" s="368" t="s">
        <v>3393</v>
      </c>
      <c r="J8" s="365">
        <f>SUMIF(62:62,I8,63:63)-SUMIF(62:62,C8,63:63)+100</f>
        <v>100</v>
      </c>
      <c r="K8" s="560"/>
      <c r="L8" s="2717"/>
      <c r="M8" s="2718"/>
      <c r="N8" s="2718"/>
      <c r="O8" s="2718"/>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ht="15">
      <c r="A9" s="369" t="s">
        <v>1684</v>
      </c>
      <c r="B9" s="63" t="s">
        <v>1685</v>
      </c>
      <c r="C9" s="3787" t="s">
        <v>3394</v>
      </c>
      <c r="D9" s="126">
        <v>100</v>
      </c>
      <c r="E9" s="373" t="s">
        <v>3382</v>
      </c>
      <c r="F9" s="126">
        <f>SUMIF(64:64,E9,65:65)-SUMIF(64:64,C9,65:65)+100</f>
        <v>100</v>
      </c>
      <c r="G9" s="373" t="s">
        <v>3382</v>
      </c>
      <c r="H9" s="126">
        <f>SUMIF(64:64,G9,65:65)-SUMIF(64:64,C9,65:65)+100</f>
        <v>100</v>
      </c>
      <c r="I9" s="373" t="s">
        <v>3382</v>
      </c>
      <c r="J9" s="126">
        <f>SUMIF(64:64,I9,65:65)-SUMIF(64:64,C9,65:65)+100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73"/>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t="s">
        <v>3395</v>
      </c>
      <c r="D18" s="401"/>
      <c r="E18" s="1964" t="s">
        <v>3395</v>
      </c>
      <c r="F18" s="401"/>
      <c r="G18" s="1964" t="s">
        <v>3395</v>
      </c>
      <c r="H18" s="399"/>
      <c r="I18" s="1964" t="s">
        <v>3395</v>
      </c>
      <c r="J18" s="399"/>
      <c r="K18" s="564"/>
      <c r="L18" s="2722"/>
      <c r="M18" s="2716"/>
      <c r="N18" s="2716"/>
      <c r="O18" s="2716"/>
      <c r="P18" s="3673"/>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73"/>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673"/>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3"/>
      <c r="Q26" s="1352"/>
      <c r="R26" s="705"/>
      <c r="S26" s="706"/>
      <c r="T26" s="705"/>
      <c r="U26" s="706"/>
      <c r="V26" s="705"/>
      <c r="W26" s="706"/>
      <c r="X26" s="1355"/>
      <c r="Y26" s="3666"/>
      <c r="Z26" s="1356"/>
      <c r="AA26" s="1353">
        <v>1</v>
      </c>
      <c r="AB26" s="1353">
        <v>1</v>
      </c>
      <c r="AC26" s="1962">
        <v>1</v>
      </c>
    </row>
    <row r="27" spans="1:29" ht="15">
      <c r="A27" s="379"/>
      <c r="B27" s="580" t="s">
        <v>1783</v>
      </c>
      <c r="C27" s="582" t="s">
        <v>3400</v>
      </c>
      <c r="D27" s="386">
        <v>100</v>
      </c>
      <c r="E27" s="565" t="s">
        <v>3400</v>
      </c>
      <c r="F27" s="386">
        <f>SUMIF(89:89,E27,90:90)-SUMIF(89:89,C27,90:90)+100</f>
        <v>100</v>
      </c>
      <c r="G27" s="582" t="s">
        <v>3402</v>
      </c>
      <c r="H27" s="386">
        <f>SUMIF(89:89,G27,90:90)-SUMIF(89:89,C27,90:90)+100</f>
        <v>98</v>
      </c>
      <c r="I27" s="565" t="s">
        <v>3398</v>
      </c>
      <c r="J27" s="386">
        <f>SUMIF(89:89,I27,90:90)-SUMIF(89:89,C27,90:90)+100</f>
        <v>102</v>
      </c>
      <c r="K27" s="561">
        <v>2</v>
      </c>
      <c r="L27" s="2722"/>
      <c r="M27" s="2716"/>
      <c r="N27" s="2716"/>
      <c r="O27" s="2716"/>
      <c r="P27" s="3673"/>
      <c r="Q27" s="1352" t="str">
        <f t="shared" ref="Q27:Q47" si="11">B27</f>
        <v>楼层</v>
      </c>
      <c r="R27" s="705" t="s">
        <v>14</v>
      </c>
      <c r="S27" s="706">
        <f>F27</f>
        <v>100</v>
      </c>
      <c r="T27" s="705" t="s">
        <v>14</v>
      </c>
      <c r="U27" s="706">
        <f>H27</f>
        <v>98</v>
      </c>
      <c r="V27" s="705" t="s">
        <v>14</v>
      </c>
      <c r="W27" s="706">
        <f>J27</f>
        <v>102</v>
      </c>
      <c r="X27" s="1355"/>
      <c r="Y27" s="3666"/>
      <c r="Z27" s="1356" t="str">
        <f>Q27</f>
        <v>楼层</v>
      </c>
      <c r="AA27" s="1353">
        <f t="shared" si="3"/>
        <v>1</v>
      </c>
      <c r="AB27" s="1353">
        <f t="shared" si="4"/>
        <v>1.0204081632653061</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22"/>
      <c r="M33" s="2716"/>
      <c r="N33" s="2716"/>
      <c r="O33" s="2716"/>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v>72.23</v>
      </c>
      <c r="D34" s="127">
        <v>100</v>
      </c>
      <c r="E34" s="381">
        <v>62.85</v>
      </c>
      <c r="F34" s="376">
        <f>LOOKUP(E34,104:104,105:105)-LOOKUP(C34,104:104,105:105)+100</f>
        <v>100</v>
      </c>
      <c r="G34" s="380">
        <v>72.23</v>
      </c>
      <c r="H34" s="127">
        <f>LOOKUP(G34,104:104,105:105)-LOOKUP(C34,104:104,105:105)+100</f>
        <v>100</v>
      </c>
      <c r="I34" s="380">
        <v>86.5</v>
      </c>
      <c r="J34" s="127">
        <f>LOOKUP(I34,104:104,105:105)-LOOKUP(C34,104:104,105:105)+100</f>
        <v>100</v>
      </c>
      <c r="K34" s="562"/>
      <c r="L34" s="2721"/>
      <c r="M34" s="2723"/>
      <c r="N34" s="2723"/>
      <c r="O34" s="2723"/>
      <c r="P34" s="3668"/>
      <c r="Q34" s="707" t="str">
        <f t="shared" si="11"/>
        <v>项目建筑规模</v>
      </c>
      <c r="R34" s="708" t="s">
        <v>14</v>
      </c>
      <c r="S34" s="709">
        <f t="shared" si="12"/>
        <v>100</v>
      </c>
      <c r="T34" s="708" t="s">
        <v>14</v>
      </c>
      <c r="U34" s="709">
        <f t="shared" si="13"/>
        <v>100</v>
      </c>
      <c r="V34" s="708" t="s">
        <v>14</v>
      </c>
      <c r="W34" s="709">
        <f t="shared" si="14"/>
        <v>100</v>
      </c>
      <c r="X34" s="710"/>
      <c r="Y34" s="3670"/>
      <c r="Z34" s="711" t="str">
        <f t="shared" si="15"/>
        <v>项目建筑规模</v>
      </c>
      <c r="AA34" s="1353">
        <f t="shared" si="3"/>
        <v>1</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c r="L35" s="2722"/>
      <c r="M35" s="2716"/>
      <c r="N35" s="2716"/>
      <c r="O35" s="2716"/>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t="s">
        <v>3405</v>
      </c>
      <c r="D36" s="386">
        <v>100</v>
      </c>
      <c r="E36" s="411" t="s">
        <v>3405</v>
      </c>
      <c r="F36" s="412">
        <f>SUMIF(108:108,E36,109:109)-SUMIF(108:108,C36,109:109)+100</f>
        <v>100</v>
      </c>
      <c r="G36" s="411" t="s">
        <v>3405</v>
      </c>
      <c r="H36" s="386">
        <f>SUMIF(108:108,G36,109:109)-SUMIF(108:108,C36,109:109)+100</f>
        <v>100</v>
      </c>
      <c r="I36" s="411" t="s">
        <v>3405</v>
      </c>
      <c r="J36" s="386">
        <f>SUMIF(108:108,I36,109:109)-SUMIF(108:108,C36,109:109)+100</f>
        <v>100</v>
      </c>
      <c r="K36" s="561"/>
      <c r="L36" s="2722"/>
      <c r="M36" s="2716"/>
      <c r="N36" s="2716"/>
      <c r="O36" s="2716"/>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f>'数据-取费表'!N19</f>
        <v>0.82</v>
      </c>
      <c r="D37" s="386">
        <v>100</v>
      </c>
      <c r="E37" s="425">
        <v>0.82</v>
      </c>
      <c r="F37" s="412">
        <f>LOOKUP(E37,111:111,112:112)-LOOKUP(C37,111:111,112:112)+100</f>
        <v>100</v>
      </c>
      <c r="G37" s="425">
        <v>0.82</v>
      </c>
      <c r="H37" s="412">
        <f>LOOKUP(G37,111:111,112:112)-LOOKUP(C37,111:111,112:112)+100</f>
        <v>100</v>
      </c>
      <c r="I37" s="425">
        <v>0.82</v>
      </c>
      <c r="J37" s="386">
        <f>LOOKUP(I37,111:111,112:112)-LOOKUP(C37,111:111,112:112)+100</f>
        <v>100</v>
      </c>
      <c r="K37" s="561"/>
      <c r="L37" s="2722"/>
      <c r="M37" s="2716"/>
      <c r="N37" s="2716"/>
      <c r="O37" s="2716"/>
      <c r="P37" s="3668"/>
      <c r="Q37" s="1352" t="str">
        <f t="shared" si="11"/>
        <v>成新度</v>
      </c>
      <c r="R37" s="705" t="s">
        <v>14</v>
      </c>
      <c r="S37" s="706">
        <f t="shared" si="12"/>
        <v>100</v>
      </c>
      <c r="T37" s="705" t="s">
        <v>14</v>
      </c>
      <c r="U37" s="706">
        <f t="shared" si="13"/>
        <v>100</v>
      </c>
      <c r="V37" s="705" t="s">
        <v>14</v>
      </c>
      <c r="W37" s="706">
        <f t="shared" si="14"/>
        <v>100</v>
      </c>
      <c r="X37" s="1355"/>
      <c r="Y37" s="367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t="s">
        <v>3409</v>
      </c>
      <c r="D41" s="386">
        <v>100</v>
      </c>
      <c r="E41" s="565" t="s">
        <v>3409</v>
      </c>
      <c r="F41" s="412">
        <f>SUMIF(119:119,E41,120:120)-SUMIF(119:119,C41,120:120)+100</f>
        <v>100</v>
      </c>
      <c r="G41" s="565" t="s">
        <v>3409</v>
      </c>
      <c r="H41" s="386">
        <f>SUMIF(119:119,G41,120:120)-SUMIF(119:119,C41,120:120)+100</f>
        <v>100</v>
      </c>
      <c r="I41" s="565" t="s">
        <v>3409</v>
      </c>
      <c r="J41" s="386">
        <f>SUMIF(119:119,I41,120:120)-SUMIF(119:119,C41,120:120)+100</f>
        <v>100</v>
      </c>
      <c r="K41" s="561">
        <v>5</v>
      </c>
      <c r="L41" s="2722"/>
      <c r="M41" s="2716"/>
      <c r="N41" s="2716"/>
      <c r="O41" s="2716"/>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t="s">
        <v>3407</v>
      </c>
      <c r="D43" s="386">
        <v>100</v>
      </c>
      <c r="E43" s="411" t="s">
        <v>3407</v>
      </c>
      <c r="F43" s="412">
        <f>SUMIF(123:123,E43,124:124)-SUMIF(123:123,C43,124:124)+100</f>
        <v>100</v>
      </c>
      <c r="G43" s="411" t="s">
        <v>3407</v>
      </c>
      <c r="H43" s="386">
        <f>SUMIF(123:123,G43,124:124)-SUMIF(123:123,C43,124:124)+100</f>
        <v>100</v>
      </c>
      <c r="I43" s="411" t="s">
        <v>3407</v>
      </c>
      <c r="J43" s="386">
        <f>SUMIF(123:123,I43,124:124)-SUMIF(123:123,C43,124:124)+100</f>
        <v>100</v>
      </c>
      <c r="K43" s="561">
        <v>2</v>
      </c>
      <c r="L43" s="2722"/>
      <c r="M43" s="2716"/>
      <c r="N43" s="2716"/>
      <c r="O43" s="2716"/>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22"/>
      <c r="M44" s="2716"/>
      <c r="N44" s="2716"/>
      <c r="O44" s="2716"/>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v>0.98</v>
      </c>
      <c r="D47" s="389">
        <v>100</v>
      </c>
      <c r="E47" s="383">
        <v>56643</v>
      </c>
      <c r="F47" s="390">
        <f>SUMIF(131:131,E47,132:132)-SUMIF(131:131,C47,132:132)+100</f>
        <v>100</v>
      </c>
      <c r="G47" s="383">
        <v>57456</v>
      </c>
      <c r="H47" s="389">
        <f>SUMIF(131:131,G47,132:132)-SUMIF(131:131,C47,132:132)+100</f>
        <v>100</v>
      </c>
      <c r="I47" s="383">
        <v>57804</v>
      </c>
      <c r="J47" s="389">
        <f>SUMIF(131:131,I47,132:132)-SUMIF(131:131,C47,132:132)+100</f>
        <v>100</v>
      </c>
      <c r="K47" s="562"/>
      <c r="L47" s="2722"/>
      <c r="M47" s="2716"/>
      <c r="N47" s="2716"/>
      <c r="O47" s="2716"/>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f>ROUND(E47*C47,0)</f>
        <v>55510</v>
      </c>
      <c r="F48" s="1157"/>
      <c r="G48" s="1158">
        <f>ROUND(G47*C47,0)</f>
        <v>56307</v>
      </c>
      <c r="H48" s="1159"/>
      <c r="I48" s="1156">
        <f>ROUND(I47*C47,0)</f>
        <v>56648</v>
      </c>
      <c r="J48" s="436"/>
      <c r="K48" s="714"/>
      <c r="L48" s="2724"/>
      <c r="M48" s="2716"/>
      <c r="N48" s="2716"/>
      <c r="O48" s="2716"/>
      <c r="P48" s="3674" t="str">
        <f>A48</f>
        <v>成交单价（元/平方米）</v>
      </c>
      <c r="Q48" s="3663"/>
      <c r="R48" s="3664">
        <f>E48</f>
        <v>55510</v>
      </c>
      <c r="S48" s="3664"/>
      <c r="T48" s="3664">
        <f>G48</f>
        <v>56307</v>
      </c>
      <c r="U48" s="3664"/>
      <c r="V48" s="3664">
        <f>I48</f>
        <v>56648</v>
      </c>
      <c r="W48" s="3664"/>
      <c r="X48" s="397"/>
      <c r="Y48" s="712"/>
      <c r="Z48" s="397"/>
      <c r="AA48" s="397"/>
      <c r="AB48" s="397"/>
      <c r="AC48" s="578"/>
    </row>
    <row r="49" spans="1:29" ht="15.75" thickBot="1">
      <c r="A49" s="437" t="s">
        <v>1793</v>
      </c>
      <c r="B49" s="438"/>
      <c r="C49" s="1160">
        <f>R50</f>
        <v>56168</v>
      </c>
      <c r="D49" s="2317" t="s">
        <v>2138</v>
      </c>
      <c r="E49" s="1161">
        <f>R49</f>
        <v>55510</v>
      </c>
      <c r="F49" s="2318"/>
      <c r="G49" s="1160">
        <f>T49</f>
        <v>57456</v>
      </c>
      <c r="H49" s="2318"/>
      <c r="I49" s="1161">
        <f>V49</f>
        <v>55537</v>
      </c>
      <c r="J49" s="2318"/>
      <c r="K49" s="2320">
        <f>F49+H49+J49</f>
        <v>0</v>
      </c>
      <c r="L49" s="2724"/>
      <c r="M49" s="2716"/>
      <c r="N49" s="2716"/>
      <c r="O49" s="2716"/>
      <c r="P49" s="3674" t="str">
        <f>A49</f>
        <v>比较价值（元/平方米）</v>
      </c>
      <c r="Q49" s="3663"/>
      <c r="R49" s="3664">
        <f>IF(F1="售价",ROUND(PRODUCT(R48,AA7:AA47),0),ROUND(PRODUCT(R48,AA7:AA47),1))</f>
        <v>55510</v>
      </c>
      <c r="S49" s="3664"/>
      <c r="T49" s="3664">
        <f>IF(F1="售价",ROUND(PRODUCT(T48,AB7:AB47),0),ROUND(PRODUCT(T48,AB7:AB47),1))</f>
        <v>57456</v>
      </c>
      <c r="U49" s="3664"/>
      <c r="V49" s="3664">
        <f>IF(F1="售价",ROUND(PRODUCT(V48,AC7:AC47),0),ROUND(PRODUCT(V48,AC7:AC47),1))</f>
        <v>55537</v>
      </c>
      <c r="W49" s="3664"/>
      <c r="X49" s="397"/>
      <c r="Y49" s="397"/>
      <c r="Z49" s="397"/>
      <c r="AA49" s="397"/>
      <c r="AB49" s="397"/>
      <c r="AC49" s="578"/>
    </row>
    <row r="50" spans="1:29" ht="15.75" thickBot="1">
      <c r="A50" s="441" t="s">
        <v>1794</v>
      </c>
      <c r="B50" s="442"/>
      <c r="C50" s="1163">
        <f>R50</f>
        <v>56168</v>
      </c>
      <c r="D50" s="1163"/>
      <c r="E50" s="1163"/>
      <c r="F50" s="1163"/>
      <c r="G50" s="1163"/>
      <c r="H50" s="1163"/>
      <c r="I50" s="1163"/>
      <c r="J50" s="443"/>
      <c r="K50" s="715"/>
      <c r="L50" s="2724"/>
      <c r="M50" s="2716"/>
      <c r="N50" s="2716"/>
      <c r="O50" s="2716"/>
      <c r="P50" s="3706" t="str">
        <f>A50</f>
        <v>估价对象XX用房的比较价值（楼面单价，元/平方米）</v>
      </c>
      <c r="Q50" s="3707"/>
      <c r="R50" s="3708">
        <f>IF(F1="售价",ROUND(IF(D49="简单平均",AVERAGE(R49:V49),R49*F49+T49*H49+V49*J49),0),ROUND(IF(D49="简单平均",AVERAGE(R49:V49),R49*F49+T49*H49+V49*J49),1))</f>
        <v>56168</v>
      </c>
      <c r="S50" s="3708"/>
      <c r="T50" s="3708"/>
      <c r="U50" s="3708"/>
      <c r="V50" s="3708"/>
      <c r="W50" s="370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2.0405988598220404E-2</v>
      </c>
      <c r="H53" s="449" t="str">
        <f>IF(OR(G53&gt;=0.3,G53&lt;=-0.3),"超过30%","")</f>
        <v/>
      </c>
      <c r="I53" s="448">
        <f>IF(I48&lt;I49,I49/I48-1,I48/I49-1)</f>
        <v>2.0004681563642324E-2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3.5056746532156291E-2</v>
      </c>
      <c r="F54" s="449" t="str">
        <f>IF(OR(E54&gt;=0.2,E54&lt;=-0.2),"超过20%","")</f>
        <v/>
      </c>
      <c r="G54" s="448">
        <f>IF(G49&lt;I49,I49/G49-1,G49/I49-1)</f>
        <v>3.4553540882654721E-2</v>
      </c>
      <c r="H54" s="449" t="str">
        <f>IF(OR(G54&gt;=0.2,G54&lt;=-0.2),"超过20%","")</f>
        <v/>
      </c>
      <c r="I54" s="448">
        <f>IF(I49&lt;E49,E49/I49-1,I49/E49-1)</f>
        <v>4.8639884705448111E-4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1.4357773374166882E-2</v>
      </c>
      <c r="F55" s="449" t="str">
        <f>IF(OR(E55&gt;=0.3,E55&lt;=-0.3),"超过30%","")</f>
        <v/>
      </c>
      <c r="G55" s="448">
        <f>IF(G48&lt;I48,I48/G48-1,G48/I48-1)</f>
        <v>6.0560853890279098E-3</v>
      </c>
      <c r="H55" s="449" t="str">
        <f>IF(OR(G55&gt;=0.3,G55&lt;=-0.3),"超过30%","")</f>
        <v/>
      </c>
      <c r="I55" s="448">
        <f>IF(I48&lt;E48,E48/I48-1,I48/E48-1)</f>
        <v>2.0500810664745073E-2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f>C60-$C$61</f>
        <v>100</v>
      </c>
      <c r="E60" s="461">
        <f t="shared" ref="E60:O60" si="17">D60-$C$61</f>
        <v>100</v>
      </c>
      <c r="F60" s="461">
        <f t="shared" si="17"/>
        <v>100</v>
      </c>
      <c r="G60" s="461">
        <f t="shared" si="17"/>
        <v>100</v>
      </c>
      <c r="H60" s="461">
        <f t="shared" si="17"/>
        <v>100</v>
      </c>
      <c r="I60" s="461">
        <f t="shared" si="17"/>
        <v>100</v>
      </c>
      <c r="J60" s="461">
        <f t="shared" si="17"/>
        <v>100</v>
      </c>
      <c r="K60" s="461">
        <f t="shared" si="17"/>
        <v>100</v>
      </c>
      <c r="L60" s="461">
        <f t="shared" si="17"/>
        <v>100</v>
      </c>
      <c r="M60" s="461">
        <f t="shared" si="17"/>
        <v>100</v>
      </c>
      <c r="N60" s="461">
        <f t="shared" si="17"/>
        <v>100</v>
      </c>
      <c r="O60" s="461">
        <f t="shared" si="17"/>
        <v>100</v>
      </c>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公寓</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88" t="s">
        <v>3399</v>
      </c>
      <c r="D89" s="3788" t="s">
        <v>3401</v>
      </c>
      <c r="E89" s="3788" t="s">
        <v>3403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0" t="s">
        <v>3411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4">D104&amp;"(含)"&amp;"-"&amp;E104</f>
        <v>30(含)-60</v>
      </c>
      <c r="E103" s="527" t="str">
        <f t="shared" si="24"/>
        <v>60(含)-90</v>
      </c>
      <c r="F103" s="527" t="str">
        <f t="shared" si="24"/>
        <v>90(含)-120</v>
      </c>
      <c r="G103" s="527" t="str">
        <f t="shared" si="24"/>
        <v>120(含)-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88"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88" t="s">
        <v>3406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789" t="s">
        <v>3410</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88" t="s">
        <v>3408</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266.20170000000002</v>
      </c>
      <c r="C2" s="1387" t="s">
        <v>879</v>
      </c>
      <c r="D2" s="1471">
        <f ca="1">C40+J29+L46</f>
        <v>2662017</v>
      </c>
      <c r="E2" s="1388" t="s">
        <v>880</v>
      </c>
      <c r="F2" s="1389"/>
      <c r="G2" s="2706"/>
      <c r="H2" s="2695"/>
      <c r="I2" s="2695"/>
      <c r="J2" s="2695"/>
      <c r="K2" s="2696"/>
      <c r="L2" s="2695"/>
      <c r="M2" s="2695"/>
    </row>
    <row r="3" spans="1:37" ht="18" customHeight="1" thickBot="1">
      <c r="A3" s="1390" t="s">
        <v>881</v>
      </c>
      <c r="B3" s="1391">
        <f ca="1">IF(ISERROR(D2/F43),0,ROUND(D2/F43,0))</f>
        <v>36855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151389</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151200</v>
      </c>
      <c r="D6" s="155" t="s">
        <v>2106</v>
      </c>
      <c r="E6" s="302" t="s">
        <v>696</v>
      </c>
      <c r="F6" s="303">
        <f ca="1">INDIRECT("'数据-取费表'!u"&amp;$G$1)</f>
        <v>14000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v>
      </c>
      <c r="G7" s="1384"/>
      <c r="H7" s="304"/>
      <c r="I7" s="3637"/>
      <c r="J7" s="306"/>
      <c r="K7" s="307"/>
      <c r="L7" s="302" t="s">
        <v>697</v>
      </c>
      <c r="M7" s="303">
        <f ca="1">F7</f>
        <v>1</v>
      </c>
    </row>
    <row r="8" spans="1:37" ht="18" customHeight="1">
      <c r="A8" s="304"/>
      <c r="B8" s="3637"/>
      <c r="C8" s="306"/>
      <c r="D8" s="307"/>
      <c r="E8" s="302" t="s">
        <v>698</v>
      </c>
      <c r="F8" s="303">
        <f ca="1">INDIRECT("'数据-取费表'!ai"&amp;$G$1)</f>
        <v>12</v>
      </c>
      <c r="G8" s="1384"/>
      <c r="H8" s="304"/>
      <c r="I8" s="3637"/>
      <c r="J8" s="306"/>
      <c r="K8" s="307"/>
      <c r="L8" s="302" t="s">
        <v>698</v>
      </c>
      <c r="M8" s="303">
        <f ca="1">INDIRECT("'数据-取费表'!ai"&amp;$G$1)</f>
        <v>12</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189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358286</v>
      </c>
      <c r="D13" s="1081" t="s">
        <v>705</v>
      </c>
      <c r="E13" s="1081" t="s">
        <v>706</v>
      </c>
      <c r="F13" s="1082">
        <f ca="1">INDIRECT("'数据-取费表'!y"&amp;$G$1)</f>
        <v>0.86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288920</v>
      </c>
      <c r="D14" s="1345" t="s">
        <v>708</v>
      </c>
      <c r="E14" s="1342"/>
      <c r="F14" s="319"/>
      <c r="G14" s="1384"/>
      <c r="H14" s="982" t="s">
        <v>398</v>
      </c>
      <c r="I14" s="302" t="s">
        <v>709</v>
      </c>
      <c r="J14" s="21">
        <f ca="1">C29</f>
        <v>416612</v>
      </c>
      <c r="K14" s="12"/>
      <c r="L14" s="807"/>
      <c r="M14" s="808"/>
    </row>
    <row r="15" spans="1:37" s="1397" customFormat="1" ht="18" customHeight="1" thickBot="1">
      <c r="A15" s="982" t="s">
        <v>399</v>
      </c>
      <c r="B15" s="302" t="s">
        <v>710</v>
      </c>
      <c r="C15" s="21">
        <f ca="1">ROUND(C14*F15,0)</f>
        <v>8668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4166</v>
      </c>
      <c r="K16" s="1087" t="s">
        <v>715</v>
      </c>
      <c r="L16" s="1088"/>
      <c r="M16" s="1072"/>
    </row>
    <row r="17" spans="1:37" s="1397" customFormat="1" ht="18" customHeight="1">
      <c r="A17" s="982" t="s">
        <v>681</v>
      </c>
      <c r="B17" s="302" t="s">
        <v>716</v>
      </c>
      <c r="C17" s="21">
        <f ca="1">ROUND(F17*(F43+INDIRECT("'数据-取费表'!S"&amp;$G$1)),0)</f>
        <v>14446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316368</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6327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4166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13392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-4166</v>
      </c>
      <c r="K25" s="1095" t="s">
        <v>753</v>
      </c>
      <c r="L25" s="1096"/>
      <c r="M25" s="1097"/>
    </row>
    <row r="26" spans="1:37" ht="18" customHeight="1">
      <c r="A26" s="982" t="s">
        <v>397</v>
      </c>
      <c r="B26" s="302" t="s">
        <v>754</v>
      </c>
      <c r="C26" s="21">
        <f ca="1">ROUND((C19+C20)*F26,0)</f>
        <v>48404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416612</v>
      </c>
      <c r="D29" s="1092"/>
      <c r="E29" s="1090"/>
      <c r="F29" s="1093"/>
      <c r="G29" s="1396"/>
      <c r="H29" s="334" t="s">
        <v>396</v>
      </c>
      <c r="I29" s="335" t="s">
        <v>768</v>
      </c>
      <c r="J29" s="336">
        <f ca="1">ROUND(J26/(1+F40)^F41,0)</f>
        <v>0</v>
      </c>
      <c r="K29" s="337" t="s">
        <v>769</v>
      </c>
      <c r="L29" s="338"/>
      <c r="M29" s="339">
        <f ca="1">INDIRECT("'数据-取费表'!k"&amp;$G$1)</f>
        <v>72.23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16297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10080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4166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537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1514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135092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2642701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36587</v>
      </c>
      <c r="D43" s="337" t="s">
        <v>777</v>
      </c>
      <c r="E43" s="338" t="s">
        <v>778</v>
      </c>
      <c r="F43" s="339">
        <f ca="1">INDIRECT("'数据-取费表'!k"&amp;$G$1)</f>
        <v>72.23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-270.91140000000001</v>
      </c>
      <c r="D45" s="3434" t="s">
        <v>3362</v>
      </c>
      <c r="E45" s="1400"/>
      <c r="F45" s="1400"/>
      <c r="O45" s="1403" t="s">
        <v>808</v>
      </c>
      <c r="P45" s="1461"/>
      <c r="Q45" s="1461"/>
      <c r="R45" s="1461"/>
    </row>
    <row r="46" spans="1:18" s="1384" customFormat="1" ht="13.5" thickBot="1">
      <c r="A46" s="1404" t="s">
        <v>809</v>
      </c>
      <c r="C46" s="1405">
        <f ca="1">ROUND(C45,0)</f>
        <v>-271</v>
      </c>
      <c r="D46" s="1406" t="str">
        <f>C2</f>
        <v>万元</v>
      </c>
      <c r="I46" s="1407" t="s">
        <v>810</v>
      </c>
      <c r="J46" s="1408"/>
      <c r="K46" s="1409"/>
      <c r="L46" s="1410">
        <f ca="1">IF(M47="住宅",0,IF(L48&gt;J51,L60,J60))</f>
        <v>19316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2642701</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28</v>
      </c>
      <c r="O48" s="1418" t="s">
        <v>404</v>
      </c>
      <c r="P48" s="1419" t="s">
        <v>821</v>
      </c>
      <c r="Q48" s="1420">
        <f ca="1">J60</f>
        <v>19316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416612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1966229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34" t="s">
        <v>837</v>
      </c>
      <c r="L53" s="3635"/>
      <c r="O53" s="1418" t="s">
        <v>409</v>
      </c>
      <c r="P53" s="1419" t="s">
        <v>838</v>
      </c>
      <c r="Q53" s="1420">
        <f ca="1">Q47+Q48</f>
        <v>2662017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358286</v>
      </c>
      <c r="D56" s="1447"/>
      <c r="E56" s="1448"/>
      <c r="F56" s="1440"/>
      <c r="I56" s="1449" t="s">
        <v>842</v>
      </c>
      <c r="J56" s="1450" t="s">
        <v>3390</v>
      </c>
      <c r="K56" s="1421" t="s">
        <v>843</v>
      </c>
      <c r="L56" s="1424" t="str">
        <f ca="1">IF(L48&lt;J51,"——",L48-J51)</f>
        <v>——</v>
      </c>
      <c r="O56" s="1418" t="s">
        <v>403</v>
      </c>
      <c r="P56" s="1419" t="s">
        <v>817</v>
      </c>
      <c r="Q56" s="1420">
        <f ca="1">C40+J29</f>
        <v>2642701</v>
      </c>
      <c r="R56" s="1420" t="s">
        <v>818</v>
      </c>
    </row>
    <row r="57" spans="1:18" s="1384" customFormat="1" ht="24.75" thickBot="1">
      <c r="A57" s="1451"/>
      <c r="B57" s="950" t="s">
        <v>767</v>
      </c>
      <c r="C57" s="238">
        <f ca="1">C29</f>
        <v>416612</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4703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166645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2642701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4166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537</v>
      </c>
      <c r="D65" s="964" t="s">
        <v>743</v>
      </c>
      <c r="E65" s="950" t="s">
        <v>744</v>
      </c>
      <c r="F65" s="330">
        <f t="shared" ca="1" si="0"/>
        <v>1.5E-3</v>
      </c>
      <c r="I65" s="1462" t="s">
        <v>867</v>
      </c>
      <c r="J65" s="1463">
        <v>40</v>
      </c>
      <c r="K65" s="1463">
        <v>30</v>
      </c>
      <c r="L65" s="1463">
        <v>50</v>
      </c>
      <c r="M65" s="1465">
        <v>0.02</v>
      </c>
      <c r="O65" s="1418" t="s">
        <v>403</v>
      </c>
      <c r="P65" s="1419" t="s">
        <v>868</v>
      </c>
      <c r="Q65" s="1420">
        <f ca="1">C40+J29</f>
        <v>2642701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-4703</v>
      </c>
      <c r="D67" s="963" t="s">
        <v>753</v>
      </c>
      <c r="E67" s="968"/>
      <c r="F67" s="969"/>
      <c r="O67" s="1428" t="s">
        <v>405</v>
      </c>
      <c r="P67" s="1419" t="s">
        <v>850</v>
      </c>
      <c r="Q67" s="1466">
        <f ca="1">L51</f>
        <v>1966229</v>
      </c>
      <c r="R67" s="1420" t="s">
        <v>870</v>
      </c>
    </row>
    <row r="68" spans="1:18" s="1384" customFormat="1" ht="16.5" thickBot="1">
      <c r="A68" s="947" t="s">
        <v>395</v>
      </c>
      <c r="B68" s="948" t="s">
        <v>774</v>
      </c>
      <c r="C68" s="301">
        <f ca="1">ROUND(C67*(1-((1+F70)/(1+F68))^F69)/(F68-F70),0)</f>
        <v>-66413</v>
      </c>
      <c r="D68" s="965" t="s">
        <v>758</v>
      </c>
      <c r="E68" s="950" t="s">
        <v>759</v>
      </c>
      <c r="F68" s="312">
        <f ca="1">F40</f>
        <v>5.5E-2</v>
      </c>
      <c r="O68" s="1428" t="s">
        <v>406</v>
      </c>
      <c r="P68" s="1467" t="s">
        <v>871</v>
      </c>
      <c r="Q68" s="1420">
        <f ca="1">ROUND(Q69-Q70*Q71,0)</f>
        <v>108221</v>
      </c>
      <c r="R68" s="1420" t="s">
        <v>414</v>
      </c>
    </row>
    <row r="69" spans="1:18" s="1384" customFormat="1" ht="13.5" thickBot="1">
      <c r="A69" s="951"/>
      <c r="B69" s="952"/>
      <c r="C69" s="306"/>
      <c r="D69" s="970" t="s">
        <v>762</v>
      </c>
      <c r="E69" s="950" t="s">
        <v>763</v>
      </c>
      <c r="F69" s="333">
        <f ca="1">F41</f>
        <v>28</v>
      </c>
      <c r="O69" s="1428" t="s">
        <v>411</v>
      </c>
      <c r="P69" s="1467" t="s">
        <v>872</v>
      </c>
      <c r="Q69" s="1420">
        <f ca="1">C39</f>
        <v>135092</v>
      </c>
      <c r="R69" s="1420" t="s">
        <v>818</v>
      </c>
    </row>
    <row r="70" spans="1:18" s="1384" customFormat="1" ht="13.5" thickBot="1">
      <c r="A70" s="954"/>
      <c r="B70" s="955"/>
      <c r="C70" s="310"/>
      <c r="D70" s="966"/>
      <c r="E70" s="950" t="s">
        <v>766</v>
      </c>
      <c r="F70" s="1054"/>
      <c r="O70" s="1428" t="s">
        <v>412</v>
      </c>
      <c r="P70" s="1467" t="s">
        <v>873</v>
      </c>
      <c r="Q70" s="1420">
        <f ca="1">C13</f>
        <v>358286</v>
      </c>
      <c r="R70" s="1420" t="s">
        <v>818</v>
      </c>
    </row>
    <row r="71" spans="1:18" s="1384" customFormat="1" ht="13.5" thickBot="1">
      <c r="A71" s="971" t="s">
        <v>396</v>
      </c>
      <c r="B71" s="972" t="s">
        <v>776</v>
      </c>
      <c r="C71" s="336">
        <f ca="1">ROUND(C68/F71,0)</f>
        <v>-919</v>
      </c>
      <c r="D71" s="973" t="s">
        <v>777</v>
      </c>
      <c r="E71" s="974" t="s">
        <v>778</v>
      </c>
      <c r="F71" s="339">
        <f ca="1">F43</f>
        <v>72.23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26871</v>
      </c>
      <c r="D75" s="1384"/>
      <c r="E75" s="1384"/>
      <c r="F75" s="1384"/>
      <c r="K75" s="1402"/>
      <c r="L75" s="1384"/>
      <c r="O75" s="1418" t="s">
        <v>409</v>
      </c>
      <c r="P75" s="1419" t="s">
        <v>838</v>
      </c>
      <c r="Q75" s="1420">
        <f ca="1">Q65+Q66</f>
        <v>2642701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0.80099999999999993</v>
      </c>
    </row>
    <row r="80" spans="1:18">
      <c r="B80" s="340" t="s">
        <v>800</v>
      </c>
      <c r="C80" s="274">
        <f ca="1">ROUND(C75/C39,3)</f>
        <v>0.19900000000000001</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45" t="s">
        <v>2320</v>
      </c>
      <c r="K2" s="364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7" t="s">
        <v>2330</v>
      </c>
      <c r="K3" s="364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7" t="s">
        <v>2332</v>
      </c>
      <c r="K4" s="364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3" t="s">
        <v>2336</v>
      </c>
      <c r="B6" s="3654"/>
      <c r="C6" s="3655"/>
      <c r="D6" s="2870"/>
      <c r="E6" s="2871"/>
      <c r="F6" s="2872"/>
      <c r="G6" s="2873"/>
      <c r="H6" s="2848"/>
      <c r="I6" s="2849"/>
      <c r="J6" s="3639">
        <v>1</v>
      </c>
      <c r="K6" s="364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39"/>
      <c r="K7" s="364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6" t="s">
        <v>2350</v>
      </c>
      <c r="C8" s="3657"/>
      <c r="D8" s="2889" t="s">
        <v>2351</v>
      </c>
      <c r="E8" s="2890" t="s">
        <v>2352</v>
      </c>
      <c r="F8" s="2891" t="s">
        <v>2353</v>
      </c>
      <c r="G8" s="2892"/>
      <c r="H8" s="2848"/>
      <c r="I8" s="2849"/>
      <c r="J8" s="3639"/>
      <c r="K8" s="364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6" t="s">
        <v>2356</v>
      </c>
      <c r="C9" s="3657"/>
      <c r="D9" s="2889">
        <f>ROUND(D6*E9,0)</f>
        <v>0</v>
      </c>
      <c r="E9" s="2893"/>
      <c r="F9" s="2894" t="s">
        <v>2357</v>
      </c>
      <c r="G9" s="2873"/>
      <c r="H9" s="2848"/>
      <c r="I9" s="2849"/>
      <c r="J9" s="3639"/>
      <c r="K9" s="3641"/>
      <c r="L9" s="2883" t="s">
        <v>2358</v>
      </c>
      <c r="M9" s="2884"/>
      <c r="N9" s="2860"/>
      <c r="O9" s="2885"/>
      <c r="P9" s="2885"/>
      <c r="Q9" s="2886">
        <v>365</v>
      </c>
      <c r="R9" s="2887">
        <f t="shared" si="0"/>
        <v>0</v>
      </c>
      <c r="S9" s="2841"/>
      <c r="T9" s="2841"/>
      <c r="U9" s="2841"/>
      <c r="V9" s="2849"/>
    </row>
    <row r="10" spans="1:22" s="2853" customFormat="1" ht="13.15" customHeight="1">
      <c r="A10" s="2888">
        <v>2</v>
      </c>
      <c r="B10" s="3656" t="s">
        <v>2359</v>
      </c>
      <c r="C10" s="3657"/>
      <c r="D10" s="2889">
        <f>ROUND(D6*E10,0)</f>
        <v>0</v>
      </c>
      <c r="E10" s="2893"/>
      <c r="F10" s="2894" t="s">
        <v>2360</v>
      </c>
      <c r="G10" s="2873"/>
      <c r="H10" s="2848"/>
      <c r="I10" s="2849"/>
      <c r="J10" s="3639"/>
      <c r="K10" s="3641"/>
      <c r="L10" s="2883" t="s">
        <v>2361</v>
      </c>
      <c r="M10" s="2884"/>
      <c r="N10" s="2860"/>
      <c r="O10" s="2885"/>
      <c r="P10" s="2885"/>
      <c r="Q10" s="2886">
        <v>365</v>
      </c>
      <c r="R10" s="2887">
        <f t="shared" si="0"/>
        <v>0</v>
      </c>
      <c r="S10" s="2841"/>
      <c r="T10" s="2841"/>
      <c r="U10" s="2841"/>
      <c r="V10" s="2849"/>
    </row>
    <row r="11" spans="1:22" s="2853" customFormat="1" ht="13.15" customHeight="1">
      <c r="A11" s="2888">
        <v>3</v>
      </c>
      <c r="B11" s="3656" t="s">
        <v>2362</v>
      </c>
      <c r="C11" s="3657"/>
      <c r="D11" s="2889">
        <f>D12+D14+D15+D16</f>
        <v>0</v>
      </c>
      <c r="E11" s="2895" t="e">
        <f>D11/D6</f>
        <v>#DIV/0!</v>
      </c>
      <c r="F11" s="2891"/>
      <c r="G11" s="2892"/>
      <c r="H11" s="2848"/>
      <c r="I11" s="2849"/>
      <c r="J11" s="3639"/>
      <c r="K11" s="364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49" t="s">
        <v>2365</v>
      </c>
      <c r="C12" s="3650"/>
      <c r="D12" s="2897">
        <f>ROUND(D13*1.2%*(1-30%),0)</f>
        <v>0</v>
      </c>
      <c r="E12" s="2898">
        <v>1.2E-2</v>
      </c>
      <c r="F12" s="2891" t="s">
        <v>2366</v>
      </c>
      <c r="G12" s="2892"/>
      <c r="H12" s="2848"/>
      <c r="I12" s="2849"/>
      <c r="J12" s="3639"/>
      <c r="K12" s="364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39"/>
      <c r="K13" s="364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49" t="s">
        <v>2371</v>
      </c>
      <c r="C14" s="3650"/>
      <c r="D14" s="2897">
        <f>ROUND(E14*B5/10000,0)</f>
        <v>0</v>
      </c>
      <c r="E14" s="2886"/>
      <c r="F14" s="2891" t="s">
        <v>2372</v>
      </c>
      <c r="G14" s="2892"/>
      <c r="H14" s="2848"/>
      <c r="I14" s="2849"/>
      <c r="J14" s="3639"/>
      <c r="K14" s="364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49" t="s">
        <v>2375</v>
      </c>
      <c r="C15" s="3650"/>
      <c r="D15" s="2897">
        <f>ROUND(D6*E15,0)</f>
        <v>0</v>
      </c>
      <c r="E15" s="2898">
        <v>5.5E-2</v>
      </c>
      <c r="F15" s="2891" t="s">
        <v>2376</v>
      </c>
      <c r="G15" s="2873"/>
      <c r="H15" s="2848"/>
      <c r="I15" s="2849"/>
      <c r="J15" s="3639">
        <v>2</v>
      </c>
      <c r="K15" s="364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49" t="s">
        <v>2384</v>
      </c>
      <c r="C16" s="3650"/>
      <c r="D16" s="2908">
        <f>D6*E16</f>
        <v>0</v>
      </c>
      <c r="E16" s="2909"/>
      <c r="F16" s="2894" t="s">
        <v>2385</v>
      </c>
      <c r="G16" s="2873"/>
      <c r="H16" s="2848"/>
      <c r="I16" s="2849"/>
      <c r="J16" s="3639"/>
      <c r="K16" s="364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1" t="s">
        <v>2387</v>
      </c>
      <c r="C17" s="3652"/>
      <c r="D17" s="2911">
        <f>ROUND(D6*E17,0)</f>
        <v>0</v>
      </c>
      <c r="E17" s="2912"/>
      <c r="F17" s="2913" t="s">
        <v>2388</v>
      </c>
      <c r="G17" s="2873"/>
      <c r="H17" s="2848"/>
      <c r="I17" s="2849"/>
      <c r="J17" s="3639"/>
      <c r="K17" s="364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39"/>
      <c r="K18" s="364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39"/>
      <c r="K19" s="364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39">
        <v>3</v>
      </c>
      <c r="K20" s="364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39"/>
      <c r="K21" s="364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39"/>
      <c r="K22" s="364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39"/>
      <c r="K23" s="364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39"/>
      <c r="K24" s="364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5" t="s">
        <v>2320</v>
      </c>
      <c r="K32" s="364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7" t="s">
        <v>2330</v>
      </c>
      <c r="K33" s="364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7" t="s">
        <v>2332</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39">
        <v>1</v>
      </c>
      <c r="K36" s="364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39"/>
      <c r="K37" s="364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39"/>
      <c r="K38" s="364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39"/>
      <c r="K39" s="364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39"/>
      <c r="K40" s="364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266.20170000000002</v>
      </c>
      <c r="C2" s="1872" t="s">
        <v>1651</v>
      </c>
      <c r="D2" s="1873" t="s">
        <v>1652</v>
      </c>
      <c r="E2" s="2607">
        <f>SUM(E6:E13)</f>
        <v>72.23</v>
      </c>
      <c r="F2" s="2707"/>
      <c r="G2" s="1489"/>
      <c r="H2" s="1489"/>
      <c r="I2" s="1489"/>
      <c r="J2" s="1489"/>
      <c r="K2" s="1489"/>
      <c r="L2" s="1489"/>
      <c r="M2" s="1489"/>
      <c r="N2" s="1489"/>
      <c r="O2" s="1489"/>
      <c r="P2" s="1489"/>
      <c r="Q2" s="1489"/>
      <c r="R2" s="1489"/>
      <c r="S2" s="1489"/>
    </row>
    <row r="3" spans="1:22" ht="15.75">
      <c r="A3" s="1870" t="s">
        <v>686</v>
      </c>
      <c r="B3" s="2601">
        <f ca="1">ROUND(B2*10000/E2,0)</f>
        <v>36855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8" t="s">
        <v>1654</v>
      </c>
      <c r="C5" s="36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266.20170000000002</v>
      </c>
      <c r="C6" s="1872" t="s">
        <v>1651</v>
      </c>
      <c r="D6" s="2709"/>
      <c r="E6" s="2606">
        <f>IF(OR(A6=0,F6="否"),0,'数据-取费表'!K6+'数据-取费表'!S6)</f>
        <v>72.23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90"/>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1890"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4"/>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3"/>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3"/>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3"/>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3"/>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4"/>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3"/>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3"/>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3"/>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3"/>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受贵公司委托，我公司对北京市朝阳区广渠路36号院5号楼7层722房地产抵押价值进行了预评估。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估价对象为北京市朝阳区广渠路36号院5号楼7层722房地产，为所有。根据《国有土地使用证》[]，估价对象（分摊）出让国有建设用地使用权面积为0平方米，建筑面积为72.23平方米。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渠路36号院5号楼7层722房地产,属开发建设的，该项目尚在开发建设中。根据《国有土地使用证》[]，估价对象（分摊）出让国有建设用地使用权面积为0平方米，规划建筑面积为72.23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广渠路36号院5号楼7层722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63"/>
      <c r="Q10" s="1343" t="str">
        <f t="shared" si="6"/>
        <v>土地使用年限（年）</v>
      </c>
      <c r="R10" s="701" t="s">
        <v>14</v>
      </c>
      <c r="S10" s="702">
        <f t="shared" si="0"/>
        <v>115</v>
      </c>
      <c r="T10" s="701" t="s">
        <v>14</v>
      </c>
      <c r="U10" s="702">
        <f t="shared" si="1"/>
        <v>115</v>
      </c>
      <c r="V10" s="701" t="s">
        <v>14</v>
      </c>
      <c r="W10" s="702">
        <f t="shared" si="2"/>
        <v>115</v>
      </c>
      <c r="X10" s="703"/>
      <c r="Y10" s="3538"/>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72.23</v>
      </c>
      <c r="F56" s="886" t="e">
        <f t="shared" ref="F56:F64" si="15">ROUND(B56*E56/10000,0)</f>
        <v>#DIV/0!</v>
      </c>
      <c r="G56" s="3674"/>
      <c r="H56" s="366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63"/>
      <c r="Q10" s="1343" t="str">
        <f t="shared" si="6"/>
        <v>土地使用年限（年）</v>
      </c>
      <c r="R10" s="701" t="s">
        <v>14</v>
      </c>
      <c r="S10" s="702">
        <f t="shared" si="0"/>
        <v>115</v>
      </c>
      <c r="T10" s="701" t="s">
        <v>14</v>
      </c>
      <c r="U10" s="702">
        <f t="shared" si="1"/>
        <v>115</v>
      </c>
      <c r="V10" s="701" t="s">
        <v>14</v>
      </c>
      <c r="W10" s="702">
        <f t="shared" si="2"/>
        <v>115</v>
      </c>
      <c r="X10" s="703"/>
      <c r="Y10" s="3538"/>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72.23</v>
      </c>
      <c r="F51" s="639" t="e">
        <f t="shared" ref="F51:F60" si="15">ROUND(B51*E51/10000,0)</f>
        <v>#DIV/0!</v>
      </c>
      <c r="G51" s="3674"/>
      <c r="H51" s="366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42"/>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42"/>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7" t="s">
        <v>3263</v>
      </c>
      <c r="B20" s="167" t="s">
        <v>1994</v>
      </c>
      <c r="C20" s="3326" t="e">
        <f>ROUND(IF(F21="与级别开发程度一致",0,(G21-E21)/C21),0)</f>
        <v>#DIV/0!</v>
      </c>
      <c r="D20" s="3342" t="s">
        <v>1998</v>
      </c>
      <c r="E20" s="3343"/>
      <c r="F20" s="3753" t="s">
        <v>1995</v>
      </c>
      <c r="G20" s="3754"/>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44937</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52"/>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49" t="s">
        <v>3303</v>
      </c>
      <c r="B103" s="3749"/>
      <c r="C103" s="3749"/>
      <c r="D103" s="3749"/>
      <c r="E103" s="3749"/>
      <c r="F103" s="3749"/>
      <c r="G103" s="3749"/>
      <c r="H103" s="3749"/>
      <c r="I103" s="3749"/>
      <c r="J103" s="3749"/>
      <c r="K103" s="3392"/>
      <c r="L103" s="3392"/>
      <c r="M103" s="3392"/>
      <c r="N103" s="3392"/>
    </row>
    <row r="104" spans="1:14">
      <c r="A104" s="3750" t="s">
        <v>3304</v>
      </c>
      <c r="B104" s="3750" t="s">
        <v>3305</v>
      </c>
      <c r="C104" s="3393" t="s">
        <v>3306</v>
      </c>
      <c r="D104" s="3394"/>
      <c r="E104" s="3394"/>
      <c r="F104" s="3394"/>
      <c r="G104" s="3394"/>
      <c r="H104" s="3394"/>
      <c r="I104" s="3394"/>
      <c r="J104" s="3395"/>
      <c r="K104" s="3396"/>
      <c r="L104" s="3396"/>
      <c r="M104" s="3396"/>
      <c r="N104" s="3396"/>
    </row>
    <row r="105" spans="1:14">
      <c r="A105" s="3750"/>
      <c r="B105" s="3750"/>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36"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37"/>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37"/>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37"/>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37"/>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37"/>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38"/>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39" t="s">
        <v>3320</v>
      </c>
      <c r="B113" s="3739"/>
      <c r="C113" s="3739"/>
      <c r="D113" s="3739"/>
      <c r="E113" s="3739"/>
      <c r="F113" s="3739"/>
      <c r="G113" s="3739"/>
      <c r="H113" s="3739"/>
      <c r="I113" s="3739"/>
      <c r="J113" s="3739"/>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9"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9" t="s">
        <v>2615</v>
      </c>
      <c r="C27" s="3103" t="s">
        <v>2455</v>
      </c>
      <c r="D27" s="3104"/>
      <c r="E27" s="3105">
        <v>1</v>
      </c>
      <c r="F27" s="3106" t="s">
        <v>2456</v>
      </c>
      <c r="G27" s="3106"/>
    </row>
    <row r="28" spans="1:13" ht="19.5" customHeight="1">
      <c r="A28" s="3762"/>
      <c r="B28" s="3758"/>
      <c r="C28" s="3107" t="s">
        <v>2457</v>
      </c>
      <c r="D28" s="3108"/>
      <c r="E28" s="3109">
        <v>1</v>
      </c>
      <c r="F28" s="3106" t="s">
        <v>2458</v>
      </c>
      <c r="G28" s="3106"/>
    </row>
    <row r="29" spans="1:13" ht="19.5" customHeight="1">
      <c r="A29" s="3762"/>
      <c r="B29" s="3758"/>
      <c r="C29" s="3107" t="s">
        <v>2459</v>
      </c>
      <c r="D29" s="3108"/>
      <c r="E29" s="3109">
        <v>0.8</v>
      </c>
      <c r="F29" s="3106" t="s">
        <v>2460</v>
      </c>
      <c r="G29" s="3106"/>
    </row>
    <row r="30" spans="1:13" ht="19.5" customHeight="1">
      <c r="A30" s="3762"/>
      <c r="B30" s="3758"/>
      <c r="C30" s="3107" t="s">
        <v>2461</v>
      </c>
      <c r="D30" s="3108"/>
      <c r="E30" s="3109">
        <v>0.8</v>
      </c>
      <c r="F30" s="3106" t="s">
        <v>2462</v>
      </c>
      <c r="G30" s="3106"/>
    </row>
    <row r="31" spans="1:13" ht="19.5" customHeight="1">
      <c r="A31" s="3762"/>
      <c r="B31" s="3758"/>
      <c r="C31" s="3107" t="s">
        <v>2463</v>
      </c>
      <c r="D31" s="3108"/>
      <c r="E31" s="3109">
        <v>0.8</v>
      </c>
      <c r="F31" s="3106" t="s">
        <v>2464</v>
      </c>
      <c r="G31" s="3106"/>
    </row>
    <row r="32" spans="1:13" ht="19.5" customHeight="1">
      <c r="A32" s="3762"/>
      <c r="B32" s="3758"/>
      <c r="C32" s="3107" t="s">
        <v>2465</v>
      </c>
      <c r="D32" s="3108"/>
      <c r="E32" s="3109">
        <v>0.7</v>
      </c>
      <c r="F32" s="3106" t="s">
        <v>2466</v>
      </c>
      <c r="G32" s="3106"/>
    </row>
    <row r="33" spans="1:7" ht="19.5" customHeight="1">
      <c r="A33" s="3762"/>
      <c r="B33" s="3758"/>
      <c r="C33" s="3107" t="s">
        <v>2467</v>
      </c>
      <c r="D33" s="3108"/>
      <c r="E33" s="3109">
        <v>0.8</v>
      </c>
      <c r="F33" s="3106" t="s">
        <v>2468</v>
      </c>
      <c r="G33" s="3106"/>
    </row>
    <row r="34" spans="1:7" ht="19.5" customHeight="1">
      <c r="A34" s="3762"/>
      <c r="B34" s="3758"/>
      <c r="C34" s="3107" t="s">
        <v>2469</v>
      </c>
      <c r="D34" s="3108"/>
      <c r="E34" s="3109">
        <v>0.6</v>
      </c>
      <c r="F34" s="3106" t="s">
        <v>2470</v>
      </c>
      <c r="G34" s="3106"/>
    </row>
    <row r="35" spans="1:7" ht="19.5" customHeight="1">
      <c r="A35" s="3762"/>
      <c r="B35" s="3758"/>
      <c r="C35" s="3107" t="s">
        <v>2471</v>
      </c>
      <c r="D35" s="3108"/>
      <c r="E35" s="3109">
        <v>0.2</v>
      </c>
      <c r="F35" s="3106" t="s">
        <v>2472</v>
      </c>
      <c r="G35" s="3106"/>
    </row>
    <row r="36" spans="1:7" ht="19.5" customHeight="1">
      <c r="A36" s="3762"/>
      <c r="B36" s="3758"/>
      <c r="C36" s="3107" t="s">
        <v>2473</v>
      </c>
      <c r="D36" s="3108"/>
      <c r="E36" s="3109">
        <v>0.2</v>
      </c>
      <c r="F36" s="3106" t="s">
        <v>2474</v>
      </c>
      <c r="G36" s="3106"/>
    </row>
    <row r="37" spans="1:7" ht="19.5" customHeight="1">
      <c r="A37" s="3762"/>
      <c r="B37" s="3756" t="s">
        <v>2635</v>
      </c>
      <c r="C37" s="3107" t="s">
        <v>2475</v>
      </c>
      <c r="D37" s="3108"/>
      <c r="E37" s="3109">
        <v>0.6</v>
      </c>
      <c r="F37" s="3106" t="s">
        <v>2476</v>
      </c>
      <c r="G37" s="3106"/>
    </row>
    <row r="38" spans="1:7" ht="19.5" customHeight="1">
      <c r="A38" s="3762"/>
      <c r="B38" s="3758"/>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9"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5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56"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6"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57"/>
      <c r="C89" s="3092" t="s">
        <v>2687</v>
      </c>
      <c r="D89" s="3092" t="s">
        <v>2688</v>
      </c>
      <c r="E89" s="3118">
        <v>0.1</v>
      </c>
      <c r="F89" s="3118">
        <v>15</v>
      </c>
    </row>
    <row r="90" spans="1:6" ht="13.5">
      <c r="A90" s="3118">
        <v>18</v>
      </c>
      <c r="B90" s="3756"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57"/>
      <c r="C106" s="3092" t="s">
        <v>2722</v>
      </c>
      <c r="D106" s="3092" t="s">
        <v>2723</v>
      </c>
      <c r="E106" s="3118">
        <v>0.1</v>
      </c>
      <c r="F106" s="3118">
        <v>15</v>
      </c>
    </row>
    <row r="107" spans="1:6" ht="24">
      <c r="A107" s="3118">
        <v>35</v>
      </c>
      <c r="B107" s="3756"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57"/>
      <c r="C112" s="3118" t="s">
        <v>2735</v>
      </c>
      <c r="D112" s="3092" t="s">
        <v>2736</v>
      </c>
      <c r="E112" s="3118">
        <v>0.1</v>
      </c>
      <c r="F112" s="3118">
        <v>15</v>
      </c>
    </row>
    <row r="113" spans="1:6" ht="13.5">
      <c r="A113" s="3118">
        <v>41</v>
      </c>
      <c r="B113" s="3755" t="s">
        <v>2737</v>
      </c>
      <c r="C113" s="3118" t="s">
        <v>2738</v>
      </c>
      <c r="D113" s="3092" t="s">
        <v>2739</v>
      </c>
      <c r="E113" s="3118">
        <v>0.1</v>
      </c>
      <c r="F113" s="3118">
        <v>15</v>
      </c>
    </row>
    <row r="114" spans="1:6" ht="13.5">
      <c r="A114" s="3118">
        <v>42</v>
      </c>
      <c r="B114" s="3755"/>
      <c r="C114" s="3118" t="s">
        <v>2740</v>
      </c>
      <c r="D114" s="3092" t="s">
        <v>2741</v>
      </c>
      <c r="E114" s="3118">
        <v>0.1</v>
      </c>
      <c r="F114" s="3118">
        <v>15</v>
      </c>
    </row>
    <row r="115" spans="1:6" ht="24">
      <c r="A115" s="3118">
        <v>43</v>
      </c>
      <c r="B115" s="3755"/>
      <c r="C115" s="3118" t="s">
        <v>2742</v>
      </c>
      <c r="D115" s="3092" t="s">
        <v>2743</v>
      </c>
      <c r="E115" s="3118">
        <v>0.1</v>
      </c>
      <c r="F115" s="3118">
        <v>15</v>
      </c>
    </row>
    <row r="116" spans="1:6" ht="13.5">
      <c r="A116" s="3118">
        <v>44</v>
      </c>
      <c r="B116" s="3756" t="s">
        <v>2744</v>
      </c>
      <c r="C116" s="3118" t="s">
        <v>2745</v>
      </c>
      <c r="D116" s="3092" t="s">
        <v>2746</v>
      </c>
      <c r="E116" s="3118">
        <v>0.1</v>
      </c>
      <c r="F116" s="3118">
        <v>15</v>
      </c>
    </row>
    <row r="117" spans="1:6" ht="24">
      <c r="A117" s="3118">
        <v>45</v>
      </c>
      <c r="B117" s="3757"/>
      <c r="C117" s="3092" t="s">
        <v>2747</v>
      </c>
      <c r="D117" s="3092" t="s">
        <v>2748</v>
      </c>
      <c r="E117" s="3118">
        <v>0.1</v>
      </c>
      <c r="F117" s="3118">
        <v>15</v>
      </c>
    </row>
    <row r="118" spans="1:6" ht="24">
      <c r="A118" s="3118">
        <v>46</v>
      </c>
      <c r="B118" s="3756" t="s">
        <v>2749</v>
      </c>
      <c r="C118" s="3118" t="s">
        <v>2750</v>
      </c>
      <c r="D118" s="3092" t="s">
        <v>2751</v>
      </c>
      <c r="E118" s="3118">
        <v>0.1</v>
      </c>
      <c r="F118" s="3118">
        <v>15</v>
      </c>
    </row>
    <row r="119" spans="1:6" ht="24">
      <c r="A119" s="3118">
        <v>47</v>
      </c>
      <c r="B119" s="3757"/>
      <c r="C119" s="3118" t="s">
        <v>2752</v>
      </c>
      <c r="D119" s="3092" t="s">
        <v>2753</v>
      </c>
      <c r="E119" s="3118">
        <v>0.1</v>
      </c>
      <c r="F119" s="3118">
        <v>15</v>
      </c>
    </row>
    <row r="120" spans="1:6" ht="13.5">
      <c r="A120" s="3118">
        <v>48</v>
      </c>
      <c r="B120" s="3756" t="s">
        <v>2754</v>
      </c>
      <c r="C120" s="3118" t="s">
        <v>2755</v>
      </c>
      <c r="D120" s="3092" t="s">
        <v>2756</v>
      </c>
      <c r="E120" s="3118">
        <v>0.1</v>
      </c>
      <c r="F120" s="3118">
        <v>15</v>
      </c>
    </row>
    <row r="121" spans="1:6" ht="13.5">
      <c r="A121" s="3118">
        <v>49</v>
      </c>
      <c r="B121" s="3757"/>
      <c r="C121" s="3118" t="s">
        <v>2757</v>
      </c>
      <c r="D121" s="3092" t="s">
        <v>2758</v>
      </c>
      <c r="E121" s="3118">
        <v>0.1</v>
      </c>
      <c r="F121" s="3118">
        <v>15</v>
      </c>
    </row>
    <row r="122" spans="1:6" ht="24">
      <c r="A122" s="3118">
        <v>50</v>
      </c>
      <c r="B122" s="3755" t="s">
        <v>2759</v>
      </c>
      <c r="C122" s="3118" t="s">
        <v>2760</v>
      </c>
      <c r="D122" s="3092" t="s">
        <v>2761</v>
      </c>
      <c r="E122" s="3118">
        <v>0.1</v>
      </c>
      <c r="F122" s="3118">
        <v>15</v>
      </c>
    </row>
    <row r="123" spans="1:6" ht="24">
      <c r="A123" s="3118">
        <v>51</v>
      </c>
      <c r="B123" s="3755"/>
      <c r="C123" s="3118" t="s">
        <v>2762</v>
      </c>
      <c r="D123" s="3092" t="s">
        <v>2763</v>
      </c>
      <c r="E123" s="3118">
        <v>0.1</v>
      </c>
      <c r="F123" s="3118">
        <v>15</v>
      </c>
    </row>
    <row r="124" spans="1:6" ht="24">
      <c r="A124" s="3118">
        <v>52</v>
      </c>
      <c r="B124" s="3755" t="s">
        <v>2764</v>
      </c>
      <c r="C124" s="3118" t="s">
        <v>2765</v>
      </c>
      <c r="D124" s="3092" t="s">
        <v>2766</v>
      </c>
      <c r="E124" s="3118">
        <v>0.1</v>
      </c>
      <c r="F124" s="3118">
        <v>15</v>
      </c>
    </row>
    <row r="125" spans="1:6" ht="24">
      <c r="A125" s="3118">
        <v>53</v>
      </c>
      <c r="B125" s="375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5" t="s">
        <v>2772</v>
      </c>
      <c r="C127" s="3118" t="s">
        <v>2773</v>
      </c>
      <c r="D127" s="3092" t="s">
        <v>2774</v>
      </c>
      <c r="E127" s="3118">
        <v>0.1</v>
      </c>
      <c r="F127" s="3118">
        <v>15</v>
      </c>
    </row>
    <row r="128" spans="1:6" ht="13.5">
      <c r="A128" s="3118">
        <v>56</v>
      </c>
      <c r="B128" s="3755"/>
      <c r="C128" s="3118" t="s">
        <v>2775</v>
      </c>
      <c r="D128" s="3092" t="s">
        <v>2776</v>
      </c>
      <c r="E128" s="3118">
        <v>0.1</v>
      </c>
      <c r="F128" s="3118">
        <v>15</v>
      </c>
    </row>
    <row r="129" spans="1:6" ht="24">
      <c r="A129" s="3118">
        <v>57</v>
      </c>
      <c r="B129" s="3755"/>
      <c r="C129" s="3118" t="s">
        <v>2777</v>
      </c>
      <c r="D129" s="3092" t="s">
        <v>2778</v>
      </c>
      <c r="E129" s="3118">
        <v>0.1</v>
      </c>
      <c r="F129" s="3118">
        <v>15</v>
      </c>
    </row>
    <row r="130" spans="1:6" ht="24">
      <c r="A130" s="3118">
        <v>58</v>
      </c>
      <c r="B130" s="3755" t="s">
        <v>2779</v>
      </c>
      <c r="C130" s="3118" t="s">
        <v>2780</v>
      </c>
      <c r="D130" s="3092" t="s">
        <v>2781</v>
      </c>
      <c r="E130" s="3118">
        <v>0.1</v>
      </c>
      <c r="F130" s="3118">
        <v>15</v>
      </c>
    </row>
    <row r="131" spans="1:6" ht="13.5">
      <c r="A131" s="3118">
        <v>59</v>
      </c>
      <c r="B131" s="3755"/>
      <c r="C131" s="3118" t="s">
        <v>2782</v>
      </c>
      <c r="D131" s="3092" t="s">
        <v>2783</v>
      </c>
      <c r="E131" s="3118">
        <v>0.1</v>
      </c>
      <c r="F131" s="3118">
        <v>15</v>
      </c>
    </row>
    <row r="132" spans="1:6" ht="13.5">
      <c r="A132" s="3118">
        <v>60</v>
      </c>
      <c r="B132" s="3756" t="s">
        <v>2784</v>
      </c>
      <c r="C132" s="3118" t="s">
        <v>2785</v>
      </c>
      <c r="D132" s="3092" t="s">
        <v>2786</v>
      </c>
      <c r="E132" s="3118">
        <v>0.1</v>
      </c>
      <c r="F132" s="3118">
        <v>15</v>
      </c>
    </row>
    <row r="133" spans="1:6" ht="13.5">
      <c r="A133" s="3118">
        <v>61</v>
      </c>
      <c r="B133" s="375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5" t="s">
        <v>2792</v>
      </c>
      <c r="C135" s="3118" t="s">
        <v>2793</v>
      </c>
      <c r="D135" s="3092" t="s">
        <v>2794</v>
      </c>
      <c r="E135" s="3118">
        <v>0.1</v>
      </c>
      <c r="F135" s="3118">
        <v>15</v>
      </c>
    </row>
    <row r="136" spans="1:6" ht="13.5">
      <c r="A136" s="3118">
        <v>64</v>
      </c>
      <c r="B136" s="375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28142</v>
      </c>
      <c r="C2" s="2" t="s">
        <v>106</v>
      </c>
      <c r="D2" s="199"/>
      <c r="E2" s="199"/>
      <c r="F2" s="199"/>
      <c r="G2" s="199"/>
    </row>
    <row r="3" spans="1:7" s="200" customFormat="1" ht="18" customHeight="1" thickBot="1">
      <c r="A3" s="203" t="s">
        <v>58</v>
      </c>
      <c r="B3" s="204">
        <f ca="1">ROUND(B2*10000/'数据-汇总表'!E3,0)</f>
        <v>3896165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72.23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72.23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72.23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35</v>
      </c>
      <c r="D51" s="232"/>
      <c r="E51" s="232"/>
      <c r="F51" s="264"/>
      <c r="G51" s="234" t="s">
        <v>37</v>
      </c>
    </row>
    <row r="52" spans="1:7" s="208" customFormat="1" ht="16.5" thickBot="1">
      <c r="A52" s="265" t="s">
        <v>38</v>
      </c>
      <c r="B52" s="266"/>
      <c r="C52" s="267">
        <f ca="1">C31+C51</f>
        <v>28142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378</v>
      </c>
      <c r="E5" s="1491"/>
    </row>
    <row r="6" spans="1:5" ht="15.75">
      <c r="A6" s="1491"/>
      <c r="B6" s="3450"/>
      <c r="C6" s="1494" t="s">
        <v>911</v>
      </c>
      <c r="D6" s="850" t="str">
        <f ca="1">NUMBERSTRING(INT(D5*10000),2)&amp;"元整"</f>
        <v>叁佰柒拾捌万元整</v>
      </c>
      <c r="E6" s="1491"/>
    </row>
    <row r="7" spans="1:5" ht="15.75">
      <c r="A7" s="1491"/>
      <c r="B7" s="3455"/>
      <c r="C7" s="1495" t="s">
        <v>912</v>
      </c>
      <c r="D7" s="851">
        <f ca="1">结果表!H102</f>
        <v>52333</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378</v>
      </c>
      <c r="E13" s="1491"/>
    </row>
    <row r="14" spans="1:5" ht="15.75">
      <c r="A14" s="1491"/>
      <c r="B14" s="3450"/>
      <c r="C14" s="1494" t="s">
        <v>911</v>
      </c>
      <c r="D14" s="850" t="str">
        <f ca="1">NUMBERSTRING(INT(D13*10000),2)&amp;"元整"</f>
        <v>叁佰柒拾捌万元整</v>
      </c>
      <c r="E14" s="1491"/>
    </row>
    <row r="15" spans="1:5" ht="15">
      <c r="A15" s="1491"/>
      <c r="B15" s="3455"/>
      <c r="C15" s="1495" t="s">
        <v>921</v>
      </c>
      <c r="D15" s="859">
        <f ca="1">结果表!H108</f>
        <v>52333</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69" t="s">
        <v>2848</v>
      </c>
      <c r="B1" s="3769"/>
      <c r="C1" s="3769"/>
      <c r="D1" s="3769"/>
      <c r="E1" s="3769"/>
      <c r="F1" s="3769"/>
      <c r="G1" s="3770"/>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67"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68"/>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1" t="s">
        <v>3190</v>
      </c>
      <c r="B1" s="3771"/>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72" t="s">
        <v>3241</v>
      </c>
      <c r="B1" s="3772"/>
      <c r="C1" s="3772"/>
      <c r="D1" s="3772"/>
      <c r="E1" s="3772"/>
      <c r="F1" s="3773"/>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74" t="s">
        <v>456</v>
      </c>
      <c r="S1" s="3775"/>
      <c r="T1" s="3775"/>
      <c r="U1" s="3775"/>
      <c r="V1" s="3775"/>
      <c r="W1" s="3775"/>
      <c r="X1" s="3165"/>
      <c r="Y1" s="3774" t="s">
        <v>457</v>
      </c>
      <c r="Z1" s="3775"/>
      <c r="AA1" s="3775"/>
      <c r="AB1" s="3775"/>
      <c r="AC1" s="3775"/>
      <c r="AD1" s="377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74" t="s">
        <v>2833</v>
      </c>
      <c r="S18" s="3775"/>
      <c r="T18" s="3775"/>
      <c r="U18" s="3775"/>
      <c r="V18" s="3775"/>
      <c r="W18" s="3775"/>
      <c r="X18" s="3165"/>
      <c r="Y18" s="3774" t="s">
        <v>2834</v>
      </c>
      <c r="Z18" s="3775"/>
      <c r="AA18" s="3775"/>
      <c r="AB18" s="3775"/>
      <c r="AC18" s="3775"/>
      <c r="AD18" s="3775"/>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30" sqref="N3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854" t="s">
        <v>925</v>
      </c>
      <c r="E3" s="854" t="s">
        <v>931</v>
      </c>
      <c r="F3" s="854" t="s">
        <v>925</v>
      </c>
      <c r="G3" s="854" t="s">
        <v>926</v>
      </c>
      <c r="H3" s="854" t="s">
        <v>925</v>
      </c>
      <c r="I3" s="854" t="s">
        <v>926</v>
      </c>
    </row>
    <row r="4" spans="1:9" ht="30">
      <c r="A4" s="1505" t="str">
        <f>项目基本情况!S2</f>
        <v>北京市朝阳区广渠路36号院5号楼7层722房地产</v>
      </c>
      <c r="B4" s="854">
        <f>项目基本情况!C17</f>
        <v>72.23</v>
      </c>
      <c r="C4" s="854">
        <f>项目基本情况!C18</f>
        <v>0</v>
      </c>
      <c r="D4" s="854" t="e">
        <f ca="1">结果表!D118</f>
        <v>#REF!</v>
      </c>
      <c r="E4" s="854" t="e">
        <f ca="1">结果表!E118</f>
        <v>#REF!</v>
      </c>
      <c r="F4" s="854" t="e">
        <f ca="1">结果表!F118</f>
        <v>#REF!</v>
      </c>
      <c r="G4" s="854" t="e">
        <f ca="1">结果表!G118</f>
        <v>#REF!</v>
      </c>
      <c r="H4" s="854">
        <f ca="1">结果表!H118</f>
        <v>378</v>
      </c>
      <c r="I4" s="854">
        <f ca="1">结果表!I118</f>
        <v>52333</v>
      </c>
    </row>
    <row r="5" spans="1:9" ht="30" customHeight="1">
      <c r="A5" s="3462" t="s">
        <v>927</v>
      </c>
      <c r="B5" s="3462"/>
      <c r="C5" s="3462"/>
      <c r="D5" s="3462" t="e">
        <f ca="1">结果表!D119</f>
        <v>#REF!</v>
      </c>
      <c r="E5" s="3462"/>
      <c r="F5" s="3462" t="e">
        <f ca="1">结果表!F119</f>
        <v>#REF!</v>
      </c>
      <c r="G5" s="3462"/>
      <c r="H5" s="3462" t="str">
        <f ca="1">结果表!H119</f>
        <v>叁佰柒拾捌万元整</v>
      </c>
      <c r="I5" s="3462"/>
    </row>
    <row r="6" spans="1:9" ht="15.75">
      <c r="A6" s="3461" t="str">
        <f>结果表!A120</f>
        <v>估价师知悉的法定优先受偿款</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房地产抵押价值</v>
      </c>
      <c r="B8" s="3461"/>
      <c r="C8" s="3461"/>
      <c r="D8" s="3461">
        <f ca="1">结果表!D122</f>
        <v>378</v>
      </c>
      <c r="E8" s="3461"/>
      <c r="F8" s="3461"/>
      <c r="G8" s="3461"/>
      <c r="H8" s="3461"/>
      <c r="I8" s="3461"/>
    </row>
    <row r="9" spans="1:9" ht="15">
      <c r="A9" s="3462" t="s">
        <v>927</v>
      </c>
      <c r="B9" s="3462"/>
      <c r="C9" s="3462"/>
      <c r="D9" s="3462" t="str">
        <f ca="1">结果表!D123</f>
        <v>叁佰柒拾捌万元整</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
      </c>
      <c r="B12" s="3461"/>
      <c r="C12" s="3461"/>
      <c r="D12" s="3461" t="str">
        <f>结果表!D126</f>
        <v>——</v>
      </c>
      <c r="E12" s="3461"/>
      <c r="F12" s="3461"/>
      <c r="G12" s="3461"/>
      <c r="H12" s="3461"/>
      <c r="I12" s="3461"/>
    </row>
    <row r="13" spans="1:9" ht="15.75" thickBot="1">
      <c r="A13" s="3459" t="s">
        <v>927</v>
      </c>
      <c r="B13" s="3459"/>
      <c r="C13" s="3459"/>
      <c r="D13" s="3459" t="e">
        <f>结果表!D127</f>
        <v>#VALUE!</v>
      </c>
      <c r="E13" s="3459"/>
      <c r="F13" s="3459"/>
      <c r="G13" s="3459"/>
      <c r="H13" s="3459"/>
      <c r="I13" s="3459"/>
    </row>
    <row r="14" spans="1:9" ht="15" thickTop="1">
      <c r="A14" s="3460" t="s">
        <v>932</v>
      </c>
      <c r="B14" s="3460"/>
      <c r="C14" s="3460"/>
      <c r="D14" s="3460"/>
      <c r="E14" s="3460"/>
      <c r="F14" s="3460"/>
      <c r="G14" s="3460"/>
      <c r="H14" s="3460"/>
      <c r="I14" s="34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3" sqref="F1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2023-01-12T06:55:18Z</dcterms:modified>
</cp:coreProperties>
</file>