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新建文件夹\"/>
    </mc:Choice>
  </mc:AlternateContent>
  <xr:revisionPtr revIDLastSave="0" documentId="13_ncr:1_{1A773E71-E37E-4C00-8AF5-CC79AFFAD889}" xr6:coauthVersionLast="45" xr6:coauthVersionMax="45" xr10:uidLastSave="{00000000-0000-0000-0000-000000000000}"/>
  <bookViews>
    <workbookView xWindow="-108" yWindow="-108" windowWidth="23256" windowHeight="12576" tabRatio="875" firstSheet="12" activeTab="16"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Sheet1" sheetId="68" r:id="rId34"/>
    <sheet name="Sheet2" sheetId="69" r:id="rId35"/>
    <sheet name="土地"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E48" i="39"/>
  <c r="I40" i="39"/>
  <c r="G40" i="39"/>
  <c r="E40" i="39"/>
  <c r="I9" i="39"/>
  <c r="G9" i="39"/>
  <c r="E9" i="39"/>
  <c r="I7" i="39"/>
  <c r="G7" i="39"/>
  <c r="E7" i="39"/>
  <c r="C40" i="39"/>
  <c r="E120" i="39"/>
  <c r="F120" i="39"/>
  <c r="G120" i="39"/>
  <c r="D120" i="39"/>
  <c r="E73" i="39"/>
  <c r="F73" i="39"/>
  <c r="G73" i="39"/>
  <c r="H73" i="39"/>
  <c r="I73" i="39"/>
  <c r="D73" i="39"/>
  <c r="C10" i="12"/>
  <c r="C8" i="12"/>
  <c r="C11" i="21"/>
  <c r="I7" i="21"/>
  <c r="G7" i="21"/>
  <c r="E7" i="21"/>
  <c r="C33" i="2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J57" i="15"/>
  <c r="J55" i="15"/>
  <c r="J58" i="15"/>
  <c r="J59" i="15"/>
  <c r="J60" i="15"/>
  <c r="L46" i="15"/>
  <c r="B2" i="15"/>
  <c r="D10" i="12"/>
  <c r="B3" i="15"/>
  <c r="D8" i="12"/>
  <c r="AN13" i="3"/>
  <c r="G20" i="6"/>
  <c r="F20" i="6"/>
  <c r="F19" i="6"/>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F7" i="21"/>
  <c r="AA7" i="21"/>
  <c r="R48" i="21"/>
  <c r="E48" i="21"/>
  <c r="E52" i="21"/>
  <c r="H7" i="21"/>
  <c r="AB7" i="21"/>
  <c r="T48" i="21"/>
  <c r="G48" i="21"/>
  <c r="E53" i="21"/>
  <c r="AE6" i="1"/>
  <c r="W18" i="36"/>
  <c r="AC18" i="36"/>
  <c r="AG6" i="1"/>
  <c r="D12" i="11"/>
  <c r="C12" i="11"/>
  <c r="L20" i="6"/>
  <c r="AZ5" i="3"/>
  <c r="E3" i="6"/>
  <c r="D16" i="43"/>
  <c r="C16" i="43"/>
  <c r="L19" i="6"/>
  <c r="L27" i="6"/>
  <c r="B21" i="55"/>
  <c r="B72" i="63"/>
  <c r="B20" i="55"/>
  <c r="B70" i="63"/>
  <c r="E28" i="6"/>
  <c r="K20" i="6"/>
  <c r="S7" i="1"/>
  <c r="K19" i="6"/>
  <c r="S6" i="1"/>
  <c r="S8" i="1"/>
  <c r="S9" i="1"/>
  <c r="D16" i="12"/>
  <c r="D19" i="12"/>
  <c r="C19" i="12"/>
  <c r="E6" i="6"/>
  <c r="D22" i="12"/>
  <c r="C22" i="12"/>
  <c r="L38" i="9"/>
  <c r="B14" i="66"/>
  <c r="B1" i="66"/>
  <c r="C45" i="9"/>
  <c r="H14" i="66"/>
  <c r="B7" i="66"/>
  <c r="C7" i="66"/>
  <c r="R9" i="1"/>
  <c r="M20" i="6"/>
  <c r="I20" i="6"/>
  <c r="AY6" i="3"/>
  <c r="D3" i="6"/>
  <c r="H20" i="6"/>
  <c r="D20" i="6"/>
  <c r="R20" i="6"/>
  <c r="R7" i="1"/>
  <c r="R8" i="1"/>
  <c r="M19" i="6"/>
  <c r="I19" i="6"/>
  <c r="H19" i="6"/>
  <c r="D19" i="6"/>
  <c r="R19" i="6"/>
  <c r="R6" i="1"/>
  <c r="C19" i="9"/>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E70" i="39"/>
  <c r="D72" i="39"/>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R49" i="21"/>
  <c r="F72" i="39"/>
  <c r="G70" i="39"/>
  <c r="F7" i="36"/>
  <c r="S7" i="36"/>
  <c r="C20" i="46"/>
  <c r="M20" i="46"/>
  <c r="R24" i="6"/>
  <c r="D16" i="6"/>
  <c r="D30" i="6"/>
  <c r="R22" i="6"/>
  <c r="R23" i="6"/>
  <c r="R25" i="6"/>
  <c r="D27" i="6"/>
  <c r="M27" i="6"/>
  <c r="D7" i="66"/>
  <c r="D6" i="66"/>
  <c r="D8" i="6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F53"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Q51" i="15"/>
  <c r="I54" i="15"/>
  <c r="L56" i="15"/>
  <c r="F49" i="15"/>
  <c r="J20" i="15"/>
  <c r="L44" i="9"/>
  <c r="Q73" i="44"/>
  <c r="G20" i="9"/>
  <c r="F65" i="15"/>
  <c r="J54" i="44"/>
  <c r="J58" i="44"/>
  <c r="J56" i="44"/>
  <c r="J59" i="44"/>
  <c r="Q52" i="44"/>
  <c r="L57" i="44"/>
  <c r="J60" i="44"/>
  <c r="I55" i="44"/>
  <c r="J61" i="44"/>
  <c r="Q50" i="44"/>
  <c r="F62" i="15"/>
  <c r="C61" i="15"/>
  <c r="C29" i="44"/>
  <c r="F67" i="15"/>
  <c r="F50" i="15"/>
  <c r="I1" i="6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<sst xmlns="http://schemas.openxmlformats.org/spreadsheetml/2006/main" count="7494" uniqueCount="3195">
  <si>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</si>
  <si>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</si>
  <si>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</si>
  <si>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</si>
  <si>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</si>
  <si>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</si>
  <si>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</si>
  <si>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</si>
  <si>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</si>
  <si>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</si>
  <si>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</si>
  <si>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</si>
  <si>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</si>
  <si>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</si>
  <si>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</si>
  <si>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</si>
  <si>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</si>
  <si>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</si>
  <si>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</si>
  <si>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</si>
  <si>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</si>
  <si>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</si>
  <si>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</si>
  <si>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</si>
  <si>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</si>
  <si>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</si>
  <si>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</si>
  <si>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</si>
  <si>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</si>
  <si>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</si>
  <si>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</si>
  <si>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</si>
  <si>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</si>
  <si>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</si>
  <si>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</si>
  <si>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</si>
  <si>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</si>
  <si>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</si>
  <si>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</si>
  <si>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</si>
  <si>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</si>
  <si>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</si>
  <si>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</si>
  <si>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</si>
  <si>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</si>
  <si>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</si>
  <si>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</si>
  <si>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</si>
  <si>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</si>
  <si>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</si>
  <si>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</si>
  <si>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</si>
  <si>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</si>
  <si>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</si>
  <si>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</si>
  <si>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</si>
  <si>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</si>
  <si>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</si>
  <si>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</si>
  <si>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</si>
  <si>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</si>
  <si>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</si>
  <si>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</si>
  <si>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</si>
  <si>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</si>
  <si>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</si>
  <si>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</si>
  <si>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</si>
  <si>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</si>
  <si>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</si>
  <si>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</si>
  <si>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</si>
  <si>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</si>
  <si>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</si>
  <si>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</si>
  <si>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</si>
  <si>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</si>
  <si>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</si>
  <si>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</si>
  <si>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</si>
  <si>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</si>
  <si>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</si>
  <si>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</si>
  <si>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</si>
  <si>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</si>
  <si>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</si>
  <si>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</si>
  <si>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</si>
  <si>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</si>
  <si>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</si>
  <si>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</si>
  <si>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</si>
  <si>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</si>
  <si>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</si>
  <si>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</si>
  <si>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</si>
  <si>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</si>
  <si>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</si>
  <si>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</si>
  <si>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</si>
  <si>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</si>
  <si>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</si>
  <si>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</si>
  <si>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</si>
  <si>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</si>
  <si>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</si>
  <si>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</si>
  <si>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</si>
  <si>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</si>
  <si>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</si>
  <si>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</si>
  <si>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</si>
  <si>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</si>
  <si>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</si>
  <si>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</si>
  <si>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</si>
  <si>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</si>
  <si>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</si>
  <si>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</si>
  <si>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</si>
  <si>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</si>
  <si>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</si>
  <si>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</si>
  <si>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</si>
  <si>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</si>
  <si>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</si>
  <si>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</si>
  <si>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</si>
  <si>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</si>
  <si>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</si>
  <si>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</si>
  <si>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</si>
  <si>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</si>
  <si>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</si>
  <si>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</si>
  <si>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</si>
  <si>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</si>
  <si>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</si>
  <si>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</si>
  <si>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</si>
  <si>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</si>
  <si>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</si>
  <si>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</si>
  <si>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</si>
  <si>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</si>
  <si>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</si>
  <si>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</si>
  <si>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</si>
  <si>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</si>
  <si>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</si>
  <si>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</si>
  <si>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</si>
  <si>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</si>
  <si>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</si>
  <si>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</si>
  <si>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</si>
  <si>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</si>
  <si>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</si>
  <si>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</si>
  <si>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</si>
  <si>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</si>
  <si>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</si>
  <si>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</si>
  <si>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</si>
  <si>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</si>
  <si>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</si>
  <si>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</si>
  <si>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</si>
  <si>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</si>
  <si>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</si>
  <si>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</si>
  <si>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</si>
  <si>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</si>
  <si>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</si>
  <si>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</si>
  <si>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</si>
  <si>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</si>
  <si>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</si>
  <si>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</si>
  <si>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</si>
  <si>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</si>
  <si>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</si>
  <si>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</si>
  <si>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</si>
  <si>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</si>
  <si>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</si>
  <si>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</si>
  <si>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</si>
  <si>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</si>
  <si>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</si>
  <si>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</si>
  <si>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</si>
  <si>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</si>
  <si>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</si>
  <si>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</si>
  <si>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</si>
  <si>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</si>
  <si>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</si>
  <si>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</si>
  <si>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</si>
  <si>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</si>
  <si>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</si>
  <si>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</si>
  <si>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</si>
  <si>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</si>
  <si>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</si>
  <si>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</si>
  <si>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</si>
  <si>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</si>
  <si>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</si>
  <si>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</si>
  <si>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</si>
  <si>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</si>
  <si>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</si>
  <si>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</si>
  <si>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</si>
  <si>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</si>
  <si>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</si>
  <si>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</si>
  <si>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</si>
  <si>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</si>
  <si>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</si>
  <si>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</si>
  <si>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</si>
  <si>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</si>
  <si>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</si>
  <si>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</si>
  <si>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</si>
  <si>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</si>
  <si>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</si>
  <si>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</si>
  <si>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</si>
  <si>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</si>
  <si>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</si>
  <si>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</si>
  <si>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</si>
  <si>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</si>
  <si>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</si>
  <si>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</si>
  <si>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</si>
  <si>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</si>
  <si>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</si>
  <si>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</si>
  <si>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</si>
  <si>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</si>
  <si>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</si>
  <si>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</si>
  <si>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</si>
  <si>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</si>
  <si>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</si>
  <si>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</si>
  <si>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</si>
  <si>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</si>
  <si>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</si>
  <si>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</si>
  <si>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</si>
  <si>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</si>
  <si>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</si>
  <si>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</si>
  <si>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</si>
  <si>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</si>
  <si>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</si>
  <si>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</si>
  <si>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</si>
  <si>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</si>
  <si>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</si>
  <si>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</si>
  <si>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</si>
  <si>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</si>
  <si>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</si>
  <si>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</si>
  <si>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</si>
  <si>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</si>
  <si>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</si>
  <si>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</si>
  <si>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</si>
  <si>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</si>
  <si>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</si>
  <si>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</si>
  <si>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</si>
  <si>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</si>
  <si>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</si>
  <si>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</si>
  <si>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</si>
  <si>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</si>
  <si>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</si>
  <si>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</si>
  <si>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</si>
  <si>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</si>
  <si>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</si>
  <si>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</si>
  <si>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</si>
  <si>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</si>
  <si>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</si>
  <si>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</si>
  <si>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</si>
  <si>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</si>
  <si>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</si>
  <si>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</si>
  <si>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</si>
  <si>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</si>
  <si>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</si>
  <si>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</si>
  <si>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</si>
  <si>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</si>
  <si>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</si>
  <si>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</si>
  <si>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</si>
  <si>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</si>
  <si>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</si>
  <si>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</si>
  <si>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</si>
  <si>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</si>
  <si>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</si>
  <si>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</si>
  <si>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</si>
  <si>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</si>
  <si>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</si>
  <si>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</si>
  <si>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</si>
  <si>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</si>
  <si>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</si>
  <si>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</si>
  <si>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</si>
  <si>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</si>
  <si>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</si>
  <si>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</si>
  <si>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</si>
  <si>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</si>
  <si>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</si>
  <si>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</si>
  <si>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</si>
  <si>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</si>
  <si>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</si>
  <si>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</si>
  <si>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</si>
  <si>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</si>
  <si>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</si>
  <si>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</si>
  <si>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</si>
  <si>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</si>
  <si>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</si>
  <si>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</si>
  <si>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</si>
  <si>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</si>
  <si>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</si>
  <si>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</si>
  <si>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</si>
  <si>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</si>
  <si>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</si>
  <si>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</si>
  <si>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</si>
  <si>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</si>
  <si>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</si>
  <si>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</si>
  <si>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</si>
  <si>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</si>
  <si>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</si>
  <si>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</si>
  <si>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</si>
  <si>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</si>
  <si>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</si>
  <si>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</si>
  <si>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</si>
  <si>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</si>
  <si>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</si>
  <si>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</si>
  <si>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</si>
  <si>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</si>
  <si>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</si>
  <si>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</si>
  <si>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</si>
  <si>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</si>
  <si>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</si>
  <si>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</si>
  <si>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</si>
  <si>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</si>
  <si>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</si>
  <si>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</si>
  <si>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</si>
  <si>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</si>
  <si>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</si>
  <si>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</si>
  <si>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</si>
  <si>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</si>
  <si>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</si>
  <si>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</si>
  <si>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</si>
  <si>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</si>
  <si>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</si>
  <si>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</si>
  <si>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</si>
  <si>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</si>
  <si>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</si>
  <si>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</si>
  <si>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</si>
  <si>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</si>
  <si>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</si>
  <si>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</si>
  <si>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</si>
  <si>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</si>
  <si>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</si>
  <si>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</si>
  <si>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</si>
  <si>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</si>
  <si>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</si>
  <si>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</si>
  <si>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</si>
  <si>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</si>
  <si>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</si>
  <si>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</si>
  <si>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</si>
  <si>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</si>
  <si>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</si>
  <si>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</si>
  <si>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</si>
  <si>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</si>
  <si>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</si>
  <si>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</si>
  <si>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</si>
  <si>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</si>
  <si>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</si>
  <si>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</si>
  <si>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</si>
  <si>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</si>
  <si>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</si>
  <si>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</si>
  <si>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</si>
  <si>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</si>
  <si>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</si>
  <si>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</si>
  <si>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</si>
  <si>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</si>
  <si>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</si>
  <si>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</si>
  <si>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</si>
  <si>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</si>
  <si>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</si>
  <si>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</si>
  <si>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</si>
  <si>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</si>
  <si>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</si>
  <si>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</si>
  <si>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</si>
  <si>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</si>
  <si>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</si>
  <si>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</si>
  <si>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</si>
  <si>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</si>
  <si>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</si>
  <si>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</si>
  <si>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</si>
  <si>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</si>
  <si>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</si>
  <si>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</si>
  <si>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</si>
  <si>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</si>
  <si>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</si>
  <si>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</si>
  <si>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</si>
  <si>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</si>
  <si>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</si>
  <si>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</si>
  <si>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</si>
  <si>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</si>
  <si>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</si>
  <si>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</si>
  <si>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</si>
  <si>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</si>
  <si>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</si>
  <si>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</si>
  <si>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</si>
  <si>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</si>
  <si>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</si>
  <si>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</si>
  <si>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</si>
  <si>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</si>
  <si>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</si>
  <si>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</si>
  <si>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</si>
  <si>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</si>
  <si>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</si>
  <si>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</si>
  <si>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</si>
  <si>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</si>
  <si>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</si>
  <si>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</si>
  <si>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</si>
  <si>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</si>
  <si>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</si>
  <si>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</si>
  <si>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</si>
  <si>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</si>
  <si>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</si>
  <si>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</si>
  <si>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</si>
  <si>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</si>
  <si>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</si>
  <si>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</si>
  <si>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</si>
  <si>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</si>
  <si>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</si>
  <si>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</si>
  <si>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</si>
  <si>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</si>
  <si>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</si>
  <si>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</si>
  <si>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</si>
  <si>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</si>
  <si>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</si>
  <si>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</si>
  <si>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</si>
  <si>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</si>
  <si>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</si>
  <si>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</si>
  <si>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</si>
  <si>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</si>
  <si>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</si>
  <si>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</si>
  <si>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</si>
  <si>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</si>
  <si>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</si>
  <si>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</si>
  <si>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</si>
  <si>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</si>
  <si>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</si>
  <si>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</si>
  <si>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</si>
  <si>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</si>
  <si>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</si>
  <si>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</si>
  <si>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</si>
  <si>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</si>
  <si>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</si>
  <si>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</si>
  <si>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</si>
  <si>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</si>
  <si>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</si>
  <si>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</si>
  <si>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</si>
  <si>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</si>
  <si>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</si>
  <si>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</si>
  <si>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</si>
  <si>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</si>
  <si>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</si>
  <si>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</si>
  <si>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</si>
  <si>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</si>
  <si>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</si>
  <si>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</si>
  <si>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</si>
  <si>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</si>
  <si>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</si>
  <si>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</si>
  <si>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</si>
  <si>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</si>
  <si>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</si>
  <si>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</si>
  <si>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</si>
  <si>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</si>
  <si>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</si>
  <si>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</si>
  <si>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</si>
  <si>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</si>
  <si>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</si>
  <si>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</si>
  <si>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</si>
  <si>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</si>
  <si>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</si>
  <si>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</si>
  <si>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</si>
  <si>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</si>
  <si>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</si>
  <si>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</si>
  <si>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</si>
  <si>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</si>
  <si>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</si>
  <si>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</si>
  <si>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</si>
  <si>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</si>
  <si>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</si>
  <si>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</si>
  <si>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</si>
  <si>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</si>
  <si>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</si>
  <si>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</si>
  <si>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</si>
  <si>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</si>
  <si>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</si>
  <si>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</si>
  <si>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</si>
  <si>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</si>
  <si>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</si>
  <si>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</si>
  <si>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</si>
  <si>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</si>
  <si>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</si>
  <si>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</si>
  <si>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</si>
  <si>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</si>
  <si>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</si>
  <si>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</si>
  <si>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</si>
  <si>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</si>
  <si>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</si>
  <si>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</si>
  <si>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</si>
  <si>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</si>
  <si>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</si>
  <si>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</si>
  <si>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</si>
  <si>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</si>
  <si>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</si>
  <si>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</si>
  <si>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</si>
  <si>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</si>
  <si>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</si>
  <si>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</si>
  <si>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</si>
  <si>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</si>
  <si>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</si>
  <si>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</si>
  <si>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</si>
  <si>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</si>
  <si>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</si>
  <si>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</si>
  <si>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</si>
  <si>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</si>
  <si>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</si>
  <si>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</si>
  <si>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</si>
  <si>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</si>
  <si>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</si>
  <si>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</si>
  <si>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</si>
  <si>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</si>
  <si>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</si>
  <si>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</si>
  <si>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</si>
  <si>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</si>
  <si>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</si>
  <si>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</si>
  <si>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</si>
  <si>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</si>
  <si>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</si>
  <si>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</si>
  <si>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</si>
  <si>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</si>
  <si>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</si>
  <si>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</si>
  <si>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</si>
  <si>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</si>
  <si>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</si>
  <si>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</si>
  <si>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</si>
  <si>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</si>
  <si>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</si>
  <si>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</si>
  <si>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</si>
  <si>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</si>
  <si>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</si>
  <si>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</si>
  <si>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</si>
  <si>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</si>
  <si>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</si>
  <si>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</si>
  <si>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</si>
  <si>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</si>
  <si>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</si>
  <si>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</si>
  <si>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</si>
  <si>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</si>
  <si>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</si>
  <si>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</si>
  <si>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</si>
  <si>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</si>
  <si>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</si>
  <si>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</si>
  <si>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</si>
  <si>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</si>
  <si>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</si>
  <si>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</si>
  <si>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</si>
  <si>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</si>
  <si>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</si>
  <si>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</si>
  <si>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</si>
  <si>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</si>
  <si>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</si>
  <si>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</si>
  <si>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</si>
  <si>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</si>
  <si>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</si>
  <si>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</si>
  <si>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</si>
  <si>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</si>
  <si>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</si>
  <si>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</si>
  <si>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</si>
  <si>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</si>
  <si>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</si>
  <si>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</si>
  <si>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</si>
  <si>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</si>
  <si>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</si>
  <si>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</si>
  <si>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</si>
  <si>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</si>
  <si>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</si>
  <si>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</si>
  <si>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</si>
  <si>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</si>
  <si>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</si>
  <si>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</si>
  <si>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</si>
  <si>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</si>
  <si>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</si>
  <si>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</si>
  <si>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</si>
  <si>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</si>
  <si>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</si>
  <si>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</si>
  <si>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</si>
  <si>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</si>
  <si>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</si>
  <si>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</si>
  <si>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</si>
  <si>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</si>
  <si>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</si>
  <si>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</si>
  <si>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</si>
  <si>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</si>
  <si>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</si>
  <si>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</si>
  <si>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</si>
  <si>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</si>
  <si>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</si>
  <si>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</si>
  <si>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</si>
  <si>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</si>
  <si>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</si>
  <si>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</si>
  <si>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</si>
  <si>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</si>
  <si>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</si>
  <si>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</si>
  <si>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</si>
  <si>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</si>
  <si>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</si>
  <si>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</si>
  <si>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</si>
  <si>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</si>
  <si>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</si>
  <si>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</si>
  <si>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</si>
  <si>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</si>
  <si>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</si>
  <si>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</si>
  <si>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</si>
  <si>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</si>
  <si>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</si>
  <si>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</si>
  <si>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</si>
  <si>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</si>
  <si>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</si>
  <si>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</si>
  <si>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</si>
  <si>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</si>
  <si>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</si>
  <si>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</si>
  <si>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</si>
  <si>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</si>
  <si>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</si>
  <si>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</si>
  <si>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</si>
  <si>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</si>
  <si>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</si>
  <si>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</si>
  <si>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</si>
  <si>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</si>
  <si>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</si>
  <si>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</si>
  <si>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</si>
  <si>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</si>
  <si>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</si>
  <si>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</si>
  <si>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</si>
  <si>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</si>
  <si>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</si>
  <si>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</si>
  <si>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</si>
  <si>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</si>
  <si>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</si>
  <si>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</si>
  <si>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</si>
  <si>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</si>
  <si>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</si>
  <si>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</si>
  <si>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</si>
  <si>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</si>
  <si>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</si>
  <si>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</si>
  <si>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</si>
  <si>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</si>
  <si>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</si>
  <si>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</si>
  <si>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</si>
  <si>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</si>
  <si>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</si>
  <si>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</si>
  <si>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</si>
  <si>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</si>
  <si>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</si>
  <si>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</si>
  <si>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</si>
  <si>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</si>
  <si>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</si>
  <si>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</si>
  <si>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</si>
  <si>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</si>
  <si>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</si>
  <si>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</si>
  <si>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</si>
  <si>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</si>
  <si>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</si>
  <si>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</si>
  <si>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</si>
  <si>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</si>
  <si>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</si>
  <si>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</si>
  <si>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</si>
  <si>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</si>
  <si>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</si>
  <si>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</si>
  <si>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</si>
  <si>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</si>
  <si>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</si>
  <si>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</si>
  <si>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</si>
  <si>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</si>
  <si>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</si>
  <si>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</si>
  <si>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</si>
  <si>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</si>
  <si>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</si>
  <si>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</si>
  <si>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</si>
  <si>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</si>
  <si>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</si>
  <si>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</si>
  <si>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</si>
  <si>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</si>
  <si>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</si>
  <si>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</si>
  <si>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</si>
  <si>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</si>
  <si>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</si>
  <si>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</si>
  <si>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</si>
  <si>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</si>
  <si>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</si>
  <si>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</si>
  <si>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</si>
  <si>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</si>
  <si>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</si>
  <si>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</si>
  <si>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</si>
  <si>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</si>
  <si>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</si>
  <si>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</si>
  <si>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</si>
  <si>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</si>
  <si>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</si>
  <si>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</si>
  <si>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</si>
  <si>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</si>
  <si>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</si>
  <si>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</si>
  <si>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</si>
  <si>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</si>
  <si>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</si>
  <si>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</si>
  <si>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</si>
  <si>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</si>
  <si>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</si>
  <si>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</si>
  <si>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</si>
  <si>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</si>
  <si>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</si>
  <si>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</si>
  <si>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</si>
  <si>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</si>
  <si>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</si>
  <si>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</si>
  <si>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</si>
  <si>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</si>
  <si>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</si>
  <si>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</si>
  <si>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</si>
  <si>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</si>
  <si>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</si>
  <si>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</si>
  <si>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</si>
  <si>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</si>
  <si>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</si>
  <si>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</si>
  <si>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</si>
  <si>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</si>
  <si>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</si>
  <si>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</si>
  <si>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</si>
  <si>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</si>
  <si>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</si>
  <si>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</si>
  <si>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</si>
  <si>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</si>
  <si>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</si>
  <si>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</si>
  <si>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</si>
  <si>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</si>
  <si>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</si>
  <si>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</si>
  <si>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</si>
  <si>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</si>
  <si>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</si>
  <si>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</si>
  <si>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</si>
  <si>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</si>
  <si>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</si>
  <si>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</si>
  <si>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</si>
  <si>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</si>
  <si>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</si>
  <si>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</si>
  <si>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</si>
  <si>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</si>
  <si>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</si>
  <si>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</si>
  <si>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</si>
  <si>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</si>
  <si>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</si>
  <si>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</si>
  <si>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</si>
  <si>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</si>
  <si>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</si>
  <si>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</si>
  <si>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</si>
  <si>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</si>
  <si>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</si>
  <si>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</si>
  <si>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</si>
  <si>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</si>
  <si>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</si>
  <si>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</si>
  <si>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</si>
  <si>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</si>
  <si>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</si>
  <si>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</si>
  <si>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</si>
  <si>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</si>
  <si>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</si>
  <si>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</si>
  <si>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</si>
  <si>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</si>
  <si>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</si>
  <si>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</si>
  <si>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</si>
  <si>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</si>
  <si>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</si>
  <si>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</si>
  <si>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</si>
  <si>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</si>
  <si>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</si>
  <si>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</si>
  <si>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</si>
  <si>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</si>
  <si>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</si>
  <si>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</si>
  <si>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</si>
  <si>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</si>
  <si>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</si>
  <si>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</si>
  <si>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</si>
  <si>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</si>
  <si>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</si>
  <si>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</si>
  <si>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</si>
  <si>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</si>
  <si>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</si>
  <si>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</si>
  <si>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</si>
  <si>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</si>
  <si>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</si>
  <si>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</si>
  <si>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</si>
  <si>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</si>
  <si>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</si>
  <si>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</si>
  <si>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</si>
  <si>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</si>
  <si>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</si>
  <si>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</si>
  <si>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</si>
  <si>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</si>
  <si>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</si>
  <si>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</si>
  <si>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</si>
  <si>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</si>
  <si>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</si>
  <si>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</si>
  <si>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</si>
  <si>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</si>
  <si>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</si>
  <si>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</si>
  <si>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</si>
  <si>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</si>
  <si>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</si>
  <si>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</si>
  <si>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</si>
  <si>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</si>
  <si>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</si>
  <si>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</si>
  <si>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</si>
  <si>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</si>
  <si>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</si>
  <si>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</si>
  <si>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</si>
  <si>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</si>
  <si>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</si>
  <si>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</si>
  <si>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</si>
  <si>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</si>
  <si>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</si>
  <si>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</si>
  <si>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</si>
  <si>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</si>
  <si>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</si>
  <si>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</si>
  <si>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</si>
  <si>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</si>
  <si>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</si>
  <si>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</si>
  <si>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</si>
  <si>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</si>
  <si>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</si>
  <si>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</si>
  <si>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</si>
  <si>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</si>
  <si>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</si>
  <si>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</si>
  <si>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</si>
  <si>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</si>
  <si>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</si>
  <si>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</si>
  <si>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</si>
  <si>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</si>
  <si>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</si>
  <si>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</si>
  <si>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</si>
  <si>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</si>
  <si>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</si>
  <si>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</si>
  <si>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</si>
  <si>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</si>
  <si>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</si>
  <si>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</si>
  <si>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</si>
  <si>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</si>
  <si>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</si>
  <si>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</si>
  <si>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</si>
  <si>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</si>
  <si>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</si>
  <si>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</si>
  <si>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</si>
  <si>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</si>
  <si>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</si>
  <si>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</si>
  <si>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</si>
  <si>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</si>
  <si>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</si>
  <si>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</si>
  <si>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</si>
  <si>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</si>
  <si>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</si>
  <si>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</si>
  <si>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</si>
  <si>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</si>
  <si>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</si>
  <si>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</si>
  <si>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</si>
  <si>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</si>
  <si>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</si>
  <si>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</si>
  <si>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</si>
  <si>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</si>
  <si>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</si>
  <si>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</si>
  <si>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</si>
  <si>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</si>
  <si>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</si>
  <si>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</si>
  <si>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</si>
  <si>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</si>
  <si>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</si>
  <si>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</si>
  <si>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</si>
  <si>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</si>
  <si>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</si>
  <si>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</si>
  <si>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</si>
  <si>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</si>
  <si>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</si>
  <si>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</si>
  <si>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</si>
  <si>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</si>
  <si>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</si>
  <si>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</si>
  <si>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</si>
  <si>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</si>
  <si>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</si>
  <si>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</si>
  <si>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</si>
  <si>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</si>
  <si>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</si>
  <si>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</si>
  <si>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</si>
  <si>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</si>
  <si>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</si>
  <si>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</si>
  <si>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</si>
  <si>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</si>
  <si>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</si>
  <si>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</si>
  <si>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</si>
  <si>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</si>
  <si>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</si>
  <si>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</si>
  <si>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</si>
  <si>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</si>
  <si>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</si>
  <si>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</si>
  <si>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</si>
  <si>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</si>
  <si>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</si>
  <si>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</si>
  <si>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</si>
  <si>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</si>
  <si>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</si>
  <si>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</si>
  <si>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</si>
  <si>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</si>
  <si>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</si>
  <si>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</si>
  <si>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</si>
  <si>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</si>
  <si>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</si>
  <si>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</si>
  <si>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</si>
  <si>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</si>
  <si>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</si>
  <si>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</si>
  <si>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</si>
  <si>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</si>
  <si>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</si>
  <si>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</si>
  <si>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</si>
  <si>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</si>
  <si>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</si>
  <si>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</si>
  <si>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</si>
  <si>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</si>
  <si>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</si>
  <si>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</si>
  <si>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</si>
  <si>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</si>
  <si>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</si>
  <si>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</si>
  <si>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</si>
  <si>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</si>
  <si>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</si>
  <si>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</si>
  <si>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</si>
  <si>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</si>
  <si>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</si>
  <si>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</si>
  <si>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</si>
  <si>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</si>
  <si>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</si>
  <si>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</si>
  <si>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</si>
  <si>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</si>
  <si>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</si>
  <si>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</si>
  <si>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</si>
  <si>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</si>
  <si>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</si>
  <si>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</si>
  <si>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</si>
  <si>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</si>
  <si>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</si>
  <si>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</si>
  <si>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</si>
  <si>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</si>
  <si>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</si>
  <si>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</si>
  <si>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</si>
  <si>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</si>
  <si>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</si>
  <si>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</si>
  <si>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</si>
  <si>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</si>
  <si>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</si>
  <si>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</si>
  <si>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</si>
  <si>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</si>
  <si>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</si>
  <si>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</si>
  <si>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</si>
  <si>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</si>
  <si>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</si>
  <si>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</si>
  <si>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</si>
  <si>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</si>
  <si>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</si>
  <si>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</si>
  <si>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</si>
  <si>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</si>
  <si>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</si>
  <si>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</si>
  <si>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</si>
  <si>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</si>
  <si>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</si>
  <si>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</si>
  <si>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</si>
  <si>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</si>
  <si>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</si>
  <si>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</si>
  <si>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</si>
  <si>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</si>
  <si>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</si>
  <si>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</si>
  <si>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</si>
  <si>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</si>
  <si>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</si>
  <si>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</si>
  <si>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</si>
  <si>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</si>
  <si>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</si>
  <si>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</si>
  <si>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</si>
  <si>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</si>
  <si>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</si>
  <si>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</si>
  <si>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</si>
  <si>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</si>
  <si>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</si>
  <si>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</si>
  <si>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</si>
  <si>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</si>
  <si>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</si>
  <si>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</si>
  <si>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</si>
  <si>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</si>
  <si>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</si>
  <si>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</si>
  <si>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</si>
  <si>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</si>
  <si>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</si>
  <si>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</si>
  <si>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</si>
  <si>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</si>
  <si>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</si>
  <si>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</si>
  <si>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</si>
  <si>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</si>
  <si>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</si>
  <si>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</si>
  <si>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</si>
  <si>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</si>
  <si>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</si>
  <si>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</si>
  <si>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</si>
  <si>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</si>
  <si>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</si>
  <si>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</si>
  <si>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</si>
  <si>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</si>
  <si>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</si>
  <si>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</si>
  <si>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</si>
  <si>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</si>
  <si>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</si>
  <si>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</si>
  <si>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</si>
  <si>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</si>
  <si>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</si>
  <si>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</si>
  <si>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</si>
  <si>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</si>
  <si>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</si>
  <si>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</si>
  <si>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</si>
  <si>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</si>
  <si>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</si>
  <si>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</si>
  <si>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</si>
  <si>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</si>
  <si>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</si>
  <si>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</si>
  <si>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</si>
  <si>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</si>
  <si>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</si>
  <si>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</si>
  <si>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</si>
  <si>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</si>
  <si>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</si>
  <si>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</si>
  <si>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</si>
  <si>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</si>
  <si>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</si>
  <si>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</si>
  <si>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</si>
  <si>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</si>
  <si>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</si>
  <si>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</si>
  <si>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</si>
  <si>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</si>
  <si>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</si>
  <si>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</si>
  <si>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</si>
  <si>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</si>
  <si>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</si>
  <si>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</si>
  <si>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</si>
  <si>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</si>
  <si>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</si>
  <si>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</si>
  <si>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</si>
  <si>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</si>
  <si>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</si>
  <si>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</si>
  <si>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</si>
  <si>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</si>
  <si>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</si>
  <si>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</si>
  <si>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</si>
  <si>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</si>
  <si>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</si>
  <si>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</si>
  <si>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</si>
  <si>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</si>
  <si>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</si>
  <si>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</si>
  <si>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</si>
  <si>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</si>
  <si>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</si>
  <si>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</si>
  <si>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</si>
  <si>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</si>
  <si>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</si>
  <si>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</si>
  <si>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</si>
  <si>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</si>
  <si>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</si>
  <si>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</si>
  <si>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</si>
  <si>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</si>
  <si>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</si>
  <si>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</si>
  <si>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</si>
  <si>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</si>
  <si>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</si>
  <si>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</si>
  <si>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</si>
  <si>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</si>
  <si>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</si>
  <si>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</si>
  <si>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</si>
  <si>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</si>
  <si>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</si>
  <si>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</si>
  <si>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</si>
  <si>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</si>
  <si>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</si>
  <si>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</si>
  <si>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</si>
  <si>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</si>
  <si>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</si>
  <si>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</si>
  <si>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</si>
  <si>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</si>
  <si>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</si>
  <si>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</si>
  <si>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</si>
  <si>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</si>
  <si>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</si>
  <si>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</si>
  <si>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</si>
  <si>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</si>
  <si>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</si>
  <si>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</si>
  <si>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</si>
  <si>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</si>
  <si>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</si>
  <si>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</si>
  <si>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</si>
  <si>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</si>
  <si>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</si>
  <si>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</si>
  <si>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</si>
  <si>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</si>
  <si>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</si>
  <si>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</si>
  <si>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</si>
  <si>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</si>
  <si>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</si>
  <si>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</si>
  <si>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</si>
  <si>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</si>
  <si>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</si>
  <si>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</si>
  <si>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</si>
  <si>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</si>
  <si>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</si>
  <si>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</si>
  <si>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</si>
  <si>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</si>
  <si>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</si>
  <si>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</si>
  <si>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</si>
  <si>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</si>
  <si>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</si>
  <si>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</si>
  <si>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</si>
  <si>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</si>
  <si>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</si>
  <si>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</si>
  <si>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</si>
  <si>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</si>
  <si>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</si>
  <si>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</si>
  <si>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</si>
  <si>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</si>
  <si>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</si>
  <si>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</si>
  <si>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</si>
  <si>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</si>
  <si>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</si>
  <si>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</si>
  <si>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</si>
  <si>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</si>
  <si>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</si>
  <si>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</si>
  <si>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</si>
  <si>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</si>
  <si>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</si>
  <si>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</si>
  <si>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</si>
  <si>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</si>
  <si>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</si>
  <si>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</si>
  <si>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</si>
  <si>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</si>
  <si>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</si>
  <si>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</si>
  <si>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</si>
  <si>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</si>
  <si>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</si>
  <si>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</si>
  <si>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</si>
  <si>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</si>
  <si>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</si>
  <si>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</si>
  <si>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</si>
  <si>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</si>
  <si>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</si>
  <si>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</si>
  <si>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</si>
  <si>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</si>
  <si>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</si>
  <si>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</si>
  <si>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</si>
  <si>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</si>
  <si>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</si>
  <si>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</si>
  <si>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</si>
  <si>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</si>
  <si>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</si>
  <si>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</si>
  <si>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</si>
  <si>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</si>
  <si>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</si>
  <si>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</si>
  <si>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</si>
  <si>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</si>
  <si>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</si>
  <si>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</si>
  <si>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</si>
  <si>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</si>
  <si>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</si>
  <si>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</si>
  <si>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</si>
  <si>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</si>
  <si>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</si>
  <si>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</si>
  <si>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</si>
  <si>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</si>
  <si>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</si>
  <si>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</si>
  <si>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</si>
  <si>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</si>
  <si>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</si>
  <si>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</si>
  <si>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</si>
  <si>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</si>
  <si>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</si>
  <si>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</si>
  <si>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</si>
  <si>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</si>
  <si>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</si>
  <si>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</si>
  <si>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</si>
  <si>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</si>
  <si>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</si>
  <si>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</si>
  <si>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</si>
  <si>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</si>
  <si>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</si>
  <si>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</si>
  <si>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</si>
  <si>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</si>
  <si>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</si>
  <si>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</si>
  <si>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</si>
  <si>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</si>
  <si>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</si>
  <si>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</si>
  <si>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</si>
  <si>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</si>
  <si>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</si>
  <si>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</si>
  <si>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</si>
  <si>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</si>
  <si>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</si>
  <si>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</si>
  <si>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</si>
  <si>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</si>
  <si>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</si>
  <si>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</si>
  <si>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</si>
  <si>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</si>
  <si>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</si>
  <si>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</si>
  <si>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</si>
  <si>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</si>
  <si>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</si>
  <si>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</si>
  <si>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</si>
  <si>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</si>
  <si>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</si>
  <si>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</si>
  <si>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</si>
  <si>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</si>
  <si>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</si>
  <si>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</si>
  <si>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</si>
  <si>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</si>
  <si>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</si>
  <si>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</si>
  <si>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</si>
  <si>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</si>
  <si>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</si>
  <si>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</si>
  <si>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</si>
  <si>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</si>
  <si>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</si>
  <si>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</si>
  <si>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</si>
  <si>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</si>
  <si>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</si>
  <si>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</si>
  <si>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</si>
  <si>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</si>
  <si>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</si>
  <si>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</si>
  <si>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</si>
  <si>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</si>
  <si>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</si>
  <si>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</si>
  <si>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</si>
  <si>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</si>
  <si>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</si>
  <si>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</si>
  <si>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</si>
  <si>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</si>
  <si>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</si>
  <si>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</si>
  <si>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</si>
  <si>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</si>
  <si>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</si>
  <si>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</si>
  <si>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</si>
  <si>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</si>
  <si>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</si>
  <si>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</si>
  <si>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</si>
  <si>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</si>
  <si>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</si>
  <si>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</si>
  <si>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</si>
  <si>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</si>
  <si>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</si>
  <si>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</si>
  <si>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</si>
  <si>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</si>
  <si>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</si>
  <si>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</si>
  <si>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</si>
  <si>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</si>
  <si>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</si>
  <si>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</si>
  <si>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</si>
  <si>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</si>
  <si>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</si>
  <si>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</si>
  <si>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</si>
  <si>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</si>
  <si>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</si>
  <si>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</si>
  <si>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</si>
  <si>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</si>
  <si>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</si>
  <si>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</si>
  <si>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</si>
  <si>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</si>
  <si>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</si>
  <si>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</si>
  <si>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</si>
  <si>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</si>
  <si>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</si>
  <si>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</si>
  <si>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</si>
  <si>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</si>
  <si>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</si>
  <si>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</si>
  <si>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</si>
  <si>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</si>
  <si>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</si>
  <si>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</si>
  <si>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</si>
  <si>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</si>
  <si>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</si>
  <si>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</si>
  <si>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</si>
  <si>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</si>
  <si>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</si>
  <si>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</si>
  <si>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</si>
  <si>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</si>
  <si>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</si>
  <si>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</si>
  <si>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</si>
  <si>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</si>
  <si>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</si>
  <si>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</si>
  <si>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</si>
  <si>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</si>
  <si>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</si>
  <si>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</si>
  <si>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</si>
  <si>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</si>
  <si>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</si>
  <si>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</si>
  <si>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</si>
  <si>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</si>
  <si>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</si>
  <si>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</si>
  <si>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</si>
  <si>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</si>
  <si>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</si>
  <si>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</si>
  <si>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</si>
  <si>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</si>
  <si>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</si>
  <si>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</si>
  <si>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</si>
  <si>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</si>
  <si>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</si>
  <si>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</si>
  <si>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</si>
  <si>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</si>
  <si>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</si>
  <si>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</si>
  <si>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</si>
  <si>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</si>
  <si>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</si>
  <si>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</si>
  <si>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</si>
  <si>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</si>
  <si>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</si>
  <si>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</si>
  <si>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</si>
  <si>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</si>
  <si>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</si>
  <si>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</si>
  <si>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</si>
  <si>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</si>
  <si>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</si>
  <si>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</si>
  <si>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</si>
  <si>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</si>
  <si>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</si>
  <si>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</si>
  <si>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</si>
  <si>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</si>
  <si>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</si>
  <si>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</si>
  <si>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</si>
  <si>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</si>
  <si>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</si>
  <si>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</si>
  <si>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</si>
  <si>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</si>
  <si>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</si>
  <si>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</si>
  <si>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</si>
  <si>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</si>
  <si>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</si>
  <si>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</si>
  <si>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</si>
  <si>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</si>
  <si>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</si>
  <si>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</si>
  <si>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</si>
  <si>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</si>
  <si>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</si>
  <si>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</si>
  <si>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</si>
  <si>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</si>
  <si>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</si>
  <si>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</si>
  <si>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</si>
  <si>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</si>
  <si>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</si>
  <si>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</si>
  <si>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</si>
  <si>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</si>
  <si>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</si>
  <si>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</si>
  <si>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</si>
  <si>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</si>
  <si>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</si>
  <si>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</si>
  <si>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</si>
  <si>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</si>
  <si>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</si>
  <si>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</si>
  <si>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</si>
  <si>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</si>
  <si>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</si>
  <si>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</si>
  <si>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</si>
  <si>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</si>
  <si>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</si>
  <si>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</si>
  <si>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</si>
  <si>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</si>
  <si>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</si>
  <si>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</si>
  <si>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</si>
  <si>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</si>
  <si>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</si>
  <si>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</si>
  <si>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</si>
  <si>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</si>
  <si>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</si>
  <si>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</si>
  <si>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</si>
  <si>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</si>
  <si>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</si>
  <si>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</si>
  <si>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</si>
  <si>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</si>
  <si>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</si>
  <si>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</si>
  <si>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</si>
  <si>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</si>
  <si>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</si>
  <si>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</si>
  <si>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</si>
  <si>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</si>
  <si>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</si>
  <si>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</si>
  <si>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</si>
  <si>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</si>
  <si>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</si>
  <si>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</si>
  <si>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</si>
  <si>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</si>
  <si>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</si>
  <si>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</si>
  <si>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</si>
  <si>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</si>
  <si>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</si>
  <si>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</si>
  <si>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</si>
  <si>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</si>
  <si>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</si>
  <si>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</si>
  <si>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</si>
  <si>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</si>
  <si>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</si>
  <si>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</si>
  <si>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</si>
  <si>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</si>
  <si>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</si>
  <si>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</si>
  <si>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</si>
  <si>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</si>
  <si>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</si>
  <si>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</si>
  <si>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</si>
  <si>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</si>
  <si>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</si>
  <si>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</si>
  <si>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</si>
  <si>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</si>
  <si>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</si>
  <si>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</si>
  <si>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</si>
  <si>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</si>
  <si>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</si>
  <si>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</si>
  <si>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</si>
  <si>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</si>
  <si>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</si>
  <si>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</si>
  <si>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</si>
  <si>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</si>
  <si>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</si>
  <si>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</si>
  <si>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</si>
  <si>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</si>
  <si>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</si>
  <si>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</si>
  <si>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</si>
  <si>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</si>
  <si>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</si>
  <si>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</si>
  <si>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</si>
  <si>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</si>
  <si>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</si>
  <si>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</si>
  <si>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</si>
  <si>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</si>
  <si>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</si>
  <si>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</si>
  <si>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</si>
  <si>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</si>
  <si>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</si>
  <si>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</si>
  <si>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</si>
  <si>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</si>
  <si>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</si>
  <si>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</si>
  <si>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</si>
  <si>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</si>
  <si>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</si>
  <si>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</si>
  <si>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</si>
  <si>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</si>
  <si>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</si>
  <si>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</si>
  <si>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</si>
  <si>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</si>
  <si>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</si>
  <si>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</si>
  <si>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</si>
  <si>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</si>
  <si>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</si>
  <si>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</si>
  <si>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</si>
  <si>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</si>
  <si>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</si>
  <si>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</si>
  <si>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</si>
  <si>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</si>
  <si>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</si>
  <si>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</si>
  <si>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</si>
  <si>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</si>
  <si>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</si>
  <si>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</si>
  <si>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</si>
  <si>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</si>
  <si>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</si>
  <si>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</si>
  <si>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</si>
  <si>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</si>
  <si>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</si>
  <si>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</si>
  <si>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</si>
  <si>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</si>
  <si>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</si>
  <si>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</si>
  <si>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</si>
  <si>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</si>
  <si>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</si>
  <si>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</si>
  <si>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</si>
  <si>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</si>
  <si>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</si>
  <si>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</si>
  <si>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</si>
  <si>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</si>
  <si>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</si>
  <si>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</si>
  <si>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</si>
  <si>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</si>
  <si>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</si>
  <si>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</si>
  <si>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</si>
  <si>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</si>
  <si>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</si>
  <si>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</si>
  <si>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</si>
  <si>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</si>
  <si>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</si>
  <si>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</si>
  <si>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</si>
  <si>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</si>
  <si>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</si>
  <si>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</si>
  <si>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</si>
  <si>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</si>
  <si>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</si>
  <si>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</si>
  <si>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</si>
  <si>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</si>
  <si>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</si>
  <si>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</si>
  <si>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</si>
  <si>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</si>
  <si>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</si>
  <si>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</si>
  <si>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</si>
  <si>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</si>
  <si>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</si>
  <si>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</si>
  <si>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</si>
  <si>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</si>
  <si>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</si>
  <si>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</si>
  <si>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</si>
  <si>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</si>
  <si>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</si>
  <si>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</si>
  <si>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</si>
  <si>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</si>
  <si>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</si>
  <si>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</si>
  <si>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</si>
  <si>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</si>
  <si>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</si>
  <si>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</si>
  <si>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</si>
  <si>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</si>
  <si>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</si>
  <si>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</si>
  <si>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</si>
  <si>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</si>
  <si>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</si>
  <si>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</si>
  <si>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</si>
  <si>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</si>
  <si>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</si>
  <si>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</si>
  <si>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</si>
  <si>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</si>
  <si>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</si>
  <si>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</si>
  <si>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</si>
  <si>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</si>
  <si>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</si>
  <si>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</si>
  <si>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</si>
  <si>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</si>
  <si>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</si>
  <si>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</si>
  <si>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</si>
  <si>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</si>
  <si>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</si>
  <si>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</si>
  <si>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</si>
  <si>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</si>
  <si>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</si>
  <si>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</si>
  <si>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</si>
  <si>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</si>
  <si>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</si>
  <si>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</si>
  <si>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</si>
  <si>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</si>
  <si>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</si>
  <si>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</si>
  <si>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</si>
  <si>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</si>
  <si>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</si>
  <si>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</si>
  <si>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</si>
  <si>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</si>
  <si>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</si>
  <si>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</si>
  <si>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</si>
  <si>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</si>
  <si>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</si>
  <si>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</si>
  <si>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</si>
  <si>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</si>
  <si>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</si>
  <si>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</si>
  <si>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</si>
  <si>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</si>
  <si>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</si>
  <si>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</si>
  <si>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</si>
  <si>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</si>
  <si>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</si>
  <si>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</si>
  <si>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</si>
  <si>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</si>
  <si>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</si>
  <si>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</si>
  <si>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</si>
  <si>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</si>
  <si>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</si>
  <si>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</si>
  <si>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</si>
  <si>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</si>
  <si>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</si>
  <si>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</si>
  <si>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</si>
  <si>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</si>
  <si>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</si>
  <si>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</si>
  <si>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</si>
  <si>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</si>
  <si>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</si>
  <si>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</si>
  <si>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</si>
  <si>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</si>
  <si>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</si>
  <si>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</si>
  <si>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</si>
  <si>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</si>
  <si>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</si>
  <si>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</si>
  <si>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</si>
  <si>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</si>
  <si>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</si>
  <si>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</si>
  <si>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</si>
  <si>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</si>
  <si>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</si>
  <si>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</si>
  <si>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</si>
  <si>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</si>
  <si>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</si>
  <si>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</si>
  <si>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</si>
  <si>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</si>
  <si>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</si>
  <si>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</si>
  <si>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</si>
  <si>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</si>
  <si>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</si>
  <si>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</si>
  <si>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</si>
  <si>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</si>
  <si>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</si>
  <si>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</si>
  <si>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</si>
  <si>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</si>
  <si>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</si>
  <si>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</si>
  <si>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</si>
  <si>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</si>
  <si>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</si>
  <si>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</si>
  <si>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</si>
  <si>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</si>
  <si>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</si>
  <si>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</si>
  <si>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</si>
  <si>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</si>
  <si>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</si>
  <si>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</si>
  <si>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</si>
  <si>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</si>
  <si>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</si>
  <si>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</si>
  <si>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</si>
  <si>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</si>
  <si>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</si>
  <si>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</si>
  <si>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</si>
  <si>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</si>
  <si>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</si>
  <si>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</si>
  <si>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</si>
  <si>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</si>
  <si>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</si>
  <si>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</si>
  <si>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</si>
  <si>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</si>
  <si>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</si>
  <si>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</si>
  <si>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</si>
  <si>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</si>
  <si>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</si>
  <si>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</si>
  <si>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</si>
  <si>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</si>
  <si>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</si>
  <si>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</si>
  <si>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</si>
  <si>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</si>
  <si>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</si>
  <si>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</si>
  <si>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</si>
  <si>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</si>
  <si>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</si>
  <si>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</si>
  <si>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</si>
  <si>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</si>
  <si>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</si>
  <si>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</si>
  <si>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</si>
  <si>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</si>
  <si>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</si>
  <si>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</si>
  <si>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</si>
  <si>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</si>
  <si>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</si>
  <si>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</si>
  <si>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</si>
  <si>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</si>
  <si>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</si>
  <si>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</si>
  <si>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</si>
  <si>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</si>
  <si>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</si>
  <si>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</si>
  <si>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</si>
  <si>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</si>
  <si>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</si>
  <si>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</si>
  <si>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</si>
  <si>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</si>
  <si>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</si>
  <si>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</si>
  <si>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</si>
  <si>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</si>
  <si>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</si>
  <si>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</si>
  <si>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</si>
  <si>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</si>
  <si>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</si>
  <si>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</si>
  <si>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</si>
  <si>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</si>
  <si>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</si>
  <si>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</si>
  <si>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</si>
  <si>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</si>
  <si>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</si>
  <si>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</si>
  <si>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</si>
  <si>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</si>
  <si>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</si>
  <si>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</si>
  <si>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</si>
  <si>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</si>
  <si>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</si>
  <si>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</si>
  <si>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</si>
  <si>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</si>
  <si>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</si>
  <si>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</si>
  <si>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</si>
  <si>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</si>
  <si>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</si>
  <si>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</si>
  <si>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</si>
  <si>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</si>
  <si>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</si>
  <si>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</si>
  <si>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</si>
  <si>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</si>
  <si>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</si>
  <si>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</si>
  <si>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</si>
  <si>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</si>
  <si>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</si>
  <si>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</si>
  <si>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</si>
  <si>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</si>
  <si>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</si>
  <si>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</si>
  <si>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</si>
  <si>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</si>
  <si>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</si>
  <si>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</si>
  <si>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</si>
  <si>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</si>
  <si>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</si>
  <si>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</si>
  <si>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</si>
  <si>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</si>
  <si>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</si>
  <si>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</si>
  <si>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</si>
  <si>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</si>
  <si>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</si>
  <si>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</si>
  <si>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</si>
  <si>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</si>
  <si>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</si>
  <si>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</si>
  <si>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</si>
  <si>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</si>
  <si>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</si>
  <si>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</si>
  <si>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</si>
  <si>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</si>
  <si>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</si>
  <si>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</si>
  <si>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</si>
  <si>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</si>
  <si>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</si>
  <si>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</si>
  <si>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</si>
  <si>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</si>
  <si>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</si>
  <si>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</si>
  <si>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</si>
  <si>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</si>
  <si>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</si>
  <si>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</si>
  <si>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</si>
  <si>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</si>
  <si>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</si>
  <si>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</si>
  <si>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</si>
  <si>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</si>
  <si>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</si>
  <si>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</si>
  <si>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</si>
  <si>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</si>
  <si>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</si>
  <si>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</si>
  <si>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</si>
  <si>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</si>
  <si>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</si>
  <si>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</si>
  <si>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</si>
  <si>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</si>
  <si>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</si>
  <si>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</si>
  <si>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</si>
  <si>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</si>
  <si>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</si>
  <si>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</si>
  <si>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</si>
  <si>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</si>
  <si>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</si>
  <si>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</si>
  <si>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</si>
  <si>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</si>
  <si>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</si>
  <si>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</si>
  <si>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</si>
  <si>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</si>
  <si>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</si>
  <si>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</si>
  <si>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</si>
  <si>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</si>
  <si>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</si>
  <si>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</si>
  <si>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</si>
  <si>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</si>
  <si>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</si>
  <si>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</si>
  <si>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</si>
  <si>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</si>
  <si>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</si>
  <si>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</si>
  <si>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</si>
  <si>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</si>
  <si>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</si>
  <si>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</si>
  <si>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</si>
  <si>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</si>
  <si>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</si>
  <si>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</si>
  <si>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</si>
  <si>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</si>
  <si>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</si>
  <si>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</si>
  <si>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</si>
  <si>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</si>
  <si>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</si>
  <si>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</si>
  <si>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</si>
  <si>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</si>
  <si>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</si>
  <si>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</si>
  <si>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</si>
  <si>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</si>
  <si>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</si>
  <si>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</si>
  <si>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</si>
  <si>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</si>
  <si>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</si>
  <si>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</si>
  <si>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</si>
  <si>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</si>
  <si>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</si>
  <si>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</si>
  <si>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</si>
  <si>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</si>
  <si>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</si>
  <si>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</si>
  <si>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</si>
  <si>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</si>
  <si>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</si>
  <si>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</si>
  <si>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</si>
  <si>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</si>
  <si>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</si>
  <si>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</si>
  <si>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</si>
  <si>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</si>
  <si>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</si>
  <si>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</si>
  <si>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</si>
  <si>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</si>
  <si>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</si>
  <si>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</si>
  <si>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</si>
  <si>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</si>
  <si>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</si>
  <si>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</si>
  <si>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</si>
  <si>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</si>
  <si>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</si>
  <si>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</si>
  <si>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</si>
  <si>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</si>
  <si>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</si>
  <si>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</si>
  <si>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</si>
  <si>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</si>
  <si>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</si>
  <si>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</si>
  <si>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</si>
  <si>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</si>
  <si>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</si>
  <si>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</si>
  <si>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</si>
  <si>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</si>
  <si>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</si>
  <si>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</si>
  <si>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</si>
  <si>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</si>
  <si>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</si>
  <si>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</si>
  <si>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</si>
  <si>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</si>
  <si>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</si>
  <si>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</si>
  <si>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</si>
  <si>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</si>
  <si>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</si>
  <si>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</si>
  <si>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</si>
  <si>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</si>
  <si>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</si>
  <si>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</si>
  <si>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</si>
  <si>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</si>
  <si>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</si>
  <si>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</si>
  <si>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</si>
  <si>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</si>
  <si>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</si>
  <si>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</si>
  <si>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</si>
  <si>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</si>
  <si>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</si>
  <si>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</si>
  <si>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</si>
  <si>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</si>
  <si>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</si>
  <si>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</si>
  <si>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</si>
  <si>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</si>
  <si>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</si>
  <si>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</si>
  <si>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</si>
  <si>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</si>
  <si>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</si>
  <si>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</si>
  <si>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</si>
  <si>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</si>
  <si>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</si>
  <si>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</si>
  <si>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</si>
  <si>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</si>
  <si>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</si>
  <si>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</si>
  <si>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</si>
  <si>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</si>
  <si>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</si>
  <si>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</si>
  <si>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</si>
  <si>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</si>
  <si>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</si>
  <si>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</si>
  <si>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</si>
  <si>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</si>
  <si>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</si>
  <si>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</si>
  <si>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</si>
  <si>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</si>
  <si>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</si>
  <si>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</si>
  <si>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</si>
  <si>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</si>
  <si>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</si>
  <si>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</si>
  <si>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</si>
  <si>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</si>
  <si>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</si>
  <si>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</si>
  <si>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</si>
  <si>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</si>
  <si>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</si>
  <si>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</si>
  <si>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</si>
  <si>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</si>
  <si>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</si>
  <si>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</si>
  <si>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</si>
  <si>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</si>
  <si>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</si>
  <si>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</si>
  <si>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</si>
  <si>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</si>
  <si>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</si>
  <si>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</si>
  <si>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</si>
  <si>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</si>
  <si>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</si>
  <si>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</si>
  <si>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</si>
  <si>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</si>
  <si>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</si>
  <si>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</si>
  <si>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</si>
  <si>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</si>
  <si>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</si>
  <si>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</si>
  <si>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</si>
  <si>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</si>
  <si>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</si>
  <si>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</si>
  <si>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</si>
  <si>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</si>
  <si>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</si>
  <si>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</si>
  <si>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</si>
  <si>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</si>
  <si>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</si>
  <si>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</si>
  <si>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</si>
  <si>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</si>
  <si>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</si>
  <si>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</si>
  <si>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</si>
  <si>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</si>
  <si>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</si>
  <si>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</si>
  <si>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</si>
  <si>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</si>
  <si>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</si>
  <si>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</si>
  <si>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</si>
  <si>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</si>
  <si>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</si>
  <si>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</si>
  <si>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</si>
  <si>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</si>
  <si>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</si>
  <si>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</si>
  <si>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</si>
  <si>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</si>
  <si>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</si>
  <si>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</si>
  <si>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</si>
  <si>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</si>
  <si>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</si>
  <si>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</si>
  <si>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</si>
  <si>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</si>
  <si>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</si>
  <si>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</si>
  <si>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</si>
  <si>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</si>
  <si>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</si>
  <si>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</si>
  <si>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</si>
  <si>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</si>
  <si>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</si>
  <si>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</si>
  <si>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</si>
  <si>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</si>
  <si>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</si>
  <si>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</si>
  <si>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</si>
  <si>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</si>
  <si>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</si>
  <si>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</si>
  <si>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</si>
  <si>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</si>
  <si>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</si>
  <si>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</si>
  <si>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</si>
  <si>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</si>
  <si>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</si>
  <si>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</si>
  <si>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</si>
  <si>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</si>
  <si>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</si>
  <si>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</si>
  <si>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</si>
  <si>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</si>
  <si>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</si>
  <si>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</si>
  <si>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</si>
  <si>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</si>
  <si>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</si>
  <si>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</si>
  <si>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</si>
  <si>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</si>
  <si>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</si>
  <si>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</si>
  <si>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</si>
  <si>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</si>
  <si>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</si>
  <si>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</si>
  <si>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</si>
  <si>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</si>
  <si>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</si>
  <si>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</si>
  <si>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</si>
  <si>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</si>
  <si>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</si>
  <si>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</si>
  <si>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</si>
  <si>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</si>
  <si>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</si>
  <si>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</si>
  <si>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</si>
  <si>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</si>
  <si>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</si>
  <si>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</si>
  <si>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</si>
  <si>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</si>
  <si>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</si>
  <si>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</si>
  <si>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</si>
  <si>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</si>
  <si>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</si>
  <si>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</si>
  <si>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</si>
  <si>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</si>
  <si>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</si>
  <si>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</si>
  <si>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</si>
  <si>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</si>
  <si>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</si>
  <si>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</si>
  <si>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</si>
  <si>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</si>
  <si>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</si>
  <si>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</si>
  <si>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</si>
  <si>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</si>
  <si>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</si>
  <si>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</si>
  <si>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</si>
  <si>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</si>
  <si>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</si>
  <si>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</si>
  <si>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</si>
  <si>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</si>
  <si>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</si>
  <si>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</si>
  <si>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</si>
  <si>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</si>
  <si>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</si>
  <si>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</si>
  <si>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</si>
  <si>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</si>
  <si>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</si>
  <si>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</si>
  <si>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</si>
  <si>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</si>
  <si>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</si>
  <si>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</si>
  <si>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</si>
  <si>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</si>
  <si>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</si>
  <si>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</si>
  <si>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</si>
  <si>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</si>
  <si>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</si>
  <si>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</si>
  <si>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</si>
  <si>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</si>
  <si>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</si>
  <si>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</si>
  <si>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</si>
  <si>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</si>
  <si>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</si>
  <si>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</si>
  <si>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</si>
  <si>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</si>
  <si>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</si>
  <si>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</si>
  <si>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</si>
  <si>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</si>
  <si>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</si>
  <si>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</si>
  <si>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</si>
  <si>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</si>
  <si>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</si>
  <si>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</si>
  <si>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</si>
  <si>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</si>
  <si>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</si>
  <si>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</si>
  <si>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</si>
  <si>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</si>
  <si>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</si>
  <si>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</si>
  <si>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</si>
  <si>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</si>
  <si>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</si>
  <si>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</si>
  <si>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</si>
  <si>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</si>
  <si>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</si>
  <si>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</si>
  <si>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</si>
  <si>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</si>
  <si>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</si>
  <si>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</si>
  <si>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</si>
  <si>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</si>
  <si>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</si>
  <si>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</si>
  <si>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</si>
  <si>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</si>
  <si>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</si>
  <si>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</si>
  <si>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</si>
  <si>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</si>
  <si>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</si>
  <si>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</si>
  <si>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</si>
  <si>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</si>
  <si>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</si>
  <si>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</si>
  <si>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</si>
  <si>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</si>
  <si>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</si>
  <si>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</si>
  <si>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</si>
  <si>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</si>
  <si>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</si>
  <si>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</si>
  <si>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</si>
  <si>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</si>
  <si>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</si>
  <si>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</si>
  <si>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</si>
  <si>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</si>
  <si>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</si>
  <si>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</si>
  <si>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</si>
  <si>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</si>
  <si>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</si>
  <si>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</si>
  <si>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</si>
  <si>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</si>
  <si>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</si>
  <si>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</si>
  <si>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</si>
  <si>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</si>
  <si>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</si>
  <si>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</si>
  <si>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</si>
  <si>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</si>
  <si>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</si>
  <si>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</si>
  <si>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</si>
  <si>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</si>
  <si>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</si>
  <si>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</si>
  <si>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</si>
  <si>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</si>
  <si>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</si>
  <si>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</si>
  <si>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</si>
  <si>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</si>
  <si>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</si>
  <si>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</si>
  <si>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</si>
  <si>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</si>
  <si>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</si>
  <si>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</si>
  <si>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</si>
  <si>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</si>
  <si>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</si>
  <si>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</si>
  <si>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</si>
  <si>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</si>
  <si>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</si>
  <si>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</si>
  <si>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</si>
  <si>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</si>
  <si>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</si>
  <si>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</si>
  <si>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</si>
  <si>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</si>
  <si>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</si>
  <si>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</si>
  <si>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</si>
  <si>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</si>
  <si>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</si>
  <si>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</si>
  <si>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</si>
  <si>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</si>
  <si>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</si>
  <si>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</si>
  <si>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</si>
  <si>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</si>
  <si>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</si>
  <si>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</si>
  <si>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</si>
  <si>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</si>
  <si>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</si>
  <si>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</si>
  <si>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</si>
  <si>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</si>
  <si>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</si>
  <si>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</si>
  <si>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</si>
  <si>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</si>
  <si>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</si>
  <si>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</si>
  <si>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</si>
  <si>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</si>
  <si>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</si>
  <si>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</si>
  <si>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</si>
  <si>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</si>
  <si>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</si>
  <si>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</si>
  <si>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</si>
  <si>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</si>
  <si>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</si>
  <si>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</si>
  <si>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</si>
  <si>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</si>
  <si>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</si>
  <si>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</si>
  <si>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</si>
  <si>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</si>
  <si>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</si>
  <si>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</si>
  <si>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</si>
  <si>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</si>
  <si>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</si>
  <si>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</si>
  <si>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</si>
  <si>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</si>
  <si>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</si>
  <si>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</si>
  <si>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</si>
  <si>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</si>
  <si>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</si>
  <si>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</si>
  <si>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</si>
  <si>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</si>
  <si>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</si>
  <si>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</si>
  <si>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</si>
  <si>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</si>
  <si>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</si>
  <si>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</si>
  <si>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</si>
  <si>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</si>
  <si>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</si>
  <si>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</si>
  <si>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</si>
  <si>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</si>
  <si>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</si>
  <si>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</si>
  <si>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</si>
  <si>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</si>
  <si>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</si>
  <si>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</si>
  <si>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</si>
  <si>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</si>
  <si>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</si>
  <si>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</si>
  <si>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</si>
  <si>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</si>
  <si>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</si>
  <si>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</si>
  <si>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</si>
  <si>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</si>
  <si>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</si>
  <si>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</si>
  <si>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</si>
  <si>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</si>
  <si>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</si>
  <si>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</si>
  <si>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</si>
  <si>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</si>
  <si>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</si>
  <si>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</si>
  <si>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</si>
  <si>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</si>
  <si>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</si>
  <si>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</si>
  <si>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</si>
  <si>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</si>
  <si>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</si>
  <si>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</si>
  <si>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</si>
  <si>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</si>
  <si>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</si>
  <si>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</si>
  <si>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</si>
  <si>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</si>
  <si>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</si>
  <si>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</si>
  <si>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</si>
  <si>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</si>
  <si>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</si>
  <si>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</si>
  <si>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</si>
  <si>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</si>
  <si>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</si>
  <si>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</si>
  <si>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</si>
  <si>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</si>
  <si>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</si>
  <si>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</si>
  <si>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</si>
  <si>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</si>
  <si>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</si>
  <si>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</si>
  <si>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</si>
  <si>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</si>
  <si>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</si>
  <si>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</si>
  <si>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</si>
  <si>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</si>
  <si>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</si>
  <si>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</si>
  <si>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</si>
  <si>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</si>
  <si>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</si>
  <si>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</si>
  <si>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</si>
  <si>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</si>
  <si>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</si>
  <si>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</si>
  <si>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</si>
  <si>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</si>
  <si>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</si>
  <si>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</si>
  <si>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</si>
  <si>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</si>
  <si>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</si>
  <si>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</si>
  <si>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</si>
  <si>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</si>
  <si>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</si>
  <si>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</si>
  <si>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</si>
  <si>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</si>
  <si>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</si>
  <si>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</si>
  <si>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</si>
  <si>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</si>
  <si>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</si>
  <si>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</si>
  <si>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</si>
  <si>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</si>
  <si>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</si>
  <si>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</si>
  <si>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</si>
  <si>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</si>
  <si>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</si>
  <si>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</si>
  <si>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</si>
  <si>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</si>
  <si>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</si>
  <si>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</si>
  <si>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</si>
  <si>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</si>
  <si>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</si>
  <si>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</si>
  <si>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</si>
  <si>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</si>
  <si>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</si>
  <si>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</si>
  <si>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</si>
  <si>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</si>
  <si>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</si>
  <si>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</si>
  <si>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</si>
  <si>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</si>
  <si>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</si>
  <si>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</si>
  <si>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</si>
  <si>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</si>
  <si>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</si>
  <si>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</si>
  <si>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</si>
  <si>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</si>
  <si>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</si>
  <si>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</si>
  <si>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</si>
  <si>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</si>
  <si>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</si>
  <si>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</si>
  <si>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</si>
  <si>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</si>
  <si>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</si>
  <si>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</si>
  <si>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</si>
  <si>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</si>
  <si>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</si>
  <si>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</si>
  <si>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</si>
  <si>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</si>
  <si>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</si>
  <si>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</si>
  <si>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</si>
  <si>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</si>
  <si>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</si>
  <si>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</si>
  <si>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</si>
  <si>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</si>
  <si>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</si>
  <si>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</si>
  <si>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</si>
  <si>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</si>
  <si>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</si>
  <si>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</si>
  <si>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</si>
  <si>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</si>
  <si>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</si>
  <si>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</si>
  <si>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</si>
  <si>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</si>
  <si>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</si>
  <si>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</si>
  <si>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</si>
  <si>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</si>
  <si>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</si>
  <si>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</si>
  <si>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</si>
  <si>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</si>
  <si>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</si>
  <si>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</si>
  <si>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</si>
  <si>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</si>
  <si>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抵押价格</t>
  </si>
  <si>
    <t>其他：</t>
  </si>
  <si>
    <t>企业</t>
  </si>
  <si>
    <t>云南省昆明市</t>
    <phoneticPr fontId="6" type="noConversion"/>
  </si>
  <si>
    <t>住宅、商业</t>
    <phoneticPr fontId="6" type="noConversion"/>
  </si>
  <si>
    <t>一致</t>
  </si>
  <si>
    <t>否</t>
  </si>
  <si>
    <t>居住项目</t>
  </si>
  <si>
    <t>无</t>
  </si>
  <si>
    <t>通路</t>
  </si>
  <si>
    <t>通上水</t>
  </si>
  <si>
    <t>通下水</t>
  </si>
  <si>
    <t>平整</t>
  </si>
  <si>
    <t>场地平整</t>
  </si>
  <si>
    <t>地上</t>
  </si>
  <si>
    <t>住宅</t>
    <phoneticPr fontId="3" type="noConversion"/>
  </si>
  <si>
    <t>商业</t>
    <phoneticPr fontId="3" type="noConversion"/>
  </si>
  <si>
    <t>底商</t>
  </si>
  <si>
    <t>普通住宅</t>
  </si>
  <si>
    <t>住宅</t>
    <phoneticPr fontId="7" type="noConversion"/>
  </si>
  <si>
    <t>商业</t>
    <phoneticPr fontId="7" type="noConversion"/>
  </si>
  <si>
    <t>地下</t>
  </si>
  <si>
    <t>不动产收益法</t>
  </si>
  <si>
    <t>不动产比较法-住宅</t>
  </si>
  <si>
    <t>押一</t>
  </si>
  <si>
    <t>按租金收入计税</t>
  </si>
  <si>
    <t>钢混</t>
  </si>
  <si>
    <t>售价</t>
  </si>
  <si>
    <t>60-70（含）</t>
  </si>
  <si>
    <t>正常</t>
  </si>
  <si>
    <t>海伦堡中央城</t>
    <phoneticPr fontId="3" type="noConversion"/>
  </si>
  <si>
    <t>平层住宅</t>
  </si>
  <si>
    <t>平层住宅</t>
    <phoneticPr fontId="21" type="noConversion"/>
  </si>
  <si>
    <t>公寓</t>
  </si>
  <si>
    <t>公寓</t>
    <phoneticPr fontId="21" type="noConversion"/>
  </si>
  <si>
    <t>钢混</t>
    <phoneticPr fontId="21" type="noConversion"/>
  </si>
  <si>
    <t>高档</t>
    <phoneticPr fontId="3" type="noConversion"/>
  </si>
  <si>
    <t>中高档</t>
    <phoneticPr fontId="3" type="noConversion"/>
  </si>
  <si>
    <t>中档</t>
    <phoneticPr fontId="3" type="noConversion"/>
  </si>
  <si>
    <t>低档</t>
    <phoneticPr fontId="3" type="noConversion"/>
  </si>
  <si>
    <t>精装修</t>
  </si>
  <si>
    <t>精装修</t>
    <phoneticPr fontId="21" type="noConversion"/>
  </si>
  <si>
    <t>简单装修</t>
    <phoneticPr fontId="21" type="noConversion"/>
  </si>
  <si>
    <t>毛坯</t>
    <phoneticPr fontId="21" type="noConversion"/>
  </si>
  <si>
    <t>专业</t>
  </si>
  <si>
    <t>专业</t>
    <phoneticPr fontId="21" type="noConversion"/>
  </si>
  <si>
    <t>居委会</t>
    <phoneticPr fontId="21" type="noConversion"/>
  </si>
  <si>
    <t>七通</t>
  </si>
  <si>
    <t>六通</t>
  </si>
  <si>
    <t>五通</t>
  </si>
  <si>
    <t>四通</t>
  </si>
  <si>
    <t>三通</t>
  </si>
  <si>
    <t>住宅</t>
    <phoneticPr fontId="21" type="noConversion"/>
  </si>
  <si>
    <t>较好</t>
  </si>
  <si>
    <t>中档</t>
  </si>
  <si>
    <t>大观首府</t>
    <phoneticPr fontId="3" type="noConversion"/>
  </si>
  <si>
    <t>佳兆业广场</t>
    <phoneticPr fontId="3" type="noConversion"/>
  </si>
  <si>
    <t>已全部缴纳</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</si>
  <si>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</si>
  <si>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</si>
  <si>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</si>
  <si>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</si>
  <si>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</si>
  <si>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</si>
  <si>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</si>
  <si>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</si>
  <si>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</si>
  <si>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</si>
  <si>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</si>
  <si>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楼面地价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</si>
  <si>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</si>
  <si>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</si>
  <si>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</si>
  <si>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</si>
  <si>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</si>
  <si>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</si>
  <si>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</si>
  <si>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</si>
  <si>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</si>
  <si>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</si>
  <si>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</si>
  <si>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</si>
  <si>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</si>
  <si>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出让年限</t>
  </si>
  <si>
    <t>土地星级</t>
  </si>
  <si>
    <t>昆明市西山区福海街道办事处</t>
  </si>
  <si>
    <t>昆明市</t>
  </si>
  <si>
    <t>住宅用地</t>
  </si>
  <si>
    <t>拍卖</t>
  </si>
  <si>
    <t>大于1并且小于或等于1.4</t>
  </si>
  <si>
    <t>2019-11-11</t>
  </si>
  <si>
    <t>昆明建鹏房地产开发有限公司</t>
  </si>
  <si>
    <t>住宅70年,商业40年</t>
  </si>
  <si>
    <t>4星</t>
  </si>
  <si>
    <t>昆明宝峻置业有限公司</t>
  </si>
  <si>
    <t>大于1并且小于或等于1.08</t>
  </si>
  <si>
    <t>70年</t>
  </si>
  <si>
    <t>大于1并且小于或等于1.07</t>
  </si>
  <si>
    <t>综合用地(含住宅)</t>
  </si>
  <si>
    <t>挂牌</t>
  </si>
  <si>
    <t>＞1且≤5.04</t>
  </si>
  <si>
    <t>2019-10-18</t>
  </si>
  <si>
    <t>云南文化城置业有限公司</t>
  </si>
  <si>
    <t>住宅70年、商业40年</t>
  </si>
  <si>
    <t>5星</t>
  </si>
  <si>
    <t>昆明市西山区马街街道办事处大渔社区居民委员会</t>
  </si>
  <si>
    <t>＞1且≤3.96</t>
  </si>
  <si>
    <t>2019-09-02</t>
  </si>
  <si>
    <t>昆明轨道交通集团有限公司</t>
  </si>
  <si>
    <t>昆明市西山区马街街道办事处</t>
  </si>
  <si>
    <t>≥1.0且≤3.8</t>
  </si>
  <si>
    <t>昆明融创城投资有限公司</t>
  </si>
  <si>
    <t>住宅70年*商业40年</t>
  </si>
  <si>
    <t>＞1且≤2.9</t>
  </si>
  <si>
    <t>昆明市西山区前卫街道办事处</t>
  </si>
  <si>
    <t>大于1并且小于或等于4</t>
  </si>
  <si>
    <t>2019-08-14</t>
  </si>
  <si>
    <t>昆明复地房地产开发有限公司</t>
  </si>
  <si>
    <t>大于1并且小于或等于3.2</t>
  </si>
  <si>
    <t>昆明雅欣房地产开发有限公司</t>
  </si>
  <si>
    <t>大于1并且小于或等于5.05</t>
  </si>
  <si>
    <t>2019-07-29</t>
  </si>
  <si>
    <t>昆明乾辉房地产开发有限公司</t>
  </si>
  <si>
    <t>大于1并且小于或等于5.16</t>
  </si>
  <si>
    <t>2019-07-18</t>
  </si>
  <si>
    <t>云南沐泰房地产开发有限公司</t>
  </si>
  <si>
    <t>西山区永昌街道办事处</t>
  </si>
  <si>
    <t>＞1且≤4.5</t>
  </si>
  <si>
    <t>2019-07-05</t>
  </si>
  <si>
    <t>昆明螺蛳湾国悦置地有限公司</t>
  </si>
  <si>
    <t>70、40</t>
  </si>
  <si>
    <t>＞1且≤7.21</t>
  </si>
  <si>
    <t>＞1且≤5.74</t>
  </si>
  <si>
    <t>昆明市西山区马街街道办事处普坪社区居委会</t>
  </si>
  <si>
    <t>＞1且≤1.2</t>
  </si>
  <si>
    <t>2019-06-13</t>
  </si>
  <si>
    <t>昆明通盈房地产开发有限公司</t>
  </si>
  <si>
    <t>＞1且≤1.8</t>
  </si>
  <si>
    <t>西山区马街街道办事处张峰社区</t>
  </si>
  <si>
    <t>＞1,≤4.9</t>
  </si>
  <si>
    <t>2019-06-12</t>
  </si>
  <si>
    <t>＞1,≤4.61</t>
  </si>
  <si>
    <t>昆明旭昇房地产开发有限公司</t>
  </si>
  <si>
    <t>＞1,≤4.24</t>
  </si>
  <si>
    <t>＞1且≤9.07</t>
  </si>
  <si>
    <t>2019-05-27</t>
  </si>
  <si>
    <t>云南普锦房地产开发有限公司</t>
  </si>
  <si>
    <t>＞1且≤4.66</t>
  </si>
  <si>
    <t>昆明市西山区西苑街道办事处</t>
  </si>
  <si>
    <t>＞1,≤7.52</t>
  </si>
  <si>
    <t>2019-04-22</t>
  </si>
  <si>
    <t>云南祥宏置业有限公司</t>
  </si>
  <si>
    <t>昆明市西山区碧鸡街道办事处</t>
  </si>
  <si>
    <t>＞1,≤2.5</t>
  </si>
  <si>
    <t>2019-01-30</t>
  </si>
  <si>
    <t>昆明长坡泛亚国际物流园区开发有限责任公司</t>
  </si>
  <si>
    <t>3星</t>
  </si>
  <si>
    <t>＞1,≤4</t>
  </si>
  <si>
    <t>2星</t>
  </si>
  <si>
    <t>昆明滇池国家旅游度假区大渔片区</t>
  </si>
  <si>
    <t>＞1且≤1.5</t>
  </si>
  <si>
    <t>2019-01-21</t>
  </si>
  <si>
    <t>昆明滇池国家旅游度假区国有资产投资经营管理(集团)有限责任公司</t>
  </si>
  <si>
    <t>昆明市西山区福海街道办事处新河社区居民委员会</t>
  </si>
  <si>
    <t>＞1,≤1.66</t>
  </si>
  <si>
    <t>2018-11-29</t>
  </si>
  <si>
    <t>云南华夏卓越房地产有限公司</t>
  </si>
  <si>
    <t>≥1,≤1.7</t>
  </si>
  <si>
    <t>＞1.0且≤1.05</t>
  </si>
  <si>
    <t>2018-11-23</t>
  </si>
  <si>
    <t>云南华夏润业房地产有限公司</t>
  </si>
  <si>
    <t>＞1.0且≤1.01</t>
  </si>
  <si>
    <t>深圳市金地新城房地产开发有限公司</t>
  </si>
  <si>
    <t>＞1.0且≤1.6</t>
  </si>
  <si>
    <t>＞1.0且≤1.21</t>
  </si>
  <si>
    <t>北京中铁诺德房地产开发有限公司</t>
  </si>
  <si>
    <t>＞1.0且≤1.37</t>
  </si>
  <si>
    <t>度假区海埂片区</t>
  </si>
  <si>
    <t>＞1,＜2.5</t>
  </si>
  <si>
    <t>2018-10-18</t>
  </si>
  <si>
    <t>＞1,＜2</t>
  </si>
  <si>
    <t>＞1且≤1.71</t>
  </si>
  <si>
    <t>2018-04-26</t>
  </si>
  <si>
    <t>＞1且≤1.6</t>
  </si>
  <si>
    <t>昆明市西山区棕树营街道办事处</t>
  </si>
  <si>
    <t>＞1且≤6.02</t>
  </si>
  <si>
    <t>2018-03-16</t>
  </si>
  <si>
    <t>昆明宝华房地产开发有限公司</t>
  </si>
  <si>
    <t>＞1且≤6.05</t>
  </si>
  <si>
    <t>＞1且≤5.13</t>
  </si>
  <si>
    <t>昆明滇池旅游度假区大渔片区</t>
  </si>
  <si>
    <t>＞1且≤2.37</t>
  </si>
  <si>
    <t>2018-01-26</t>
  </si>
  <si>
    <t>云南云尚度假置业有限公司</t>
  </si>
  <si>
    <t>＞1且≤3</t>
  </si>
  <si>
    <t>69</t>
    <phoneticPr fontId="26" type="noConversion"/>
  </si>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</sst>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2"/>
      <color theme="9" tint="-0.249977111117893"/>
      <name val="Microsoft YaHei UI"/>
      <family val="3"/>
      <charset val="134"/>
    </font>
    <font>
      <sz val="10"/>
      <color rgb="FF000000"/>
      <name val="Microsoft YaHei UI"/>
      <family val="3"/>
      <charset val="134"/>
    </font>
    <font>
      <sz val="11"/>
      <color theme="9" tint="-0.249977111117893"/>
      <name val="宋体"/>
      <family val="3"/>
      <charset val="134"/>
    </font>
    <font>
      <sz val="11"/>
      <name val="宋体"/>
      <family val="2"/>
      <charset val="134"/>
    </font>
    <font>
      <sz val="11"/>
      <color rgb="FF000000"/>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4" fillId="8" borderId="19" xfId="0" applyFont="1" applyFill="1" applyBorder="1" applyAlignment="1" applyProtection="1">
      <alignment vertical="center" wrapText="1"/>
      <protection locked="0"/>
    </xf>
    <xf numFmtId="0" fontId="276" fillId="8" borderId="5" xfId="0" applyFont="1" applyFill="1" applyBorder="1" applyAlignment="1" applyProtection="1">
      <alignment vertical="center" wrapText="1"/>
      <protection locked="0"/>
    </xf>
    <xf numFmtId="0" fontId="275" fillId="8" borderId="5" xfId="0" applyFont="1" applyFill="1" applyBorder="1" applyAlignment="1" applyProtection="1">
      <alignment vertical="center" wrapText="1"/>
      <protection locked="0"/>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178" fontId="277" fillId="0" borderId="2" xfId="2" applyNumberFormat="1" applyFont="1" applyFill="1" applyBorder="1" applyAlignment="1" applyProtection="1">
      <alignment vertical="center"/>
      <protection locked="0" hidden="1"/>
    </xf>
    <xf numFmtId="178" fontId="259" fillId="0" borderId="2" xfId="2" applyNumberFormat="1" applyFont="1" applyFill="1" applyBorder="1" applyAlignment="1" applyProtection="1">
      <alignment vertical="center"/>
      <protection locked="0" hidden="1"/>
    </xf>
    <xf numFmtId="0" fontId="278" fillId="0" borderId="9" xfId="0" applyFont="1" applyFill="1" applyBorder="1" applyAlignment="1" applyProtection="1">
      <alignment horizontal="center" vertical="center" wrapText="1"/>
      <protection locked="0"/>
    </xf>
    <xf numFmtId="0" fontId="279" fillId="0" borderId="6"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280" fillId="0" borderId="59" xfId="0" applyNumberFormat="1"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0" fillId="6" borderId="0" xfId="0" applyFill="1" applyAlignment="1"/>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18667</xdr:colOff>
      <xdr:row>37</xdr:row>
      <xdr:rowOff>128678</xdr:rowOff>
    </xdr:to>
    <xdr:pic>
      <xdr:nvPicPr>
        <xdr:cNvPr id="2" name="图片 1">
          <a:extLst>
            <a:ext uri="{FF2B5EF4-FFF2-40B4-BE49-F238E27FC236}">
              <a16:creationId xmlns:a16="http://schemas.microsoft.com/office/drawing/2014/main" id="{116725E7-2F3F-495F-86FD-8616D7875217}"/>
            </a:ext>
          </a:extLst>
        </xdr:cNvPr>
        <xdr:cNvPicPr>
          <a:picLocks noChangeAspect="1"/>
        </xdr:cNvPicPr>
      </xdr:nvPicPr>
      <xdr:blipFill>
        <a:blip xmlns:r="http://schemas.openxmlformats.org/officeDocument/2006/relationships" r:embed="rId1"/>
        <a:stretch>
          <a:fillRect/>
        </a:stretch>
      </xdr:blipFill>
      <xdr:spPr>
        <a:xfrm>
          <a:off x="0" y="0"/>
          <a:ext cx="3066667" cy="6895238"/>
        </a:xfrm>
        <a:prstGeom prst="rect">
          <a:avLst/>
        </a:prstGeom>
      </xdr:spPr>
    </xdr:pic>
    <xdr:clientData/>
  </xdr:twoCellAnchor>
  <xdr:twoCellAnchor editAs="oneCell">
    <xdr:from>
      <xdr:col>6</xdr:col>
      <xdr:colOff>0</xdr:colOff>
      <xdr:row>0</xdr:row>
      <xdr:rowOff>0</xdr:rowOff>
    </xdr:from>
    <xdr:to>
      <xdr:col>16</xdr:col>
      <xdr:colOff>258053</xdr:colOff>
      <xdr:row>15</xdr:row>
      <xdr:rowOff>137160</xdr:rowOff>
    </xdr:to>
    <xdr:pic>
      <xdr:nvPicPr>
        <xdr:cNvPr id="3" name="图片 2">
          <a:extLst>
            <a:ext uri="{FF2B5EF4-FFF2-40B4-BE49-F238E27FC236}">
              <a16:creationId xmlns:a16="http://schemas.microsoft.com/office/drawing/2014/main" id="{5870B91A-813F-4FF4-A854-6ECC4796C809}"/>
            </a:ext>
          </a:extLst>
        </xdr:cNvPr>
        <xdr:cNvPicPr>
          <a:picLocks noChangeAspect="1"/>
        </xdr:cNvPicPr>
      </xdr:nvPicPr>
      <xdr:blipFill>
        <a:blip xmlns:r="http://schemas.openxmlformats.org/officeDocument/2006/relationships" r:embed="rId2"/>
        <a:stretch>
          <a:fillRect/>
        </a:stretch>
      </xdr:blipFill>
      <xdr:spPr>
        <a:xfrm>
          <a:off x="3657600" y="0"/>
          <a:ext cx="6354053" cy="2880360"/>
        </a:xfrm>
        <a:prstGeom prst="rect">
          <a:avLst/>
        </a:prstGeom>
      </xdr:spPr>
    </xdr:pic>
    <xdr:clientData/>
  </xdr:twoCellAnchor>
  <xdr:twoCellAnchor editAs="oneCell">
    <xdr:from>
      <xdr:col>6</xdr:col>
      <xdr:colOff>1</xdr:colOff>
      <xdr:row>16</xdr:row>
      <xdr:rowOff>1</xdr:rowOff>
    </xdr:from>
    <xdr:to>
      <xdr:col>16</xdr:col>
      <xdr:colOff>226365</xdr:colOff>
      <xdr:row>31</xdr:row>
      <xdr:rowOff>167641</xdr:rowOff>
    </xdr:to>
    <xdr:pic>
      <xdr:nvPicPr>
        <xdr:cNvPr id="4" name="图片 3">
          <a:extLst>
            <a:ext uri="{FF2B5EF4-FFF2-40B4-BE49-F238E27FC236}">
              <a16:creationId xmlns:a16="http://schemas.microsoft.com/office/drawing/2014/main" id="{8DE50F02-F6E7-4E19-80EB-71D545F954A6}"/>
            </a:ext>
          </a:extLst>
        </xdr:cNvPr>
        <xdr:cNvPicPr>
          <a:picLocks noChangeAspect="1"/>
        </xdr:cNvPicPr>
      </xdr:nvPicPr>
      <xdr:blipFill>
        <a:blip xmlns:r="http://schemas.openxmlformats.org/officeDocument/2006/relationships" r:embed="rId3"/>
        <a:stretch>
          <a:fillRect/>
        </a:stretch>
      </xdr:blipFill>
      <xdr:spPr>
        <a:xfrm>
          <a:off x="3657601" y="2926081"/>
          <a:ext cx="6322364" cy="2910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565659</xdr:colOff>
      <xdr:row>18</xdr:row>
      <xdr:rowOff>53340</xdr:rowOff>
    </xdr:to>
    <xdr:pic>
      <xdr:nvPicPr>
        <xdr:cNvPr id="2" name="图片 1">
          <a:extLst>
            <a:ext uri="{FF2B5EF4-FFF2-40B4-BE49-F238E27FC236}">
              <a16:creationId xmlns:a16="http://schemas.microsoft.com/office/drawing/2014/main" id="{40305489-F9A8-4641-9DF7-8392B7A7E54D}"/>
            </a:ext>
          </a:extLst>
        </xdr:cNvPr>
        <xdr:cNvPicPr>
          <a:picLocks noChangeAspect="1"/>
        </xdr:cNvPicPr>
      </xdr:nvPicPr>
      <xdr:blipFill>
        <a:blip xmlns:r="http://schemas.openxmlformats.org/officeDocument/2006/relationships" r:embed="rId1"/>
        <a:stretch>
          <a:fillRect/>
        </a:stretch>
      </xdr:blipFill>
      <xdr:spPr>
        <a:xfrm>
          <a:off x="0" y="0"/>
          <a:ext cx="5442459" cy="3345180"/>
        </a:xfrm>
        <a:prstGeom prst="rect">
          <a:avLst/>
        </a:prstGeom>
      </xdr:spPr>
    </xdr:pic>
    <xdr:clientData/>
  </xdr:twoCellAnchor>
  <xdr:twoCellAnchor editAs="oneCell">
    <xdr:from>
      <xdr:col>9</xdr:col>
      <xdr:colOff>0</xdr:colOff>
      <xdr:row>0</xdr:row>
      <xdr:rowOff>0</xdr:rowOff>
    </xdr:from>
    <xdr:to>
      <xdr:col>18</xdr:col>
      <xdr:colOff>258070</xdr:colOff>
      <xdr:row>18</xdr:row>
      <xdr:rowOff>83820</xdr:rowOff>
    </xdr:to>
    <xdr:pic>
      <xdr:nvPicPr>
        <xdr:cNvPr id="3" name="图片 2">
          <a:extLst>
            <a:ext uri="{FF2B5EF4-FFF2-40B4-BE49-F238E27FC236}">
              <a16:creationId xmlns:a16="http://schemas.microsoft.com/office/drawing/2014/main" id="{25CAC76D-955E-4945-8E9E-214D7E4728D7}"/>
            </a:ext>
          </a:extLst>
        </xdr:cNvPr>
        <xdr:cNvPicPr>
          <a:picLocks noChangeAspect="1"/>
        </xdr:cNvPicPr>
      </xdr:nvPicPr>
      <xdr:blipFill>
        <a:blip xmlns:r="http://schemas.openxmlformats.org/officeDocument/2006/relationships" r:embed="rId2"/>
        <a:stretch>
          <a:fillRect/>
        </a:stretch>
      </xdr:blipFill>
      <xdr:spPr>
        <a:xfrm>
          <a:off x="5486400" y="0"/>
          <a:ext cx="5744470" cy="3375660"/>
        </a:xfrm>
        <a:prstGeom prst="rect">
          <a:avLst/>
        </a:prstGeom>
      </xdr:spPr>
    </xdr:pic>
    <xdr:clientData/>
  </xdr:twoCellAnchor>
  <xdr:twoCellAnchor editAs="oneCell">
    <xdr:from>
      <xdr:col>0</xdr:col>
      <xdr:colOff>1</xdr:colOff>
      <xdr:row>18</xdr:row>
      <xdr:rowOff>1</xdr:rowOff>
    </xdr:from>
    <xdr:to>
      <xdr:col>8</xdr:col>
      <xdr:colOff>403860</xdr:colOff>
      <xdr:row>34</xdr:row>
      <xdr:rowOff>89318</xdr:rowOff>
    </xdr:to>
    <xdr:pic>
      <xdr:nvPicPr>
        <xdr:cNvPr id="4" name="图片 3">
          <a:extLst>
            <a:ext uri="{FF2B5EF4-FFF2-40B4-BE49-F238E27FC236}">
              <a16:creationId xmlns:a16="http://schemas.microsoft.com/office/drawing/2014/main" id="{876BBFFE-4209-4AF3-A0E0-1FEFBFB08A3C}"/>
            </a:ext>
          </a:extLst>
        </xdr:cNvPr>
        <xdr:cNvPicPr>
          <a:picLocks noChangeAspect="1"/>
        </xdr:cNvPicPr>
      </xdr:nvPicPr>
      <xdr:blipFill>
        <a:blip xmlns:r="http://schemas.openxmlformats.org/officeDocument/2006/relationships" r:embed="rId3"/>
        <a:stretch>
          <a:fillRect/>
        </a:stretch>
      </xdr:blipFill>
      <xdr:spPr>
        <a:xfrm>
          <a:off x="1" y="3291841"/>
          <a:ext cx="5280659" cy="3015397"/>
        </a:xfrm>
        <a:prstGeom prst="rect">
          <a:avLst/>
        </a:prstGeom>
      </xdr:spPr>
    </xdr:pic>
    <xdr:clientData/>
  </xdr:twoCellAnchor>
  <xdr:twoCellAnchor editAs="oneCell">
    <xdr:from>
      <xdr:col>9</xdr:col>
      <xdr:colOff>0</xdr:colOff>
      <xdr:row>19</xdr:row>
      <xdr:rowOff>0</xdr:rowOff>
    </xdr:from>
    <xdr:to>
      <xdr:col>23</xdr:col>
      <xdr:colOff>360838</xdr:colOff>
      <xdr:row>54</xdr:row>
      <xdr:rowOff>103962</xdr:rowOff>
    </xdr:to>
    <xdr:pic>
      <xdr:nvPicPr>
        <xdr:cNvPr id="5" name="图片 4">
          <a:extLst>
            <a:ext uri="{FF2B5EF4-FFF2-40B4-BE49-F238E27FC236}">
              <a16:creationId xmlns:a16="http://schemas.microsoft.com/office/drawing/2014/main" id="{6B8F41E4-ECF4-489B-A7F8-9A1676246BC4}"/>
            </a:ext>
          </a:extLst>
        </xdr:cNvPr>
        <xdr:cNvPicPr>
          <a:picLocks noChangeAspect="1"/>
        </xdr:cNvPicPr>
      </xdr:nvPicPr>
      <xdr:blipFill>
        <a:blip xmlns:r="http://schemas.openxmlformats.org/officeDocument/2006/relationships" r:embed="rId4"/>
        <a:stretch>
          <a:fillRect/>
        </a:stretch>
      </xdr:blipFill>
      <xdr:spPr>
        <a:xfrm>
          <a:off x="5486400" y="3474720"/>
          <a:ext cx="8895238" cy="6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2651</v>
      </c>
      <c r="B1" s="2845" t="s">
        <v>2748</v>
      </c>
    </row>
    <row r="2" spans="1:55" s="2849" customFormat="1" ht="16.2" thickTop="1">
      <c r="A2" s="2847" t="s">
        <v>2655</v>
      </c>
      <c r="B2" s="2848" t="str">
        <f>'预评函-封皮'!B37</f>
        <v>云南省昆明市出让国有建设用地使用权抵押价格预评估</v>
      </c>
      <c r="AX2" s="2850"/>
      <c r="AZ2" s="2850"/>
      <c r="BA2" s="2851"/>
      <c r="BC2" s="2851"/>
    </row>
    <row r="3" spans="1:55" s="2852" customFormat="1">
      <c r="A3" s="2831" t="s">
        <v>2656</v>
      </c>
      <c r="B3" s="2834">
        <f>'预评函-封皮'!B40</f>
        <v>0</v>
      </c>
    </row>
    <row r="4" spans="1:55" s="2833" customFormat="1">
      <c r="A4" s="2831" t="s">
        <v>2657</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2658</v>
      </c>
      <c r="B5" s="2854" t="str">
        <f>'预评函-封皮'!B49</f>
        <v>康正预评字号</v>
      </c>
    </row>
    <row r="6" spans="1:55" s="2855" customFormat="1" ht="16.2" thickTop="1">
      <c r="A6" s="2847" t="s">
        <v>2700</v>
      </c>
      <c r="B6" s="2848" t="str">
        <f>'预评函-1'!A4</f>
        <v>受贵公司委托，我公司对云南省昆明市出让国有建设用地使用权抵押价格进行了预评估。</v>
      </c>
      <c r="AM6" s="2856"/>
    </row>
    <row r="7" spans="1:55" s="2830" customFormat="1">
      <c r="A7" s="2831" t="s">
        <v>2652</v>
      </c>
      <c r="B7" s="2832" t="str">
        <f>'预评函-1'!A6</f>
        <v>估价对象为使用的、位于云南省昆明市出让国有建设用地使用权。根据《国有土地使用证》[]，估价对象（分摊）出让国有建设用地使用权面积为12664.48平方米。根据《建设工程规划许可证》[]、《出让合同》[]，估价对象规划建筑面积为122082.72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2020年3月5日</v>
      </c>
    </row>
    <row r="11" spans="1:55" s="2830" customFormat="1">
      <c r="A11" s="2831" t="s">
        <v>2660</v>
      </c>
      <c r="B11" s="2832" t="str">
        <f>'预评函-1'!A14</f>
        <v>根据《国有土地使用证》[]，本次评估估价对象证载（地类）用途为住宅、商业。</v>
      </c>
    </row>
    <row r="12" spans="1:55" s="2830" customFormat="1">
      <c r="A12" s="2831" t="s">
        <v>2661</v>
      </c>
      <c r="B12" s="2832" t="str">
        <f>'预评函-1'!A15</f>
        <v>本次评估设定用途即为证载用途住宅、商业。</v>
      </c>
    </row>
    <row r="13" spans="1:55" s="2830" customFormat="1">
      <c r="A13" s="2831" t="s">
        <v>2662</v>
      </c>
      <c r="B13" s="2832" t="str">
        <f>'预评函-1'!A17</f>
        <v>根据委托估价方介绍及评估专业人员现场勘查，本次评估估价对象实际土地开发程度为红线外市政基础设施达“七通”（即通路、通上水、通下水、平整、、、）、宗地红线内场地平整。</v>
      </c>
    </row>
    <row r="14" spans="1:55" s="2830" customFormat="1">
      <c r="A14" s="2831" t="s">
        <v>2663</v>
      </c>
      <c r="B14" s="2832" t="str">
        <f>'预评函-1'!A18</f>
        <v>本次评估设定土地开发程度为红线外市政基础设施达“七通”、宗地红线内场地平整。</v>
      </c>
    </row>
    <row r="15" spans="1:55" s="2830" customFormat="1">
      <c r="A15" s="2831" t="s">
        <v>2659</v>
      </c>
      <c r="B15" s="2832" t="str">
        <f>'预评函-1'!A20</f>
        <v>根据《国有土地使用证》[]，估价对象（分摊）出让国有建设用地使用权面积为12664.48平方米。根据《建设工程规划许可证》[]、《出让合同》[]，估价对象规划建筑面积为122082.72平方米。</v>
      </c>
    </row>
    <row r="16" spans="1:55" s="2830" customFormat="1">
      <c r="A16" s="2831" t="s">
        <v>2664</v>
      </c>
      <c r="B16" s="2832" t="str">
        <f>'预评函-1'!A22</f>
        <v>本次估价对象为出让国有建设用地使用权，《国有土地使用证》[]证载土地终止日期为住宅2089年4月21日、商业2059年4月21日。截至估价期日，出让国有建设用地使用权剩余土地使用年限为。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估价期日：2020年3月5日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住宅、商业</v>
      </c>
      <c r="AV32" s="2836"/>
    </row>
    <row r="33" spans="1:2">
      <c r="A33" s="2831" t="s">
        <v>2708</v>
      </c>
      <c r="B33" s="2832">
        <f>'预评函-2'!F5</f>
        <v>258</v>
      </c>
    </row>
    <row r="34" spans="1:2">
      <c r="A34" s="2831" t="s">
        <v>2709</v>
      </c>
      <c r="B34" s="2832" t="str">
        <f>'预评函-2'!G5</f>
        <v>住宅、商业</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红线外七通、宗地红线内场地平整</v>
      </c>
    </row>
    <row r="39" spans="1:2">
      <c r="A39" s="2831" t="s">
        <v>2714</v>
      </c>
      <c r="B39" s="2832" t="str">
        <f>'预评函-2'!L5</f>
        <v>红线外七通、宗地红线内场地平整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12664.48</v>
      </c>
    </row>
    <row r="44" spans="1:2">
      <c r="A44" s="2831" t="s">
        <v>2735</v>
      </c>
      <c r="B44" s="2832" t="str">
        <f>'预评函-2'!O3</f>
        <v>规划建筑面积/㎡</v>
      </c>
    </row>
    <row r="45" spans="1:2">
      <c r="A45" s="2831" t="s">
        <v>2717</v>
      </c>
      <c r="B45" s="2832">
        <f>'预评函-2'!O5</f>
        <v>122082.72</v>
      </c>
    </row>
    <row r="46" spans="1:2">
      <c r="A46" s="2831" t="s">
        <v>2718</v>
      </c>
      <c r="B46" s="2832">
        <f ca="1">'预评函-2'!P5</f>
        <v>38207</v>
      </c>
    </row>
    <row r="47" spans="1:2">
      <c r="A47" s="2831" t="s">
        <v>2719</v>
      </c>
      <c r="B47" s="2832">
        <f ca="1">'预评函-2'!Q5</f>
        <v>3963</v>
      </c>
    </row>
    <row r="48" spans="1:2">
      <c r="A48" s="2831" t="s">
        <v>2720</v>
      </c>
      <c r="B48" s="2832">
        <f ca="1">'预评函-2'!R5</f>
        <v>48387</v>
      </c>
    </row>
    <row r="49" spans="1:2">
      <c r="A49" s="2831" t="s">
        <v>2736</v>
      </c>
      <c r="B49" s="2832" t="str">
        <f>'预评函-2'!A6</f>
        <v>抵押价格</v>
      </c>
    </row>
    <row r="50" spans="1:2">
      <c r="A50" s="2831" t="s">
        <v>2721</v>
      </c>
      <c r="B50" s="2832">
        <f ca="1">'预评函-2'!R6</f>
        <v>48387</v>
      </c>
    </row>
    <row r="51" spans="1:2">
      <c r="A51" s="2831" t="s">
        <v>2737</v>
      </c>
      <c r="B51" s="2832" t="str">
        <f>'预评函-2'!A7</f>
        <v>——</v>
      </c>
    </row>
    <row r="52" spans="1:2">
      <c r="A52" s="2831" t="s">
        <v>2722</v>
      </c>
      <c r="B52" s="2832" t="str">
        <f>'预评函-2'!R7</f>
        <v>——</v>
      </c>
    </row>
    <row r="53" spans="1:2">
      <c r="A53" s="2831" t="s">
        <v>2738</v>
      </c>
      <c r="B53" s="2832">
        <f>'预评函-2'!A8</f>
        <v>0</v>
      </c>
    </row>
    <row r="54" spans="1:2" s="2846" customFormat="1" ht="16.2" thickBot="1">
      <c r="A54" s="2853" t="s">
        <v>2723</v>
      </c>
      <c r="B54" s="2854" t="str">
        <f>'预评函-2'!R8</f>
        <v>——</v>
      </c>
    </row>
    <row r="55" spans="1:2" ht="16.2" thickTop="1">
      <c r="A55" s="2842" t="s">
        <v>2673</v>
      </c>
      <c r="B55" s="2843" t="str">
        <f>'预评函-3'!A2</f>
        <v>1.权利限制：根据估价对象《不动产权证书》复印件，截至估价期日，估价对象抵押权未见登记。未设定租赁等其他他项权利。</v>
      </c>
    </row>
    <row r="56" spans="1:2">
      <c r="A56" s="2831" t="s">
        <v>2674</v>
      </c>
      <c r="B56" s="2832" t="str">
        <f>'预评函-3'!A3</f>
        <v>2.基础设施条件：估价对象实际开发程度为红线外七通、宗地红线内场地平整；本次评估设定开发程度为红线外七通、宗地红线内场地平整。</v>
      </c>
    </row>
    <row r="57" spans="1:2">
      <c r="A57" s="2831" t="s">
        <v>2675</v>
      </c>
      <c r="B57" s="2832" t="str">
        <f>'预评函-3'!A4</f>
        <v>3.估价规划限制条件：详见《建设工程规划许可证》[]、《出让合同》[]。</v>
      </c>
    </row>
    <row r="58" spans="1:2" s="2846" customFormat="1" ht="16.2" thickBot="1">
      <c r="A58" s="2853" t="s">
        <v>2724</v>
      </c>
      <c r="B58" s="2854" t="str">
        <f>'预评函-3'!A5</f>
        <v>4.影响价格的其他限定条件：无。</v>
      </c>
    </row>
    <row r="59" spans="1:2" ht="16.2"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2687</v>
      </c>
      <c r="B68" s="2857">
        <f>'预评函-3'!D30</f>
        <v>42558</v>
      </c>
    </row>
    <row r="69" spans="1:2" ht="16.2" thickTop="1">
      <c r="A69" s="2842" t="s">
        <v>2685</v>
      </c>
      <c r="B69" s="2843" t="str">
        <f>'预评函-3'!A20</f>
        <v>土地估价师</v>
      </c>
    </row>
    <row r="70" spans="1:2">
      <c r="A70" s="2831" t="s">
        <v>2685</v>
      </c>
      <c r="B70" s="2838">
        <f>'预评函-3'!B20</f>
        <v>0</v>
      </c>
    </row>
    <row r="71" spans="1:2">
      <c r="A71" s="2831" t="s">
        <v>2686</v>
      </c>
      <c r="B71" s="2832" t="str">
        <f>'预评函-3'!A21</f>
        <v>土地估价师</v>
      </c>
    </row>
    <row r="72" spans="1:2" s="2846" customFormat="1" ht="16.2" thickBot="1">
      <c r="A72" s="2853" t="s">
        <v>2686</v>
      </c>
      <c r="B72" s="2859">
        <f>'预评函-3'!B21</f>
        <v>0</v>
      </c>
    </row>
    <row r="73" spans="1:2" ht="16.2"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4" zoomScale="90" zoomScaleNormal="100" zoomScaleSheetLayoutView="90" workbookViewId="0">
      <selection activeCell="E18" sqref="E18"/>
    </sheetView>
  </sheetViews>
  <sheetFormatPr defaultColWidth="10" defaultRowHeight="15.6"/>
  <cols>
    <col min="1" max="1" width="15.33203125" style="1673" customWidth="1"/>
    <col min="2" max="2" width="11.33203125" style="1673" customWidth="1"/>
    <col min="3" max="3" width="12.6640625" style="1673" customWidth="1"/>
    <col min="4" max="4" width="12.1093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1935</v>
      </c>
      <c r="B1" s="3224" t="str">
        <f>IF(B10="北京市","北京市",C10)&amp;F10&amp;B16&amp;"国有建设用地使用权"&amp;B9&amp;"预评估"</f>
        <v>云南省昆明市出让国有建设用地使用权抵押价格预评估</v>
      </c>
      <c r="C1" s="3225"/>
      <c r="D1" s="3225"/>
      <c r="E1" s="3225"/>
      <c r="F1" s="3225"/>
      <c r="G1" s="3225"/>
      <c r="H1" s="3225"/>
      <c r="I1" s="3226"/>
      <c r="J1" s="1676"/>
      <c r="K1" s="2417" t="str">
        <f>IF(B10="北京市","北京市",C10)&amp;F10&amp;B16&amp;"国有建设用地使用权"&amp;B9</f>
        <v>云南省昆明市出让国有建设用地使用权抵押价格</v>
      </c>
      <c r="L1" s="1705"/>
      <c r="M1" s="1705"/>
      <c r="N1" s="1676"/>
      <c r="O1" s="1677"/>
      <c r="P1" s="1676"/>
      <c r="Q1" s="1676"/>
      <c r="R1" s="1676"/>
      <c r="S1" s="1676"/>
      <c r="T1" s="1676"/>
      <c r="U1" s="1676"/>
    </row>
    <row r="2" spans="1:21">
      <c r="A2" s="1643" t="s">
        <v>1936</v>
      </c>
      <c r="B2" s="1824"/>
      <c r="D2" s="1676"/>
      <c r="E2" s="1676"/>
      <c r="F2" s="1676"/>
      <c r="G2" s="1676"/>
      <c r="H2" s="1643"/>
      <c r="I2" s="1677"/>
      <c r="J2" s="1676"/>
      <c r="K2" s="2417" t="str">
        <f>IF(B10="北京市","北京市",C10)&amp;F10&amp;B16&amp;"国有建设用地使用权"</f>
        <v>云南省昆明市出让国有建设用地使用权</v>
      </c>
      <c r="L2" s="1705"/>
      <c r="M2" s="1705"/>
      <c r="N2" s="1676"/>
      <c r="O2" s="1677"/>
      <c r="P2" s="1676"/>
      <c r="Q2" s="1676"/>
      <c r="R2" s="1676"/>
      <c r="S2" s="1676"/>
      <c r="T2" s="1676"/>
      <c r="U2" s="1676"/>
    </row>
    <row r="3" spans="1:21">
      <c r="A3" s="1644" t="s">
        <v>1937</v>
      </c>
      <c r="B3" s="1645"/>
      <c r="C3" s="1646" t="s">
        <v>1991</v>
      </c>
      <c r="D3" s="1645">
        <v>43895</v>
      </c>
      <c r="E3" s="1676"/>
      <c r="F3" s="1676"/>
      <c r="G3" s="1676"/>
      <c r="H3" s="1643"/>
      <c r="I3" s="1677"/>
      <c r="J3" s="1676"/>
      <c r="K3" s="1756"/>
      <c r="L3" s="1705"/>
      <c r="M3" s="1705"/>
      <c r="N3" s="1676"/>
      <c r="O3" s="1677"/>
      <c r="P3" s="1676"/>
      <c r="Q3" s="1676"/>
      <c r="R3" s="1676"/>
      <c r="S3" s="1676"/>
      <c r="T3" s="1676"/>
      <c r="U3" s="1676"/>
    </row>
    <row r="4" spans="1:21" ht="31.8" thickBot="1">
      <c r="A4" s="1647" t="s">
        <v>1938</v>
      </c>
      <c r="B4" s="1825" t="s">
        <v>2884</v>
      </c>
      <c r="C4" s="1828">
        <f>SUMIF(土地估价师,B4,估价师及机构信息!E3:E24)</f>
        <v>0</v>
      </c>
      <c r="D4" s="1825" t="s">
        <v>2884</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1939</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2701</v>
      </c>
      <c r="B6" s="1771"/>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2702</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1940</v>
      </c>
      <c r="B8" s="1653" t="s">
        <v>2988</v>
      </c>
      <c r="C8" s="1654"/>
      <c r="D8" s="3229" t="s">
        <v>1942</v>
      </c>
      <c r="E8" s="1826" t="s">
        <v>2997</v>
      </c>
      <c r="F8" s="1655"/>
      <c r="G8" s="1643"/>
      <c r="H8" s="1643"/>
      <c r="I8" s="1689"/>
      <c r="J8" s="1676"/>
      <c r="K8" s="1756"/>
      <c r="L8" s="1705"/>
      <c r="M8" s="1705"/>
      <c r="N8" s="1676"/>
      <c r="O8" s="1677"/>
      <c r="P8" s="1676"/>
      <c r="Q8" s="1676"/>
      <c r="R8" s="1676"/>
      <c r="S8" s="1676"/>
      <c r="T8" s="1676"/>
      <c r="U8" s="1676"/>
    </row>
    <row r="9" spans="1:21" ht="16.2" thickBot="1">
      <c r="A9" s="1656" t="s">
        <v>1941</v>
      </c>
      <c r="B9" s="1657" t="s">
        <v>2997</v>
      </c>
      <c r="C9" s="1658"/>
      <c r="D9" s="3230"/>
      <c r="E9" s="1657"/>
      <c r="F9" s="1729"/>
      <c r="G9" s="1724"/>
      <c r="H9" s="1724"/>
      <c r="I9" s="1725"/>
      <c r="J9" s="1676"/>
      <c r="K9" s="1756"/>
      <c r="L9" s="1705"/>
      <c r="M9" s="1705"/>
      <c r="N9" s="1676"/>
      <c r="O9" s="1677"/>
      <c r="P9" s="1676"/>
      <c r="Q9" s="1676"/>
      <c r="R9" s="1676"/>
      <c r="S9" s="1676"/>
      <c r="T9" s="1676"/>
      <c r="U9" s="1676"/>
    </row>
    <row r="10" spans="1:21" ht="31.8" thickTop="1">
      <c r="A10" s="1726" t="s">
        <v>1995</v>
      </c>
      <c r="B10" s="1701" t="s">
        <v>2998</v>
      </c>
      <c r="C10" s="3477" t="s">
        <v>3000</v>
      </c>
      <c r="D10" s="1650"/>
      <c r="E10" s="1659" t="s">
        <v>1944</v>
      </c>
      <c r="F10" s="1660"/>
      <c r="G10" s="1727"/>
      <c r="H10" s="1728"/>
      <c r="I10" s="1650"/>
      <c r="J10" s="1676"/>
      <c r="K10" s="1756"/>
      <c r="L10" s="1705"/>
      <c r="M10" s="1705"/>
      <c r="N10" s="1676"/>
      <c r="O10" s="1677"/>
      <c r="P10" s="1676"/>
      <c r="Q10" s="1676"/>
      <c r="R10" s="1676"/>
      <c r="S10" s="1676"/>
      <c r="T10" s="1676"/>
      <c r="U10" s="1676"/>
    </row>
    <row r="11" spans="1:21">
      <c r="A11" s="1679" t="s">
        <v>1996</v>
      </c>
      <c r="B11" s="1680" t="s">
        <v>2999</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2054</v>
      </c>
      <c r="B12" s="3478" t="s">
        <v>3001</v>
      </c>
      <c r="C12" s="3227"/>
      <c r="D12" s="3228"/>
      <c r="E12" s="1681" t="s">
        <v>2057</v>
      </c>
      <c r="F12" s="3244" t="s">
        <v>2885</v>
      </c>
      <c r="G12" s="3245"/>
      <c r="H12" s="3245"/>
      <c r="I12" s="3246"/>
      <c r="J12" s="1676"/>
      <c r="K12" s="1756"/>
      <c r="L12" s="1705"/>
      <c r="M12" s="1705"/>
      <c r="N12" s="1676"/>
      <c r="O12" s="1677"/>
      <c r="P12" s="1676"/>
      <c r="Q12" s="1676"/>
      <c r="R12" s="1676"/>
      <c r="S12" s="1676"/>
      <c r="T12" s="1676"/>
      <c r="U12" s="1676"/>
    </row>
    <row r="13" spans="1:21">
      <c r="A13" s="1669" t="s">
        <v>2055</v>
      </c>
      <c r="B13" s="3479" t="s">
        <v>3001</v>
      </c>
      <c r="C13" s="3227"/>
      <c r="D13" s="3228"/>
      <c r="E13" s="1681" t="s">
        <v>2057</v>
      </c>
      <c r="F13" s="3244" t="s">
        <v>2886</v>
      </c>
      <c r="G13" s="3245"/>
      <c r="H13" s="3245"/>
      <c r="I13" s="3246"/>
      <c r="J13" s="1676"/>
      <c r="K13" s="1756"/>
      <c r="L13" s="1705"/>
      <c r="M13" s="1705"/>
      <c r="N13" s="1676"/>
      <c r="O13" s="1677"/>
      <c r="P13" s="1676"/>
      <c r="Q13" s="1676"/>
      <c r="R13" s="1676"/>
      <c r="S13" s="1676"/>
      <c r="T13" s="1676"/>
      <c r="U13" s="1676"/>
    </row>
    <row r="14" spans="1:21">
      <c r="A14" s="1644" t="s">
        <v>2058</v>
      </c>
      <c r="B14" s="1681"/>
      <c r="C14" s="1827" t="s">
        <v>3002</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c r="A16" s="1662" t="s">
        <v>1945</v>
      </c>
      <c r="B16" s="1663" t="s">
        <v>2983</v>
      </c>
      <c r="C16" s="1681" t="s">
        <v>1946</v>
      </c>
      <c r="D16" s="2608" t="s">
        <v>1947</v>
      </c>
      <c r="E16" s="1704" t="s">
        <v>2996</v>
      </c>
      <c r="F16" s="1704"/>
      <c r="G16" s="1704"/>
      <c r="H16" s="1704"/>
      <c r="I16" s="1668" t="s">
        <v>1952</v>
      </c>
      <c r="J16" s="1676"/>
      <c r="K16" s="2418" t="str">
        <f>IF(D17="","",D16&amp;TEXT(D17,"yyyy年m月d日;;"))</f>
        <v>住宅2089年4月21日</v>
      </c>
      <c r="L16" s="1681" t="str">
        <f>IF(OR(K16="",M16=""),"","、")</f>
        <v>、</v>
      </c>
      <c r="M16" s="2418" t="str">
        <f>IF(E17="","",E16&amp;TEXT(E17,"yyyy年m月d日;;"))</f>
        <v>商业2059年4月21日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1953</v>
      </c>
      <c r="D17" s="1682">
        <v>69144</v>
      </c>
      <c r="E17" s="1682">
        <v>58186</v>
      </c>
      <c r="F17" s="1682"/>
      <c r="G17" s="1682"/>
      <c r="H17" s="1682"/>
      <c r="I17" s="1682"/>
      <c r="J17" s="1676"/>
      <c r="K17" s="2417" t="str">
        <f>CONCATENATE(K16,L16,M16,N16,O16,P16,Q16,R16,S16,T16,,U16)</f>
        <v>住宅2089年4月21日、商业2059年4月21日</v>
      </c>
      <c r="L17" s="1705"/>
      <c r="M17" s="1705"/>
      <c r="N17" s="1676"/>
      <c r="O17" s="1677"/>
      <c r="P17" s="1676"/>
      <c r="Q17" s="1676"/>
      <c r="R17" s="1676"/>
      <c r="S17" s="1676"/>
      <c r="T17" s="1676"/>
      <c r="U17" s="1676"/>
    </row>
    <row r="18" spans="1:21">
      <c r="A18" s="1745"/>
      <c r="B18" s="1664"/>
      <c r="C18" s="1665" t="s">
        <v>1954</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1955</v>
      </c>
      <c r="D19" s="1740">
        <f>IF(B16="出让",IF(D17="","",ROUNDDOWN(MIN((D17-$D$3)/365,D18),2)),D18)</f>
        <v>69.17</v>
      </c>
      <c r="E19" s="1667">
        <f>IF(B16="出让",IF(E17="","",ROUNDDOWN(MIN((E17-$D$3)/365,E18),2)),E18)</f>
        <v>39.15</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41"/>
      <c r="E20" s="3242"/>
      <c r="F20" s="3242"/>
      <c r="G20" s="3242"/>
      <c r="H20" s="3242"/>
      <c r="I20" s="3243"/>
      <c r="J20" s="1676"/>
      <c r="K20" s="1756"/>
      <c r="L20" s="1705"/>
      <c r="M20" s="1705"/>
      <c r="N20" s="1676"/>
      <c r="O20" s="1677"/>
      <c r="P20" s="1676"/>
      <c r="Q20" s="1676"/>
      <c r="R20" s="1676"/>
      <c r="S20" s="1676"/>
      <c r="T20" s="1676"/>
      <c r="U20" s="1676"/>
    </row>
    <row r="21" spans="1:21">
      <c r="A21" s="1745" t="s">
        <v>1956</v>
      </c>
      <c r="B21" s="1746" t="s">
        <v>1957</v>
      </c>
      <c r="C21" s="1741">
        <f>'数据-汇总表'!E3</f>
        <v>122082.72</v>
      </c>
      <c r="D21" s="1742" t="s">
        <v>1958</v>
      </c>
      <c r="E21" s="3231" t="s">
        <v>1994</v>
      </c>
      <c r="F21" s="3232"/>
      <c r="G21" s="3232"/>
      <c r="H21" s="3232"/>
      <c r="I21" s="3233"/>
      <c r="J21" s="1676"/>
      <c r="K21" s="1756"/>
      <c r="L21" s="1705"/>
      <c r="M21" s="1705"/>
      <c r="N21" s="1676"/>
      <c r="O21" s="1677"/>
      <c r="P21" s="1676"/>
      <c r="Q21" s="1676"/>
      <c r="R21" s="1676"/>
      <c r="S21" s="1676"/>
      <c r="T21" s="1676"/>
      <c r="U21" s="1676"/>
    </row>
    <row r="22" spans="1:21">
      <c r="A22" s="3095" t="s">
        <v>952</v>
      </c>
      <c r="B22" s="1644" t="s">
        <v>1959</v>
      </c>
      <c r="C22" s="1668">
        <f>'数据-汇总表'!D3</f>
        <v>12664.48</v>
      </c>
      <c r="D22" s="1669" t="s">
        <v>1958</v>
      </c>
      <c r="E22" s="3231" t="s">
        <v>2887</v>
      </c>
      <c r="F22" s="3232"/>
      <c r="G22" s="3232"/>
      <c r="H22" s="3232"/>
      <c r="I22" s="3233"/>
      <c r="J22" s="1676"/>
      <c r="K22" s="1756"/>
      <c r="L22" s="1705"/>
      <c r="M22" s="1705"/>
      <c r="N22" s="1676"/>
      <c r="O22" s="1677"/>
      <c r="P22" s="1676"/>
      <c r="Q22" s="1676"/>
      <c r="R22" s="1676"/>
      <c r="S22" s="1676"/>
      <c r="T22" s="1676"/>
      <c r="U22" s="1676"/>
    </row>
    <row r="23" spans="1:21" ht="47.4" thickBot="1">
      <c r="A23" s="1747" t="s">
        <v>1960</v>
      </c>
      <c r="B23" s="1683" t="s">
        <v>1961</v>
      </c>
      <c r="C23" s="1684" t="s">
        <v>3003</v>
      </c>
      <c r="D23" s="1685" t="s">
        <v>1962</v>
      </c>
      <c r="E23" s="1686" t="s">
        <v>952</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34" t="s">
        <v>1964</v>
      </c>
      <c r="C24" s="3235"/>
      <c r="D24" s="3236" t="s">
        <v>1965</v>
      </c>
      <c r="E24" s="3237"/>
      <c r="F24" s="1690" t="s">
        <v>1966</v>
      </c>
      <c r="G24" s="1676"/>
      <c r="H24" s="1676"/>
      <c r="I24" s="1689"/>
      <c r="J24" s="1676"/>
      <c r="K24" s="3223" t="s">
        <v>1967</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2321</v>
      </c>
      <c r="C25" s="1691" t="s">
        <v>2322</v>
      </c>
      <c r="D25" s="1692"/>
      <c r="E25" s="1693" t="s">
        <v>952</v>
      </c>
      <c r="F25" s="1694"/>
      <c r="G25" s="1676"/>
      <c r="H25" s="1676"/>
      <c r="I25" s="1689"/>
      <c r="J25" s="1676"/>
      <c r="K25" s="322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t="s">
        <v>952</v>
      </c>
      <c r="C26" s="1691"/>
      <c r="D26" s="1643"/>
      <c r="E26" s="1643"/>
      <c r="F26" s="1670"/>
      <c r="G26" s="1676"/>
      <c r="H26" s="1676"/>
      <c r="I26" s="1689"/>
      <c r="J26" s="1676"/>
      <c r="K26" s="322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2" thickTop="1">
      <c r="A31" s="3209" t="s">
        <v>1997</v>
      </c>
      <c r="B31" s="1746" t="s">
        <v>1998</v>
      </c>
      <c r="C31" s="3247" t="s">
        <v>3004</v>
      </c>
      <c r="D31" s="3248"/>
      <c r="E31" s="1676"/>
      <c r="F31" s="1676"/>
      <c r="G31" s="1676"/>
      <c r="H31" s="1676"/>
      <c r="I31" s="1689"/>
      <c r="J31" s="1676"/>
      <c r="K31" s="2420"/>
      <c r="L31" s="1676"/>
      <c r="M31" s="1676"/>
      <c r="N31" s="1676"/>
      <c r="O31" s="1676"/>
      <c r="P31" s="1676"/>
      <c r="Q31" s="1676"/>
      <c r="R31" s="1676"/>
      <c r="S31" s="1676"/>
      <c r="T31" s="1676"/>
      <c r="U31" s="1676"/>
    </row>
    <row r="32" spans="1:21">
      <c r="A32" s="3209"/>
      <c r="B32" s="1644" t="s">
        <v>1999</v>
      </c>
      <c r="C32" s="1701" t="s">
        <v>3005</v>
      </c>
      <c r="D32" s="1702"/>
      <c r="E32" s="1676"/>
      <c r="F32" s="1676"/>
      <c r="G32" s="1676"/>
      <c r="H32" s="1676"/>
      <c r="I32" s="1689"/>
      <c r="J32" s="1676"/>
      <c r="K32" s="2420"/>
      <c r="L32" s="1676"/>
      <c r="M32" s="1676"/>
      <c r="N32" s="1676"/>
      <c r="O32" s="1676"/>
      <c r="P32" s="1676"/>
      <c r="Q32" s="1676"/>
      <c r="R32" s="1676"/>
      <c r="S32" s="1676"/>
      <c r="T32" s="1676"/>
      <c r="U32" s="1676"/>
    </row>
    <row r="33" spans="1:21">
      <c r="A33" s="3209"/>
      <c r="B33" s="1644" t="s">
        <v>2000</v>
      </c>
      <c r="C33" s="1703" t="s">
        <v>3003</v>
      </c>
      <c r="D33" s="1820"/>
      <c r="E33" s="1676"/>
      <c r="F33" s="1676"/>
      <c r="G33" s="1676"/>
      <c r="H33" s="1676"/>
      <c r="I33" s="1689"/>
      <c r="J33" s="1676"/>
      <c r="K33" s="2420"/>
      <c r="L33" s="1676"/>
      <c r="M33" s="1676"/>
      <c r="N33" s="1676"/>
      <c r="O33" s="1676"/>
      <c r="P33" s="1676"/>
      <c r="Q33" s="1676"/>
      <c r="R33" s="1676"/>
      <c r="S33" s="1676"/>
      <c r="T33" s="1676"/>
      <c r="U33" s="1676"/>
    </row>
    <row r="34" spans="1:21">
      <c r="A34" s="3210"/>
      <c r="B34" s="1644" t="s">
        <v>2001</v>
      </c>
      <c r="C34" s="3211"/>
      <c r="D34" s="3212"/>
      <c r="E34" s="1676"/>
      <c r="F34" s="1676"/>
      <c r="G34" s="1676"/>
      <c r="H34" s="1676"/>
      <c r="I34" s="1689"/>
      <c r="J34" s="1676"/>
      <c r="K34" s="2420"/>
      <c r="L34" s="1676"/>
      <c r="M34" s="1676"/>
      <c r="N34" s="1676"/>
      <c r="O34" s="1676"/>
      <c r="P34" s="1676"/>
      <c r="Q34" s="1676"/>
      <c r="R34" s="1676"/>
      <c r="S34" s="1676"/>
      <c r="T34" s="1676"/>
      <c r="U34" s="1676"/>
    </row>
    <row r="35" spans="1:21">
      <c r="A35" s="3213" t="s">
        <v>847</v>
      </c>
      <c r="B35" s="1704" t="s">
        <v>3010</v>
      </c>
      <c r="C35" s="1758" t="str">
        <f>IF(B35="场地平整","——","具体情况：")</f>
        <v>——</v>
      </c>
      <c r="D35" s="3215"/>
      <c r="E35" s="3216"/>
      <c r="F35" s="3216"/>
      <c r="G35" s="3216"/>
      <c r="H35" s="3216"/>
      <c r="I35" s="3217"/>
      <c r="J35" s="1676"/>
      <c r="K35" s="1757"/>
      <c r="L35" s="1705"/>
      <c r="M35" s="1705"/>
      <c r="N35" s="1676"/>
      <c r="O35" s="1677"/>
      <c r="P35" s="1676"/>
      <c r="Q35" s="1676"/>
      <c r="R35" s="1676"/>
      <c r="S35" s="1676"/>
      <c r="T35" s="1676"/>
      <c r="U35" s="1676"/>
    </row>
    <row r="36" spans="1:21">
      <c r="A36" s="3209"/>
      <c r="B36" s="3218" t="s">
        <v>2050</v>
      </c>
      <c r="C36" s="3219"/>
      <c r="D36" s="1774" t="s">
        <v>3009</v>
      </c>
      <c r="E36" s="3220"/>
      <c r="F36" s="3220"/>
      <c r="G36" s="1669" t="str">
        <f>IF(B35="场地未平整","估价结果处理","")</f>
        <v/>
      </c>
      <c r="H36" s="3221"/>
      <c r="I36" s="3221"/>
      <c r="J36" s="1676"/>
      <c r="K36" s="1757"/>
      <c r="L36" s="1705"/>
      <c r="M36" s="1705"/>
      <c r="N36" s="1676"/>
      <c r="O36" s="1677"/>
      <c r="P36" s="1676"/>
      <c r="Q36" s="1676"/>
      <c r="R36" s="1676"/>
      <c r="S36" s="1676"/>
      <c r="T36" s="1676"/>
      <c r="U36" s="1676"/>
    </row>
    <row r="37" spans="1:21" ht="31.2">
      <c r="A37" s="3209"/>
      <c r="B37" s="3238" t="s">
        <v>848</v>
      </c>
      <c r="C37" s="1706" t="s">
        <v>849</v>
      </c>
      <c r="D37" s="1707">
        <v>44156</v>
      </c>
      <c r="E37" s="1708"/>
      <c r="F37" s="1676"/>
      <c r="G37" s="1676"/>
      <c r="H37" s="1676"/>
      <c r="I37" s="1689"/>
      <c r="J37" s="1676"/>
      <c r="K37" s="1757"/>
      <c r="L37" s="1676"/>
      <c r="M37" s="1676"/>
      <c r="N37" s="1676"/>
      <c r="O37" s="1676"/>
      <c r="P37" s="1676"/>
      <c r="Q37" s="1676"/>
      <c r="R37" s="1676"/>
      <c r="S37" s="1676"/>
      <c r="T37" s="1676"/>
      <c r="U37" s="1676"/>
    </row>
    <row r="38" spans="1:21">
      <c r="A38" s="3209"/>
      <c r="B38" s="3239"/>
      <c r="C38" s="1652" t="s">
        <v>850</v>
      </c>
      <c r="D38" s="1773">
        <f>ROUNDDOWN(MIN(('数据-取费表'!$B$2-D37)/365,D34),1)</f>
        <v>-0.7</v>
      </c>
      <c r="E38" s="1709" t="s">
        <v>851</v>
      </c>
      <c r="F38" s="1676"/>
      <c r="G38" s="1676"/>
      <c r="H38" s="1676"/>
      <c r="I38" s="1689"/>
      <c r="J38" s="1676"/>
      <c r="K38" s="1757"/>
      <c r="L38" s="1676"/>
      <c r="M38" s="1676"/>
      <c r="N38" s="1676"/>
      <c r="O38" s="1676"/>
      <c r="P38" s="1676"/>
      <c r="Q38" s="1676"/>
      <c r="R38" s="1676"/>
      <c r="S38" s="1676"/>
      <c r="T38" s="1676"/>
      <c r="U38" s="1676"/>
    </row>
    <row r="39" spans="1:21">
      <c r="A39" s="3210"/>
      <c r="B39" s="3240"/>
      <c r="C39" s="1679" t="str">
        <f>IF(D38&lt;1,"不存在土地闲置",IF(B35="宗地内已开工建设","已开工，不存在土地闲置","估价对象已涉嫌土地闲置"))</f>
        <v>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t="s">
        <v>3006</v>
      </c>
      <c r="C40" s="1672" t="s">
        <v>3007</v>
      </c>
      <c r="D40" s="1672" t="s">
        <v>3008</v>
      </c>
      <c r="E40" s="1672" t="s">
        <v>3009</v>
      </c>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22" t="s">
        <v>1981</v>
      </c>
      <c r="T40" s="1713" t="str">
        <f>NUMBERSTRING(7-K40,1)&amp;"通"</f>
        <v>七通</v>
      </c>
      <c r="U40" s="1676"/>
    </row>
    <row r="41" spans="1:21">
      <c r="A41" s="1646"/>
      <c r="B41" s="3214" t="s">
        <v>1721</v>
      </c>
      <c r="C41" s="3214"/>
      <c r="D41" s="3214"/>
      <c r="E41" s="3214"/>
      <c r="F41" s="1714" t="str">
        <f>C10</f>
        <v>云南省昆明市</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通路、通上水、通下水、平整</v>
      </c>
      <c r="P41" s="1716" t="str">
        <f>B40&amp;"、"&amp;C40&amp;"、"&amp;D40&amp;"、"&amp;E40&amp;"、"&amp;F40</f>
        <v>通路、通上水、通下水、平整、</v>
      </c>
      <c r="Q41" s="1716" t="str">
        <f>B40&amp;"、"&amp;C40&amp;"、"&amp;D40&amp;"、"&amp;E40&amp;"、"&amp;F40&amp;"、"&amp;G40</f>
        <v>通路、通上水、通下水、平整、、</v>
      </c>
      <c r="R41" s="1716" t="str">
        <f>B40&amp;"、"&amp;C40&amp;"、"&amp;D40&amp;"、"&amp;E40&amp;"、"&amp;F40&amp;"、"&amp;G40&amp;"、"&amp;H40</f>
        <v>通路、通上水、通下水、平整、、、</v>
      </c>
      <c r="S41" s="3222"/>
      <c r="T41" s="1715" t="str">
        <f>IF(T40="一通",L41,IF(T40="二通",M41,IF(T40="三通",N41,IF(T40="四通",O41,IF(T40="五通",P41,IF(T40="六通",Q41,R41))))))</f>
        <v>通路、通上水、通下水、平整、、、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M16" sqref="AM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2.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2329</v>
      </c>
      <c r="BA2" s="2323"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12664.48</v>
      </c>
      <c r="B3" s="22">
        <f>IF(C3="否",G5-AT5,G5)</f>
        <v>122082.72</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122082.72</v>
      </c>
      <c r="H5" s="27">
        <f t="shared" ref="H5:AT5" si="0">SUM(H13:H641)</f>
        <v>96277.73</v>
      </c>
      <c r="I5" s="27">
        <f t="shared" si="0"/>
        <v>93780.23</v>
      </c>
      <c r="J5" s="27">
        <f t="shared" si="0"/>
        <v>0</v>
      </c>
      <c r="K5" s="27">
        <f t="shared" si="0"/>
        <v>265.05</v>
      </c>
      <c r="L5" s="27">
        <f t="shared" si="0"/>
        <v>0</v>
      </c>
      <c r="M5" s="27">
        <f t="shared" si="0"/>
        <v>2232.4499999999998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25804.99</v>
      </c>
      <c r="AD5" s="27">
        <f t="shared" si="0"/>
        <v>1312.25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24492.74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122082.72</v>
      </c>
      <c r="BA5" s="29">
        <f t="shared" si="1"/>
        <v>96277.73</v>
      </c>
      <c r="BB5" s="29">
        <f t="shared" si="1"/>
        <v>93780.23</v>
      </c>
      <c r="BC5" s="29">
        <f t="shared" si="1"/>
        <v>265.05</v>
      </c>
      <c r="BD5" s="29">
        <f t="shared" si="1"/>
        <v>2232.4499999999998</v>
      </c>
      <c r="BE5" s="29">
        <f t="shared" si="1"/>
        <v>0</v>
      </c>
      <c r="BF5" s="29">
        <f t="shared" si="1"/>
        <v>0</v>
      </c>
      <c r="BG5" s="29">
        <f t="shared" si="1"/>
        <v>0</v>
      </c>
      <c r="BH5" s="29">
        <f t="shared" si="1"/>
        <v>0</v>
      </c>
      <c r="BI5" s="29">
        <f t="shared" si="1"/>
        <v>0</v>
      </c>
      <c r="BJ5" s="29">
        <f t="shared" si="1"/>
        <v>0</v>
      </c>
      <c r="BK5" s="29">
        <f t="shared" si="1"/>
        <v>0</v>
      </c>
      <c r="BL5" s="29">
        <f t="shared" si="1"/>
        <v>25804.99</v>
      </c>
      <c r="BM5" s="29">
        <f t="shared" si="1"/>
        <v>1312.25</v>
      </c>
      <c r="BN5" s="29">
        <f t="shared" si="1"/>
        <v>0</v>
      </c>
      <c r="BO5" s="29">
        <f t="shared" si="1"/>
        <v>0</v>
      </c>
      <c r="BP5" s="29">
        <f t="shared" si="1"/>
        <v>0</v>
      </c>
      <c r="BQ5" s="29">
        <f t="shared" si="1"/>
        <v>0</v>
      </c>
      <c r="BR5" s="29">
        <f t="shared" si="1"/>
        <v>24492.74</v>
      </c>
      <c r="BS5" s="29">
        <f t="shared" si="1"/>
        <v>0</v>
      </c>
      <c r="BT5" s="30">
        <f t="shared" si="1"/>
        <v>0</v>
      </c>
    </row>
    <row r="6" spans="1:72" s="37" customFormat="1" ht="13.2">
      <c r="A6" s="26" t="s">
        <v>169</v>
      </c>
      <c r="B6" s="31"/>
      <c r="C6" s="31"/>
      <c r="D6" s="32"/>
      <c r="E6" s="27">
        <f>H6+AC6+AT6</f>
        <v>12664.49</v>
      </c>
      <c r="F6" s="27" t="s">
        <v>1</v>
      </c>
      <c r="G6" s="27" t="s">
        <v>2</v>
      </c>
      <c r="H6" s="33">
        <f>SUMIF(I$12:AB$12,"总值",I6:AB6)</f>
        <v>9987.56</v>
      </c>
      <c r="I6" s="27">
        <f t="shared" ref="I6:AB6" si="2">ROUND($A$3*I5/$B$3,2)</f>
        <v>9728.4699999999993</v>
      </c>
      <c r="J6" s="27">
        <f t="shared" si="2"/>
        <v>0</v>
      </c>
      <c r="K6" s="27">
        <f t="shared" si="2"/>
        <v>27.5</v>
      </c>
      <c r="L6" s="27">
        <f t="shared" si="2"/>
        <v>0</v>
      </c>
      <c r="M6" s="27">
        <f t="shared" si="2"/>
        <v>231.59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2676.9300000000003</v>
      </c>
      <c r="AD6" s="27">
        <f t="shared" ref="AD6:AS6" si="3">ROUND($A$3*AD5/$B$3,2)</f>
        <v>136.13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2540.8000000000002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12664.48</v>
      </c>
      <c r="AZ6" s="27" t="s">
        <v>3</v>
      </c>
      <c r="BA6" s="27">
        <f>ROUND($AY$6*BA5/$AZ$5,2)</f>
        <v>9987.5499999999993</v>
      </c>
      <c r="BB6" s="27">
        <f>ROUND($AY$6*BB5/$AZ$5,2)</f>
        <v>9728.4699999999993</v>
      </c>
      <c r="BC6" s="27">
        <f t="shared" ref="BC6:BH6" si="4">ROUND($AY$6*BC5/$AZ$5,2)</f>
        <v>27.5</v>
      </c>
      <c r="BD6" s="27">
        <f t="shared" si="4"/>
        <v>231.59</v>
      </c>
      <c r="BE6" s="27">
        <f t="shared" si="4"/>
        <v>0</v>
      </c>
      <c r="BF6" s="27">
        <f t="shared" si="4"/>
        <v>0</v>
      </c>
      <c r="BG6" s="27">
        <f t="shared" si="4"/>
        <v>0</v>
      </c>
      <c r="BH6" s="27">
        <f t="shared" si="4"/>
        <v>0</v>
      </c>
      <c r="BI6" s="27">
        <f t="shared" ref="BI6:BT6" si="5">ROUND($AY$6*BI5/$AZ$5,2)</f>
        <v>0</v>
      </c>
      <c r="BJ6" s="27">
        <f t="shared" si="5"/>
        <v>0</v>
      </c>
      <c r="BK6" s="27">
        <f t="shared" si="5"/>
        <v>0</v>
      </c>
      <c r="BL6" s="27">
        <f t="shared" si="5"/>
        <v>2676.93</v>
      </c>
      <c r="BM6" s="27">
        <f t="shared" si="5"/>
        <v>136.13</v>
      </c>
      <c r="BN6" s="27">
        <f t="shared" si="5"/>
        <v>0</v>
      </c>
      <c r="BO6" s="27">
        <f t="shared" si="5"/>
        <v>0</v>
      </c>
      <c r="BP6" s="27">
        <f t="shared" si="5"/>
        <v>0</v>
      </c>
      <c r="BQ6" s="27">
        <f t="shared" si="5"/>
        <v>0</v>
      </c>
      <c r="BR6" s="27">
        <f t="shared" si="5"/>
        <v>2540.8000000000002</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3011</v>
      </c>
      <c r="J9" s="51"/>
      <c r="K9" s="2969" t="s">
        <v>3011</v>
      </c>
      <c r="L9" s="51"/>
      <c r="M9" s="2969"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923</v>
      </c>
      <c r="J10" s="51"/>
      <c r="K10" s="2971" t="s">
        <v>2996</v>
      </c>
      <c r="L10" s="51"/>
      <c r="M10" s="2971" t="s">
        <v>2996</v>
      </c>
      <c r="N10" s="51"/>
      <c r="O10" s="66"/>
      <c r="P10" s="51"/>
      <c r="Q10" s="66"/>
      <c r="R10" s="51"/>
      <c r="S10" s="66"/>
      <c r="T10" s="51"/>
      <c r="U10" s="66"/>
      <c r="V10" s="51"/>
      <c r="W10" s="66"/>
      <c r="X10" s="51"/>
      <c r="Y10" s="66"/>
      <c r="Z10" s="51"/>
      <c r="AA10" s="66"/>
      <c r="AB10" s="51"/>
      <c r="AC10" s="55"/>
      <c r="AD10" s="2297" t="s">
        <v>2313</v>
      </c>
      <c r="AE10" s="2319"/>
      <c r="AF10" s="2297" t="s">
        <v>2313</v>
      </c>
      <c r="AG10" s="2319"/>
      <c r="AH10" s="2297" t="s">
        <v>2314</v>
      </c>
      <c r="AI10" s="2319"/>
      <c r="AJ10" s="26" t="s">
        <v>2327</v>
      </c>
      <c r="AK10" s="2316"/>
      <c r="AL10" s="2297" t="s">
        <v>2315</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t="s">
        <v>3015</v>
      </c>
      <c r="J11" s="71"/>
      <c r="K11" s="2970" t="s">
        <v>3014</v>
      </c>
      <c r="L11" s="71"/>
      <c r="M11" s="70"/>
      <c r="N11" s="71"/>
      <c r="O11" s="70"/>
      <c r="P11" s="71"/>
      <c r="Q11" s="70"/>
      <c r="R11" s="71"/>
      <c r="S11" s="70"/>
      <c r="T11" s="71"/>
      <c r="U11" s="70"/>
      <c r="V11" s="71"/>
      <c r="W11" s="70"/>
      <c r="X11" s="71"/>
      <c r="Y11" s="70"/>
      <c r="Z11" s="71"/>
      <c r="AA11" s="70"/>
      <c r="AB11" s="71"/>
      <c r="AC11" s="55"/>
      <c r="AD11" s="2317" t="s">
        <v>2326</v>
      </c>
      <c r="AE11" s="1001"/>
      <c r="AF11" s="2317" t="s">
        <v>2326</v>
      </c>
      <c r="AG11" s="1001"/>
      <c r="AH11" s="2317" t="s">
        <v>2325</v>
      </c>
      <c r="AI11" s="2318"/>
      <c r="AJ11" s="2317" t="s">
        <v>2325</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3480" t="s">
        <v>3012</v>
      </c>
      <c r="D13" s="2965" t="s">
        <v>1678</v>
      </c>
      <c r="E13" s="27">
        <f t="shared" ref="E13:E20" si="6">IF($C$3="是",ROUND($A$3*G13/$B$3,2),ROUND($A$3*(G13-AT13)/$B$3,2))</f>
        <v>12405.4</v>
      </c>
      <c r="F13" s="81"/>
      <c r="G13" s="82">
        <f t="shared" ref="G13:G20" si="7">H13+AC13+AT13</f>
        <v>119585.22</v>
      </c>
      <c r="H13" s="33">
        <f t="shared" ref="H13:H20" si="8">SUMIF(I$12:AB$12,"总值",I13:AB13)</f>
        <v>93780.23</v>
      </c>
      <c r="I13" s="2968">
        <v>93780.23</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25804.99</v>
      </c>
      <c r="AD13" s="2972">
        <v>1312.25</v>
      </c>
      <c r="AE13" s="2972"/>
      <c r="AF13" s="2972"/>
      <c r="AG13" s="2972"/>
      <c r="AH13" s="2972"/>
      <c r="AI13" s="2972"/>
      <c r="AJ13" s="2972"/>
      <c r="AK13" s="2972"/>
      <c r="AL13" s="2972"/>
      <c r="AM13" s="2972"/>
      <c r="AN13" s="2972">
        <f>20445.97+4046.77</f>
        <v>24492.74</v>
      </c>
      <c r="AO13" s="2972"/>
      <c r="AP13" s="2972"/>
      <c r="AQ13" s="2972"/>
      <c r="AR13" s="2972"/>
      <c r="AS13" s="2972"/>
      <c r="AT13" s="2973"/>
      <c r="AU13" s="2974"/>
      <c r="AV13" s="17">
        <f t="shared" ref="AV13:AX20" si="10">A13</f>
        <v>0</v>
      </c>
      <c r="AW13" s="17">
        <f t="shared" si="10"/>
        <v>0</v>
      </c>
      <c r="AX13" s="17" t="str">
        <f t="shared" si="10"/>
        <v>住宅</v>
      </c>
      <c r="AY13" s="995">
        <f t="shared" ref="AY13:AY20" si="11">ROUND($AY$6*AZ13/$AZ$5,2)</f>
        <v>12405.4</v>
      </c>
      <c r="AZ13" s="27">
        <f t="shared" ref="AZ13:AZ20" si="12">BA13+BL13</f>
        <v>119585.22</v>
      </c>
      <c r="BA13" s="27">
        <f t="shared" ref="BA13:BA20" si="13">SUM(BB13:BK13)</f>
        <v>93780.23</v>
      </c>
      <c r="BB13" s="27">
        <f t="shared" ref="BB13:BB20" si="14">IF($D13="是",I13-J13,0)</f>
        <v>93780.23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25804.99</v>
      </c>
      <c r="BM13" s="27">
        <f t="shared" ref="BM13:BM20" si="25">IF($D13="是",AD13-AE13,0)</f>
        <v>1312.25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24492.74</v>
      </c>
      <c r="BS13" s="27">
        <f t="shared" ref="BS13:BS20" si="31">IF($D13="是",AP13-AQ13,0)</f>
        <v>0</v>
      </c>
      <c r="BT13" s="36">
        <f t="shared" ref="BT13:BT20" si="32">IF($D13="是",AR13-AS13,0)</f>
        <v>0</v>
      </c>
    </row>
    <row r="14" spans="1:72" s="18" customFormat="1" ht="13.2">
      <c r="A14" s="2964"/>
      <c r="B14" s="2964"/>
      <c r="C14" s="3481" t="s">
        <v>3013</v>
      </c>
      <c r="D14" s="2965" t="s">
        <v>1678</v>
      </c>
      <c r="E14" s="27">
        <f t="shared" si="6"/>
        <v>259.08</v>
      </c>
      <c r="F14" s="81"/>
      <c r="G14" s="82">
        <f t="shared" si="7"/>
        <v>2497.5</v>
      </c>
      <c r="H14" s="33">
        <f t="shared" si="8"/>
        <v>2497.5</v>
      </c>
      <c r="I14" s="2968"/>
      <c r="J14" s="2968"/>
      <c r="K14" s="2968">
        <v>265.05</v>
      </c>
      <c r="L14" s="2968"/>
      <c r="M14" s="2968">
        <v>2232.4499999999998</v>
      </c>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商业</v>
      </c>
      <c r="AY14" s="995">
        <f t="shared" si="11"/>
        <v>259.08</v>
      </c>
      <c r="AZ14" s="27">
        <f t="shared" si="12"/>
        <v>2497.5</v>
      </c>
      <c r="BA14" s="27">
        <f t="shared" si="13"/>
        <v>2497.5</v>
      </c>
      <c r="BB14" s="27">
        <f t="shared" si="14"/>
        <v>0</v>
      </c>
      <c r="BC14" s="27">
        <f t="shared" si="15"/>
        <v>265.05</v>
      </c>
      <c r="BD14" s="27">
        <f t="shared" si="16"/>
        <v>2232.4499999999998</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49" t="s">
        <v>0</v>
      </c>
      <c r="B1" s="3249" t="s">
        <v>4</v>
      </c>
      <c r="C1" s="3249" t="s">
        <v>5</v>
      </c>
      <c r="D1" s="3250" t="s">
        <v>40</v>
      </c>
      <c r="E1" s="3250" t="s">
        <v>41</v>
      </c>
      <c r="F1" s="3250"/>
      <c r="G1" s="3250"/>
      <c r="H1" s="3250"/>
      <c r="I1" s="3250"/>
      <c r="J1" s="3250"/>
      <c r="K1" s="3250"/>
      <c r="L1" s="3250"/>
      <c r="M1" s="3250"/>
    </row>
    <row r="2" spans="1:13" ht="27" customHeight="1">
      <c r="A2" s="3249"/>
      <c r="B2" s="3249"/>
      <c r="C2" s="3249"/>
      <c r="D2" s="3250"/>
      <c r="E2" s="3250" t="s">
        <v>24</v>
      </c>
      <c r="F2" s="3250" t="s">
        <v>25</v>
      </c>
      <c r="G2" s="3250"/>
      <c r="H2" s="3250"/>
      <c r="I2" s="3250"/>
      <c r="J2" s="3250" t="s">
        <v>26</v>
      </c>
      <c r="K2" s="3250"/>
      <c r="L2" s="3250"/>
      <c r="M2" s="3250"/>
    </row>
    <row r="3" spans="1:13" ht="46.8">
      <c r="A3" s="3249"/>
      <c r="B3" s="3249"/>
      <c r="C3" s="3249"/>
      <c r="D3" s="3250"/>
      <c r="E3" s="325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0" t="s">
        <v>42</v>
      </c>
      <c r="B9" s="3250"/>
      <c r="C9" s="32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21" sqref="G21"/>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60" t="s">
        <v>203</v>
      </c>
      <c r="B2" s="3260"/>
      <c r="C2" s="3260"/>
      <c r="D2" s="1958" t="s">
        <v>204</v>
      </c>
      <c r="E2" s="106" t="s">
        <v>205</v>
      </c>
      <c r="F2" s="1967"/>
      <c r="G2" s="1193"/>
      <c r="H2" s="1194"/>
      <c r="I2" s="1195" t="s">
        <v>857</v>
      </c>
      <c r="J2" s="1967"/>
      <c r="K2" s="1967"/>
      <c r="L2" s="1967"/>
    </row>
    <row r="3" spans="1:16" ht="15" thickBot="1">
      <c r="A3" s="3261" t="s">
        <v>206</v>
      </c>
      <c r="B3" s="3261"/>
      <c r="C3" s="3261"/>
      <c r="D3" s="107">
        <f>'数据-基础表'!AY6</f>
        <v>12664.48</v>
      </c>
      <c r="E3" s="107">
        <f>'数据-基础表'!AZ5</f>
        <v>122082.72</v>
      </c>
      <c r="F3" s="1967"/>
      <c r="G3" s="280" t="s">
        <v>858</v>
      </c>
      <c r="H3" s="275" t="s">
        <v>859</v>
      </c>
      <c r="I3" s="1959">
        <f>ROUND('数据-基础表'!B3/'数据-基础表'!A3,2)</f>
        <v>9.64</v>
      </c>
      <c r="J3" s="1967"/>
      <c r="K3" s="1967"/>
      <c r="L3" s="1967"/>
    </row>
    <row r="4" spans="1:16" ht="14.4">
      <c r="A4" s="3262"/>
      <c r="B4" s="3263"/>
      <c r="C4" s="3264"/>
      <c r="D4" s="108" t="s">
        <v>204</v>
      </c>
      <c r="E4" s="109" t="s">
        <v>205</v>
      </c>
      <c r="F4" s="1967"/>
      <c r="G4" s="1196"/>
      <c r="H4" s="275" t="s">
        <v>860</v>
      </c>
      <c r="I4" s="1959">
        <f>ROUND(SUMIF('数据-基础表'!I9:AS9,"地上",'数据-基础表'!I5:AS5)/'数据-基础表'!A3,2)</f>
        <v>7.53</v>
      </c>
      <c r="J4" s="1967"/>
      <c r="K4" s="1967"/>
      <c r="L4" s="1967"/>
    </row>
    <row r="5" spans="1:16" ht="14.4">
      <c r="A5" s="110" t="s">
        <v>207</v>
      </c>
      <c r="B5" s="3265" t="s">
        <v>230</v>
      </c>
      <c r="C5" s="3265"/>
      <c r="D5" s="111">
        <f>ROUND($D$3*E5/$E$3,2)</f>
        <v>9728.4699999999993</v>
      </c>
      <c r="E5" s="112">
        <f>SUMIF('数据-基础表'!$11:$11,"住宅",'数据-基础表'!$5:$5)</f>
        <v>93780.23</v>
      </c>
      <c r="F5" s="1967"/>
      <c r="G5" s="280" t="s">
        <v>861</v>
      </c>
      <c r="H5" s="275" t="s">
        <v>859</v>
      </c>
      <c r="I5" s="1959">
        <f>ROUND(E31/D31,2)</f>
        <v>9.64</v>
      </c>
      <c r="J5" s="1967"/>
      <c r="K5" s="1967"/>
      <c r="L5" s="1967"/>
    </row>
    <row r="6" spans="1:16" ht="15" thickBot="1">
      <c r="A6" s="113"/>
      <c r="B6" s="3265" t="s">
        <v>208</v>
      </c>
      <c r="C6" s="3265"/>
      <c r="D6" s="111">
        <f>ROUND($D$3*E6/$E$3,2)</f>
        <v>2936.01</v>
      </c>
      <c r="E6" s="112">
        <f>E3-E5</f>
        <v>28302.490000000005</v>
      </c>
      <c r="F6" s="1967"/>
      <c r="G6" s="1196"/>
      <c r="H6" s="275" t="s">
        <v>860</v>
      </c>
      <c r="I6" s="1959">
        <f>ROUND(F31/D31,2)</f>
        <v>7.53</v>
      </c>
      <c r="J6" s="1967"/>
      <c r="K6" s="1967"/>
      <c r="L6" s="1967"/>
    </row>
    <row r="7" spans="1:16" ht="14.4">
      <c r="A7" s="3257"/>
      <c r="B7" s="3258"/>
      <c r="C7" s="3259"/>
      <c r="D7" s="108" t="s">
        <v>204</v>
      </c>
      <c r="E7" s="114" t="s">
        <v>231</v>
      </c>
      <c r="F7" s="1967"/>
      <c r="G7" s="1151" t="s">
        <v>1645</v>
      </c>
      <c r="H7" s="1152"/>
      <c r="I7" s="1829">
        <v>4</v>
      </c>
      <c r="J7" s="1967"/>
      <c r="K7" s="1967"/>
      <c r="L7" s="1967"/>
    </row>
    <row r="8" spans="1:16" ht="14.4">
      <c r="A8" s="110" t="s">
        <v>209</v>
      </c>
      <c r="B8" s="115" t="s">
        <v>210</v>
      </c>
      <c r="C8" s="111" t="s">
        <v>211</v>
      </c>
      <c r="D8" s="111">
        <f t="shared" ref="D8:D15" si="0">ROUND($D$3*E8/$E$3,2)</f>
        <v>9755.9599999999991</v>
      </c>
      <c r="E8" s="116">
        <f>SUMIF('数据-基础表'!BB10:BK10,"地上",'数据-基础表'!BB5:BK5)</f>
        <v>94045.28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231.59</v>
      </c>
      <c r="E10" s="116">
        <f>SUMPRODUCT(('数据-基础表'!BB10:BK10="地下")*('数据-基础表'!BB11:BK11="商业")*('数据-基础表'!BB5:BK5))</f>
        <v>2232.4499999999998</v>
      </c>
      <c r="F10" s="1967"/>
      <c r="G10" s="1969"/>
      <c r="H10" s="1969"/>
      <c r="I10" s="1967"/>
      <c r="J10" s="1967"/>
      <c r="K10" s="1967"/>
      <c r="L10" s="1967"/>
    </row>
    <row r="11" spans="1:16" ht="14.4">
      <c r="A11" s="117"/>
      <c r="B11" s="118"/>
      <c r="C11" s="2314" t="s">
        <v>2323</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2330</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9987.5499999999993</v>
      </c>
      <c r="E16" s="120">
        <f>SUM(E8:E15)</f>
        <v>96277.73</v>
      </c>
      <c r="F16" s="1967"/>
      <c r="G16" s="1969"/>
      <c r="H16" s="967" t="s">
        <v>219</v>
      </c>
      <c r="I16" s="968"/>
      <c r="J16" s="1967"/>
      <c r="K16" s="3251" t="s">
        <v>2562</v>
      </c>
      <c r="L16" s="3252"/>
      <c r="M16" s="3252"/>
      <c r="N16" s="3252"/>
      <c r="O16" s="3252"/>
      <c r="P16" s="3253"/>
    </row>
    <row r="17" spans="1:19" ht="14.4">
      <c r="A17" s="121" t="s">
        <v>216</v>
      </c>
      <c r="B17" s="122" t="s">
        <v>217</v>
      </c>
      <c r="C17" s="2281" t="s">
        <v>2309</v>
      </c>
      <c r="D17" s="108" t="s">
        <v>204</v>
      </c>
      <c r="E17" s="124" t="s">
        <v>205</v>
      </c>
      <c r="F17" s="125"/>
      <c r="G17" s="1361"/>
      <c r="H17" s="969" t="s">
        <v>218</v>
      </c>
      <c r="I17" s="970" t="s">
        <v>2308</v>
      </c>
      <c r="J17" s="1967"/>
      <c r="K17" s="3254" t="s">
        <v>2563</v>
      </c>
      <c r="L17" s="3255"/>
      <c r="M17" s="3256"/>
      <c r="N17" s="3254" t="s">
        <v>2564</v>
      </c>
      <c r="O17" s="3255"/>
      <c r="P17" s="3256"/>
      <c r="R17" s="2282" t="s">
        <v>2307</v>
      </c>
      <c r="S17" s="144"/>
    </row>
    <row r="18" spans="1:19" ht="14.4">
      <c r="A18" s="117"/>
      <c r="B18" s="128"/>
      <c r="C18" s="129"/>
      <c r="D18" s="2604"/>
      <c r="E18" s="130" t="s">
        <v>220</v>
      </c>
      <c r="F18" s="131" t="s">
        <v>221</v>
      </c>
      <c r="G18" s="1362" t="s">
        <v>222</v>
      </c>
      <c r="H18" s="971" t="s">
        <v>223</v>
      </c>
      <c r="I18" s="972" t="s">
        <v>224</v>
      </c>
      <c r="J18" s="1967"/>
      <c r="K18" s="2567" t="s">
        <v>2565</v>
      </c>
      <c r="L18" s="2568" t="s">
        <v>2566</v>
      </c>
      <c r="M18" s="2569" t="s">
        <v>2567</v>
      </c>
      <c r="N18" s="2567" t="s">
        <v>2565</v>
      </c>
      <c r="O18" s="2568" t="s">
        <v>2566</v>
      </c>
      <c r="P18" s="2569" t="s">
        <v>2567</v>
      </c>
      <c r="R18" s="2283" t="s">
        <v>2305</v>
      </c>
      <c r="S18" s="2283" t="s">
        <v>2306</v>
      </c>
    </row>
    <row r="19" spans="1:19" ht="15">
      <c r="A19" s="133"/>
      <c r="B19" s="115" t="s">
        <v>225</v>
      </c>
      <c r="C19" s="3482" t="s">
        <v>3016</v>
      </c>
      <c r="D19" s="111">
        <f t="shared" ref="D19:D26" si="1">ROUND($D$3*E19/$E$3,2)</f>
        <v>9728.4699999999993</v>
      </c>
      <c r="E19" s="134">
        <f t="shared" ref="E19:E26" si="2">SUM(F19:G19)</f>
        <v>93780.23</v>
      </c>
      <c r="F19" s="135">
        <f>'数据-基础表'!I5</f>
        <v>93780.23</v>
      </c>
      <c r="G19" s="1363"/>
      <c r="H19" s="973">
        <f>ROUND($D$3*I19/$E$3,2)</f>
        <v>2611.02</v>
      </c>
      <c r="I19" s="116">
        <f>IF($I$17="自定义",P19,M19)</f>
        <v>25169.63</v>
      </c>
      <c r="J19" s="1967"/>
      <c r="K19" s="2570">
        <f t="shared" ref="K19:K26" si="3">ROUND(E$28*E19/E$27,2)</f>
        <v>23857.38</v>
      </c>
      <c r="L19" s="275">
        <f t="shared" ref="L19:L26" si="4">ROUND(IF(COUNTIF(C19,"*住宅*")&gt;0,E$29*E19/E$32,0),2)</f>
        <v>1312.25</v>
      </c>
      <c r="M19" s="2571">
        <f>K19+L19</f>
        <v>25169.63</v>
      </c>
      <c r="N19" s="2572"/>
      <c r="O19" s="2573"/>
      <c r="P19" s="2574">
        <f>N19+O19</f>
        <v>0</v>
      </c>
      <c r="R19" s="275">
        <f t="shared" ref="R19:S26" si="5">D19+H19</f>
        <v>12339.49</v>
      </c>
      <c r="S19" s="2284">
        <f t="shared" si="5"/>
        <v>118949.86</v>
      </c>
    </row>
    <row r="20" spans="1:19" ht="14.4">
      <c r="A20" s="138"/>
      <c r="B20" s="115" t="s">
        <v>226</v>
      </c>
      <c r="C20" s="3483" t="s">
        <v>3017</v>
      </c>
      <c r="D20" s="111">
        <f t="shared" si="1"/>
        <v>259.08</v>
      </c>
      <c r="E20" s="134">
        <f t="shared" si="2"/>
        <v>2497.5</v>
      </c>
      <c r="F20" s="135">
        <f>'数据-基础表'!K14</f>
        <v>265.05</v>
      </c>
      <c r="G20" s="1363">
        <f>'数据-基础表'!M14</f>
        <v>2232.4499999999998</v>
      </c>
      <c r="H20" s="973">
        <f t="shared" ref="H20:H26" si="6">ROUND($D$3*I20/$E$3,2)</f>
        <v>65.91</v>
      </c>
      <c r="I20" s="116">
        <f t="shared" ref="I20:I26" si="7">IF($I$17="自定义",P20,M20)</f>
        <v>635.36</v>
      </c>
      <c r="J20" s="1967"/>
      <c r="K20" s="2570">
        <f t="shared" si="3"/>
        <v>635.36</v>
      </c>
      <c r="L20" s="275">
        <f t="shared" si="4"/>
        <v>0</v>
      </c>
      <c r="M20" s="2571">
        <f t="shared" ref="M20:M26" si="8">K20+L20</f>
        <v>635.36</v>
      </c>
      <c r="N20" s="2572"/>
      <c r="O20" s="2573"/>
      <c r="P20" s="2574">
        <f t="shared" ref="P20:P26" si="9">N20+O20</f>
        <v>0</v>
      </c>
      <c r="R20" s="275">
        <f t="shared" si="5"/>
        <v>324.99</v>
      </c>
      <c r="S20" s="2284">
        <f t="shared" si="5"/>
        <v>3132.86</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9987.5499999999993</v>
      </c>
      <c r="E27" s="143">
        <f>IF(SUM(E19:E26)='数据-基础表'!BA5,SUM(E19:E26),IF(F27="地上面积有误","面积有误","地下面积有误"))</f>
        <v>96277.73</v>
      </c>
      <c r="F27" s="134">
        <f>IF(SUM(F19:F26)=E8,SUM(F19:F26),"地上面积有误")</f>
        <v>94045.28</v>
      </c>
      <c r="G27" s="112">
        <f>SUM(G19:G26)</f>
        <v>2232.4499999999998</v>
      </c>
      <c r="H27" s="974">
        <f>SUM(H19:H26)</f>
        <v>2676.93</v>
      </c>
      <c r="I27" s="975">
        <f>SUM(I19:I26)</f>
        <v>25804.99</v>
      </c>
      <c r="J27" s="1967"/>
      <c r="K27" s="2579">
        <f>SUM(K19:K26)</f>
        <v>24492.74</v>
      </c>
      <c r="L27" s="2580">
        <f>SUM(L19:L26)</f>
        <v>1312.25</v>
      </c>
      <c r="M27" s="2581">
        <f>SUM(M19:M26)</f>
        <v>25804.99</v>
      </c>
      <c r="N27" s="2579">
        <f t="shared" ref="N27:O27" si="10">SUM(N19:N26)</f>
        <v>0</v>
      </c>
      <c r="O27" s="2580">
        <f t="shared" si="10"/>
        <v>0</v>
      </c>
      <c r="P27" s="2582">
        <f>SUM(P19:P26)</f>
        <v>0</v>
      </c>
      <c r="R27" s="2288">
        <f>IF(SUM(R19:R26)=$D$3,SUM(R19:R26),SUM(R19:R26)&amp;"误差"&amp;ROUND(SUM(R19:R26)-$D$3,2))</f>
        <v>12664.48</v>
      </c>
      <c r="S27" s="275">
        <f>IF(SUM(S19:S26)=$E$3,SUM(S19:S26),SUM(S19:S26)&amp;"误差"&amp;ROUND(SUM(S19:S26)-E3,2))</f>
        <v>122082.72</v>
      </c>
    </row>
    <row r="28" spans="1:19" ht="14.4">
      <c r="A28" s="138"/>
      <c r="B28" s="115" t="s">
        <v>227</v>
      </c>
      <c r="C28" s="136" t="s">
        <v>228</v>
      </c>
      <c r="D28" s="111">
        <f>ROUND($D$3*E28/$E$3,2)</f>
        <v>2540.8000000000002</v>
      </c>
      <c r="E28" s="134">
        <f>SUM(F28:G28)</f>
        <v>24492.74</v>
      </c>
      <c r="F28" s="144">
        <f>'数据-基础表'!BQ5+'数据-基础表'!BS5</f>
        <v>0</v>
      </c>
      <c r="G28" s="145">
        <f>'数据-基础表'!BR5+'数据-基础表'!BT5</f>
        <v>24492.74</v>
      </c>
      <c r="H28" s="1967"/>
      <c r="I28" s="1967"/>
      <c r="J28" s="1967"/>
      <c r="K28" s="1967"/>
      <c r="L28" s="1967"/>
    </row>
    <row r="29" spans="1:19" ht="14.4">
      <c r="A29" s="138"/>
      <c r="B29" s="115" t="s">
        <v>227</v>
      </c>
      <c r="C29" s="2296" t="s">
        <v>2316</v>
      </c>
      <c r="D29" s="111">
        <f>ROUND($D$3*E29/$E$3,2)</f>
        <v>136.13</v>
      </c>
      <c r="E29" s="134">
        <f>SUM(F29:G29)</f>
        <v>1312.25</v>
      </c>
      <c r="F29" s="144">
        <f>'数据-基础表'!BM5+'数据-基础表'!BO5</f>
        <v>1312.25</v>
      </c>
      <c r="G29" s="146">
        <f>'数据-基础表'!BN5+'数据-基础表'!BP5</f>
        <v>0</v>
      </c>
      <c r="H29" s="1967"/>
      <c r="I29" s="1967"/>
      <c r="J29" s="1967"/>
      <c r="K29" s="1967"/>
      <c r="L29" s="1967"/>
    </row>
    <row r="30" spans="1:19" ht="14.4">
      <c r="A30" s="138"/>
      <c r="B30" s="111"/>
      <c r="C30" s="147" t="s">
        <v>215</v>
      </c>
      <c r="D30" s="134">
        <f>SUM(D28:D29)</f>
        <v>2676.9300000000003</v>
      </c>
      <c r="E30" s="134">
        <f>SUM(E28:E29)</f>
        <v>25804.99</v>
      </c>
      <c r="F30" s="134">
        <f>SUM(F28:F29)</f>
        <v>1312.25</v>
      </c>
      <c r="G30" s="112">
        <f>SUM(G28:G29)</f>
        <v>24492.74</v>
      </c>
      <c r="H30" s="1967"/>
      <c r="I30" s="1967"/>
      <c r="J30" s="1967"/>
      <c r="K30" s="1967"/>
      <c r="L30" s="1967"/>
    </row>
    <row r="31" spans="1:19" ht="32.25" customHeight="1" thickBot="1">
      <c r="A31" s="1365"/>
      <c r="B31" s="1366" t="s">
        <v>229</v>
      </c>
      <c r="C31" s="2313" t="s">
        <v>2318</v>
      </c>
      <c r="D31" s="1367">
        <f>D27+D30</f>
        <v>12664.48</v>
      </c>
      <c r="E31" s="1367">
        <f>E27+E30</f>
        <v>122082.72</v>
      </c>
      <c r="F31" s="1368">
        <f>F27+F30</f>
        <v>95357.53</v>
      </c>
      <c r="G31" s="1369">
        <f>G27+G30</f>
        <v>26725.190000000002</v>
      </c>
      <c r="H31" s="1967"/>
      <c r="I31" s="1967"/>
      <c r="J31" s="1967"/>
      <c r="K31" s="1967"/>
      <c r="L31" s="1967"/>
    </row>
    <row r="32" spans="1:19" ht="14.4">
      <c r="A32" s="1967"/>
      <c r="B32" s="2325" t="s">
        <v>2317</v>
      </c>
      <c r="C32" s="2609"/>
      <c r="D32" s="1196"/>
      <c r="E32" s="1196">
        <f>SUMIF(C19:C26,"*住宅*",E19:E26)</f>
        <v>93780.23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8" width="8" style="1198" customWidth="1"/>
    <col min="39" max="39" width="9"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43895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2320</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2319</v>
      </c>
      <c r="AI5" s="171" t="s">
        <v>2288</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住宅</v>
      </c>
      <c r="B6" s="2320" t="str">
        <f>IF(A6=0,"","经营性")</f>
        <v>经营性</v>
      </c>
      <c r="C6" s="173" t="s">
        <v>923</v>
      </c>
      <c r="D6" s="2291">
        <f>SUMIF(项目基本情况!D$15:I$15,C6,项目基本情况!D$18:I$18)</f>
        <v>70</v>
      </c>
      <c r="E6" s="2292">
        <f>IF(B6="","",SUMIF(项目基本情况!D$15:I$15,C6,项目基本情况!D$17:I$17))</f>
        <v>69144</v>
      </c>
      <c r="F6" s="174">
        <f>SUMIF(项目基本情况!D$15:I$15,C6,项目基本情况!D$19:I$19)</f>
        <v>69.17</v>
      </c>
      <c r="G6" s="175">
        <f>IF(ISERROR(ROUND(POWER(1+H6,D6-F6)*(POWER(1+H6,F6)-1)/(POWER(1+H6,D6)-1),3)),0,ROUND(POWER(1+H6,D6-F6)*(POWER(1+H6,F6)-1)/(POWER(1+H6,D6)-1),3))</f>
        <v>0.998</v>
      </c>
      <c r="H6" s="2976">
        <v>4.4999999999999998E-2</v>
      </c>
      <c r="I6" s="2976">
        <v>0.05</v>
      </c>
      <c r="J6" s="176">
        <v>8.5000000000000006E-2</v>
      </c>
      <c r="K6" s="179">
        <f>SUMIF('数据-汇总表'!C$19:C$33,'数据-取费表'!A6,'数据-汇总表'!E$19:E$33)</f>
        <v>93780.23</v>
      </c>
      <c r="L6" s="2977">
        <v>3000</v>
      </c>
      <c r="M6" s="177">
        <f t="shared" ref="M6:M14" si="0">ROUND(K6*L6/10000,0)</f>
        <v>28134</v>
      </c>
      <c r="N6" s="2978"/>
      <c r="O6" s="177">
        <f>IF($N$5="成新度","——",ROUND(M6*N6,0))</f>
        <v>0</v>
      </c>
      <c r="P6" s="178">
        <f>IF($N$5="成新度","——",M6-O6)</f>
        <v>28134</v>
      </c>
      <c r="Q6" s="2979">
        <v>0.1</v>
      </c>
      <c r="R6" s="179">
        <f>SUMIF('数据-汇总表'!C$19:C$33,A6,'数据-汇总表'!R$19:R$33)</f>
        <v>12339.49</v>
      </c>
      <c r="S6" s="132">
        <f>IF('数据-汇总表'!$I$17="按面积比例",SUMIF('数据-汇总表'!C$19:C$33,A6,'数据-汇总表'!K$19:K$33),SUMIF('数据-汇总表'!C$19:C$33,A6,'数据-汇总表'!N$19:N$33))</f>
        <v>23857.38</v>
      </c>
      <c r="T6" s="2217">
        <f>IF($T$4="按面积比例",IF(ISERROR(ROUND($M$14*S6/S$16,0)),"0",ROUND($M$14*S6/S$16,0)),"需自行计算录入")</f>
        <v>7157</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90"/>
      <c r="AN6" s="2354" t="s">
        <v>3020</v>
      </c>
      <c r="AO6" s="1983"/>
      <c r="AP6" s="1199">
        <f>ROUND(1-1/(1+H6)^F6,3)</f>
        <v>0.95199999999999996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商业</v>
      </c>
      <c r="B7" s="2320" t="str">
        <f t="shared" ref="B7:B13" si="1">IF(A7=0,"","经营性")</f>
        <v>经营性</v>
      </c>
      <c r="C7" s="173" t="s">
        <v>2996</v>
      </c>
      <c r="D7" s="2291">
        <f>SUMIF(项目基本情况!D$15:I$15,C7,项目基本情况!D$18:I$18)</f>
        <v>40</v>
      </c>
      <c r="E7" s="2292">
        <f>IF(B7="","",SUMIF(项目基本情况!D$15:I$15,C7,项目基本情况!D$17:I$17))</f>
        <v>58186</v>
      </c>
      <c r="F7" s="174">
        <f>SUMIF(项目基本情况!D$15:I$15,C7,项目基本情况!D$19:I$19)</f>
        <v>39.15</v>
      </c>
      <c r="G7" s="175">
        <f t="shared" ref="G7:G11" si="2">IF(ISERROR(ROUND(POWER(1+H7,D7-F7)*(POWER(1+H7,F7)-1)/(POWER(1+H7,D7)-1),3)),0,ROUND(POWER(1+H7,D7-F7)*(POWER(1+H7,F7)-1)/(POWER(1+H7,D7)-1),3))</f>
        <v>0.99299999999999999</v>
      </c>
      <c r="H7" s="2976">
        <v>0.05</v>
      </c>
      <c r="I7" s="2976">
        <v>5.5E-2</v>
      </c>
      <c r="J7" s="176">
        <v>8.5000000000000006E-2</v>
      </c>
      <c r="K7" s="179">
        <f>SUMIF('数据-汇总表'!C$19:C$33,'数据-取费表'!A7,'数据-汇总表'!E$19:E$33)</f>
        <v>2497.5</v>
      </c>
      <c r="L7" s="2977">
        <v>3000</v>
      </c>
      <c r="M7" s="177">
        <f t="shared" si="0"/>
        <v>749</v>
      </c>
      <c r="N7" s="2978"/>
      <c r="O7" s="177">
        <f t="shared" ref="O7:O14" si="3">IF($N$5="成新度","——",ROUND(M7*N7,0))</f>
        <v>0</v>
      </c>
      <c r="P7" s="178">
        <f t="shared" ref="P7:P14" si="4">IF($N$5="成新度","——",M7-O7)</f>
        <v>749</v>
      </c>
      <c r="Q7" s="2979">
        <v>0.15</v>
      </c>
      <c r="R7" s="179">
        <f>SUMIF('数据-汇总表'!C$19:C$33,A7,'数据-汇总表'!R$19:R$33)</f>
        <v>324.99</v>
      </c>
      <c r="S7" s="132">
        <f>IF('数据-汇总表'!$I$17="按面积比例",SUMIF('数据-汇总表'!C$19:C$33,A7,'数据-汇总表'!K$19:K$33),SUMIF('数据-汇总表'!C$19:C$33,A7,'数据-汇总表'!N$19:N$33))</f>
        <v>635.36</v>
      </c>
      <c r="T7" s="2217">
        <f t="shared" ref="T7:T13" si="5">IF($T$4="按面积比例",IF(ISERROR(ROUND($M$14*S7/S$16,0)),"0",ROUND($M$14*S7/S$16,0)),"需自行计算录入")</f>
        <v>191</v>
      </c>
      <c r="U7" s="180">
        <v>2.5</v>
      </c>
      <c r="V7" s="181">
        <v>2.5000000000000001E-2</v>
      </c>
      <c r="W7" s="181">
        <v>0.1</v>
      </c>
      <c r="X7" s="2304"/>
      <c r="Y7" s="182">
        <v>1</v>
      </c>
      <c r="Z7" s="183"/>
      <c r="AA7" s="176"/>
      <c r="AB7" s="176"/>
      <c r="AC7" s="2307"/>
      <c r="AD7" s="184"/>
      <c r="AE7" s="971">
        <f t="shared" ref="AE7:AE13" ca="1" si="6">IF(AN7="",0,SUMIF(INDIRECT("'"&amp;AN7&amp;"'"&amp;"!E:E"),$AE$5,INDIRECT("'"&amp;AN7&amp;"'"&amp;"!F:F")))</f>
        <v>39.15</v>
      </c>
      <c r="AF7" s="141"/>
      <c r="AG7" s="1208">
        <f t="shared" ref="AG7:AG13" si="7">IF(AF7="",0,AE7-AF7)</f>
        <v>0</v>
      </c>
      <c r="AH7" s="141"/>
      <c r="AI7" s="187">
        <v>365</v>
      </c>
      <c r="AJ7" s="188"/>
      <c r="AK7" s="189">
        <v>1.4999999999999999E-2</v>
      </c>
      <c r="AL7" s="190">
        <v>1.5E-3</v>
      </c>
      <c r="AM7" s="2352">
        <v>1.4999999999999999E-2</v>
      </c>
      <c r="AN7" s="2354" t="s">
        <v>3019</v>
      </c>
      <c r="AO7" s="1983"/>
      <c r="AP7" s="1199">
        <f t="shared" ref="AP7:AP13" si="8">ROUND(1-1/(1+H7)^F7,3)</f>
        <v>0.85199999999999998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2310</v>
      </c>
      <c r="B14" s="2289" t="s">
        <v>1679</v>
      </c>
      <c r="C14" s="2290" t="s">
        <v>2310</v>
      </c>
      <c r="D14" s="2291"/>
      <c r="E14" s="2292"/>
      <c r="F14" s="174"/>
      <c r="G14" s="175"/>
      <c r="H14" s="2293"/>
      <c r="I14" s="2293"/>
      <c r="J14" s="2293"/>
      <c r="K14" s="179">
        <f>SUMIF('数据-汇总表'!C$19:C$33,'数据-取费表'!A14,'数据-汇总表'!E$19:E$33)</f>
        <v>24492.74</v>
      </c>
      <c r="L14" s="193">
        <v>3000</v>
      </c>
      <c r="M14" s="177">
        <f t="shared" si="0"/>
        <v>7348</v>
      </c>
      <c r="N14" s="194"/>
      <c r="O14" s="177">
        <f t="shared" si="3"/>
        <v>0</v>
      </c>
      <c r="P14" s="178">
        <f t="shared" si="4"/>
        <v>7348</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2312</v>
      </c>
      <c r="B15" s="2289" t="s">
        <v>1679</v>
      </c>
      <c r="C15" s="2290" t="s">
        <v>2311</v>
      </c>
      <c r="D15" s="2291"/>
      <c r="E15" s="2292"/>
      <c r="F15" s="174"/>
      <c r="G15" s="175"/>
      <c r="H15" s="2293"/>
      <c r="I15" s="2293"/>
      <c r="J15" s="2293"/>
      <c r="K15" s="179">
        <f>SUMIF('数据-汇总表'!C$19:C$33,'数据-取费表'!A15,'数据-汇总表'!E$19:E$33)</f>
        <v>1312.25</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122082.72</v>
      </c>
      <c r="L16" s="206">
        <f>ROUND(M16*10000/SUM(K6:K14),0)</f>
        <v>3000</v>
      </c>
      <c r="M16" s="206">
        <f>SUM(M6:M14)</f>
        <v>36231</v>
      </c>
      <c r="N16" s="207">
        <f>ROUND(SUMPRODUCT(M6:M14,N6:N14)/M16,3)</f>
        <v>0</v>
      </c>
      <c r="O16" s="206">
        <f>SUM(O6:O14)</f>
        <v>0</v>
      </c>
      <c r="P16" s="206">
        <f>SUM(P6:P14)</f>
        <v>36231</v>
      </c>
      <c r="Q16" s="208">
        <f>ROUND(SUMPRODUCT(Q6:Q13,K6:K13)/SUMPRODUCT((Q6:Q13&gt;0)*(K6:K13)),2)</f>
        <v>0.1</v>
      </c>
      <c r="R16" s="2294">
        <f>SUM(R6:R13)</f>
        <v>12664.48</v>
      </c>
      <c r="S16" s="209">
        <f>SUM(S6:S13)</f>
        <v>24492.74</v>
      </c>
      <c r="T16" s="210">
        <f>IF(SUMIF(T6:T13,"&lt;9E307")=M14,SUMIF(T6:T13,"&lt;9E307"),"有误，请检查")</f>
        <v>7348</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0.94899999999999995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2334</v>
      </c>
      <c r="B27" s="227">
        <v>80</v>
      </c>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2335</v>
      </c>
      <c r="B28" s="229">
        <v>160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2333</v>
      </c>
      <c r="B29" s="232"/>
      <c r="C29" s="1538"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0.04</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1155</v>
      </c>
      <c r="C53" s="3026" t="s">
        <v>2900</v>
      </c>
      <c r="D53" s="3027"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2902</v>
      </c>
      <c r="B54" s="186">
        <v>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2903</v>
      </c>
      <c r="B55" s="186">
        <v>4</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2904</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2905</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2906</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2907</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66" t="s">
        <v>1663</v>
      </c>
      <c r="B1" s="3267"/>
      <c r="C1" s="3267"/>
      <c r="D1" s="3267"/>
      <c r="E1" s="3267"/>
      <c r="F1" s="3267"/>
      <c r="G1" s="3267"/>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57.6">
      <c r="A3" s="1222" t="s">
        <v>1666</v>
      </c>
      <c r="B3" s="1223" t="s">
        <v>1653</v>
      </c>
      <c r="C3" s="3031" t="s">
        <v>2918</v>
      </c>
      <c r="D3" s="1992"/>
      <c r="E3" s="1224" t="s">
        <v>1666</v>
      </c>
      <c r="F3" s="1225" t="s">
        <v>1654</v>
      </c>
      <c r="G3" s="3035" t="s">
        <v>2917</v>
      </c>
      <c r="H3" s="1991"/>
      <c r="I3" s="1991"/>
      <c r="J3" s="1991"/>
      <c r="K3" s="1991"/>
      <c r="L3" s="1991"/>
      <c r="M3" s="1991"/>
      <c r="N3" s="1991"/>
      <c r="O3" s="1991"/>
      <c r="P3" s="1991"/>
      <c r="Q3" s="1991"/>
      <c r="R3" s="1991"/>
    </row>
    <row r="4" spans="1:18" ht="43.2">
      <c r="A4" s="1224"/>
      <c r="B4" s="1226" t="s">
        <v>1667</v>
      </c>
      <c r="C4" s="3032" t="s">
        <v>2919</v>
      </c>
      <c r="D4" s="1992"/>
      <c r="E4" s="1227"/>
      <c r="F4" s="1228" t="s">
        <v>1668</v>
      </c>
      <c r="G4" s="3033" t="s">
        <v>2914</v>
      </c>
      <c r="H4" s="1991"/>
      <c r="I4" s="1991"/>
      <c r="J4" s="1991"/>
      <c r="K4" s="1991"/>
      <c r="L4" s="1991"/>
      <c r="M4" s="1991"/>
      <c r="N4" s="1991"/>
      <c r="O4" s="1991"/>
      <c r="P4" s="1991"/>
      <c r="Q4" s="1991"/>
      <c r="R4" s="1991"/>
    </row>
    <row r="5" spans="1:18" ht="43.2">
      <c r="A5" s="1224"/>
      <c r="B5" s="1226" t="s">
        <v>1669</v>
      </c>
      <c r="C5" s="3032" t="s">
        <v>2920</v>
      </c>
      <c r="D5" s="1992"/>
      <c r="E5" s="1227"/>
      <c r="F5" s="1226" t="s">
        <v>2542</v>
      </c>
      <c r="G5" s="3033" t="s">
        <v>2915</v>
      </c>
      <c r="H5" s="1991"/>
      <c r="I5" s="1991"/>
      <c r="J5" s="1991"/>
      <c r="K5" s="1991"/>
      <c r="L5" s="1991"/>
      <c r="M5" s="1991"/>
      <c r="N5" s="1991"/>
      <c r="O5" s="1991"/>
      <c r="P5" s="1991"/>
      <c r="Q5" s="1991"/>
      <c r="R5" s="1991"/>
    </row>
    <row r="6" spans="1:18" ht="57.6">
      <c r="A6" s="1224"/>
      <c r="B6" s="1226" t="s">
        <v>1655</v>
      </c>
      <c r="C6" s="3033" t="s">
        <v>2914</v>
      </c>
      <c r="D6" s="1992"/>
      <c r="E6" s="1227"/>
      <c r="F6" s="1226" t="s">
        <v>2543</v>
      </c>
      <c r="G6" s="3033" t="s">
        <v>2912</v>
      </c>
      <c r="H6" s="1991"/>
      <c r="I6" s="1991"/>
      <c r="J6" s="1991"/>
      <c r="K6" s="1991"/>
      <c r="L6" s="1991"/>
      <c r="M6" s="1991"/>
      <c r="N6" s="1991"/>
      <c r="O6" s="1991"/>
      <c r="P6" s="1991"/>
      <c r="Q6" s="1991"/>
      <c r="R6" s="1991"/>
    </row>
    <row r="7" spans="1:18" ht="43.8" thickBot="1">
      <c r="A7" s="1224"/>
      <c r="B7" s="1226" t="s">
        <v>2542</v>
      </c>
      <c r="C7" s="3033" t="s">
        <v>2915</v>
      </c>
      <c r="D7" s="1993"/>
      <c r="E7" s="1229"/>
      <c r="F7" s="1230" t="s">
        <v>1670</v>
      </c>
      <c r="G7" s="3036" t="s">
        <v>2916</v>
      </c>
      <c r="H7" s="1991"/>
      <c r="I7" s="1991"/>
      <c r="J7" s="1991"/>
      <c r="K7" s="1991"/>
      <c r="L7" s="1991"/>
      <c r="M7" s="1991"/>
      <c r="N7" s="1991"/>
      <c r="O7" s="1991"/>
      <c r="P7" s="1991"/>
      <c r="Q7" s="1991"/>
      <c r="R7" s="1991"/>
    </row>
    <row r="8" spans="1:18" ht="28.8">
      <c r="A8" s="1224"/>
      <c r="B8" s="1226" t="s">
        <v>2543</v>
      </c>
      <c r="C8" s="3033" t="s">
        <v>2912</v>
      </c>
      <c r="D8" s="1993"/>
      <c r="E8" s="1993"/>
      <c r="F8" s="1539"/>
      <c r="G8" s="1539"/>
      <c r="H8" s="1991"/>
      <c r="I8" s="1991"/>
      <c r="J8" s="1991"/>
      <c r="K8" s="1991"/>
      <c r="L8" s="1991"/>
      <c r="M8" s="1991"/>
      <c r="N8" s="1991"/>
      <c r="O8" s="1991"/>
      <c r="P8" s="1991"/>
      <c r="Q8" s="1991"/>
      <c r="R8" s="1991"/>
    </row>
    <row r="9" spans="1:18" ht="43.2">
      <c r="A9" s="1224"/>
      <c r="B9" s="1226" t="s">
        <v>1656</v>
      </c>
      <c r="C9" s="3032" t="s">
        <v>2913</v>
      </c>
      <c r="D9" s="1992"/>
      <c r="E9" s="1993"/>
      <c r="F9" s="1539"/>
      <c r="G9" s="1539"/>
      <c r="H9" s="1991"/>
      <c r="I9" s="1991"/>
      <c r="J9" s="1991"/>
      <c r="K9" s="1991"/>
      <c r="L9" s="1991"/>
      <c r="M9" s="1991"/>
      <c r="N9" s="1991"/>
      <c r="O9" s="1991"/>
      <c r="P9" s="1991"/>
      <c r="Q9" s="1991"/>
      <c r="R9" s="1991"/>
    </row>
    <row r="10" spans="1:18" s="1999" customFormat="1" ht="15" thickBot="1">
      <c r="A10" s="1231"/>
      <c r="B10" s="1232" t="s">
        <v>1671</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3.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57.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2542</v>
      </c>
      <c r="G19" s="1004" t="str">
        <f>G5</f>
        <v>估价对象所在区域公共配套设施齐备情况</v>
      </c>
    </row>
    <row r="20" spans="1:7" ht="43.2">
      <c r="A20" s="2551"/>
      <c r="B20" s="1242" t="s">
        <v>1660</v>
      </c>
      <c r="C20" s="1241" t="str">
        <f>C9</f>
        <v>区域自然环境：；人文环境；综合评价环境状况一般</v>
      </c>
      <c r="D20" s="1993"/>
      <c r="E20" s="2548"/>
      <c r="F20" s="1226" t="s">
        <v>2543</v>
      </c>
      <c r="G20" s="1004" t="str">
        <f>G6</f>
        <v>估价对象所在区域基础设施水平</v>
      </c>
    </row>
    <row r="21" spans="1:7" ht="28.8">
      <c r="A21" s="2551"/>
      <c r="B21" s="1226" t="s">
        <v>2542</v>
      </c>
      <c r="C21" s="1004" t="str">
        <f>C7</f>
        <v>估价对象所在区域公共配套设施齐备情况</v>
      </c>
      <c r="D21" s="1992"/>
      <c r="E21" s="2548"/>
      <c r="F21" s="1242" t="s">
        <v>1661</v>
      </c>
      <c r="G21" s="3037"/>
    </row>
    <row r="22" spans="1:7" ht="28.8">
      <c r="A22" s="2551"/>
      <c r="B22" s="1226" t="s">
        <v>2543</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5" t="s">
        <v>2839</v>
      </c>
      <c r="B1" s="2995">
        <f>SUM(B14:B23)</f>
        <v>122082.72</v>
      </c>
      <c r="C1" s="2996"/>
      <c r="D1" s="2996"/>
      <c r="E1" s="2996"/>
      <c r="F1" s="2996"/>
    </row>
    <row r="2" spans="1:9" ht="15.6">
      <c r="A2" s="2995" t="s">
        <v>2840</v>
      </c>
      <c r="B2" s="2995">
        <f>SUM(C14:C23)</f>
        <v>12664.48</v>
      </c>
      <c r="C2" s="2996"/>
      <c r="D2" s="2996"/>
      <c r="E2" s="2996"/>
      <c r="F2" s="2996"/>
    </row>
    <row r="3" spans="1:9" ht="15.6">
      <c r="A3" s="2995" t="s">
        <v>2841</v>
      </c>
      <c r="B3" s="2997">
        <f>项目基本情况!D3</f>
        <v>43895</v>
      </c>
      <c r="C3" s="2996"/>
      <c r="D3" s="2996"/>
      <c r="E3" s="2996"/>
      <c r="F3" s="2996"/>
    </row>
    <row r="4" spans="1:9" ht="31.2">
      <c r="A4" s="2995" t="s">
        <v>2842</v>
      </c>
      <c r="B4" s="2995" t="s">
        <v>2843</v>
      </c>
      <c r="C4" s="2995" t="s">
        <v>2844</v>
      </c>
      <c r="D4" s="2995" t="s">
        <v>2845</v>
      </c>
      <c r="E4" s="2996"/>
      <c r="F4" s="2996"/>
    </row>
    <row r="5" spans="1:9" ht="15.6">
      <c r="A5" s="2995" t="s">
        <v>2846</v>
      </c>
      <c r="B5" s="2995">
        <f ca="1">SUM(D14:D23)</f>
        <v>48387</v>
      </c>
      <c r="C5" s="2995">
        <f ca="1">ROUND(B5*10000/$B$1,0)</f>
        <v>3963</v>
      </c>
      <c r="D5" s="2995">
        <f ca="1">ROUND(B5*10000/$B$2,0)</f>
        <v>38207</v>
      </c>
      <c r="E5" s="2996"/>
      <c r="F5" s="2996"/>
    </row>
    <row r="6" spans="1:9" ht="15.6">
      <c r="A6" s="2995" t="s">
        <v>2847</v>
      </c>
      <c r="B6" s="2995">
        <f ca="1">SUM(G14:G23)</f>
        <v>48387</v>
      </c>
      <c r="C6" s="2995">
        <f t="shared" ref="C6:C8" ca="1" si="0">ROUND(B6*10000/$B$1,0)</f>
        <v>3963</v>
      </c>
      <c r="D6" s="2995">
        <f t="shared" ref="D6:D8" ca="1" si="1">ROUND(B6*10000/$B$2,0)</f>
        <v>38207</v>
      </c>
      <c r="E6" s="2996"/>
      <c r="F6" s="2996"/>
    </row>
    <row r="7" spans="1:9" ht="15.6">
      <c r="A7" s="2995" t="s">
        <v>2848</v>
      </c>
      <c r="B7" s="2995">
        <f>SUM(H14:H23)</f>
        <v>0</v>
      </c>
      <c r="C7" s="2995">
        <f t="shared" si="0"/>
        <v>0</v>
      </c>
      <c r="D7" s="2995">
        <f t="shared" si="1"/>
        <v>0</v>
      </c>
      <c r="E7" s="2996"/>
      <c r="F7" s="2996"/>
    </row>
    <row r="8" spans="1:9" ht="15.6">
      <c r="A8" s="2995" t="s">
        <v>2849</v>
      </c>
      <c r="B8" s="2995">
        <f>SUM(I14:I23)</f>
        <v>0</v>
      </c>
      <c r="C8" s="2995">
        <f t="shared" si="0"/>
        <v>0</v>
      </c>
      <c r="D8" s="2995">
        <f t="shared" si="1"/>
        <v>0</v>
      </c>
      <c r="E8" s="2996"/>
      <c r="F8" s="2996"/>
    </row>
    <row r="9" spans="1:9" ht="15.6">
      <c r="A9" s="2995" t="s">
        <v>2850</v>
      </c>
      <c r="B9" s="2998"/>
      <c r="C9" s="2996"/>
      <c r="D9" s="2996"/>
      <c r="E9" s="2996"/>
      <c r="F9" s="2996"/>
    </row>
    <row r="10" spans="1:9" ht="15.6">
      <c r="A10" s="2995" t="s">
        <v>2851</v>
      </c>
      <c r="B10" s="2998"/>
      <c r="C10" s="2996"/>
      <c r="D10" s="2996"/>
      <c r="E10" s="2996"/>
      <c r="F10" s="2996"/>
    </row>
    <row r="11" spans="1:9" ht="15.6">
      <c r="A11" s="2995" t="s">
        <v>2868</v>
      </c>
      <c r="B11" s="2998"/>
      <c r="C11" s="2996"/>
      <c r="D11" s="2996"/>
      <c r="E11" s="2996"/>
      <c r="F11" s="2996"/>
    </row>
    <row r="12" spans="1:9" ht="15.6">
      <c r="A12" s="2996"/>
      <c r="B12" s="2996"/>
      <c r="C12" s="2996"/>
      <c r="D12" s="2996"/>
      <c r="E12" s="2996"/>
      <c r="F12" s="2996"/>
    </row>
    <row r="13" spans="1:9" ht="31.2">
      <c r="A13" s="3001" t="s">
        <v>2867</v>
      </c>
      <c r="B13" s="2999" t="s">
        <v>2839</v>
      </c>
      <c r="C13" s="2999" t="s">
        <v>2840</v>
      </c>
      <c r="D13" s="2999" t="s">
        <v>2852</v>
      </c>
      <c r="E13" s="2995" t="s">
        <v>2866</v>
      </c>
      <c r="F13" s="2995" t="s">
        <v>2845</v>
      </c>
      <c r="G13" s="2999" t="s">
        <v>2853</v>
      </c>
      <c r="H13" s="2999" t="s">
        <v>2854</v>
      </c>
      <c r="I13" s="2999" t="s">
        <v>2855</v>
      </c>
    </row>
    <row r="14" spans="1:9" ht="15.6">
      <c r="A14" s="3002" t="s">
        <v>2865</v>
      </c>
      <c r="B14" s="2999">
        <f>结果表!L38</f>
        <v>122082.72</v>
      </c>
      <c r="C14" s="2999">
        <f>结果表!K38</f>
        <v>12664.48</v>
      </c>
      <c r="D14" s="2999">
        <f ca="1">结果表!C42</f>
        <v>48387</v>
      </c>
      <c r="E14" s="2999">
        <f ca="1">ROUND(D14*10000/B14,0)</f>
        <v>3963</v>
      </c>
      <c r="F14" s="2999">
        <f ca="1">ROUND(D14*10000/C14,0)</f>
        <v>38207</v>
      </c>
      <c r="G14" s="2999">
        <f ca="1">结果表!C44</f>
        <v>48387</v>
      </c>
      <c r="H14" s="2999" t="str">
        <f>结果表!C45</f>
        <v>——</v>
      </c>
      <c r="I14" s="2999" t="str">
        <f>结果表!C46</f>
        <v>——</v>
      </c>
    </row>
    <row r="15" spans="1:9" ht="15.6">
      <c r="A15" s="3002" t="s">
        <v>2856</v>
      </c>
      <c r="B15" s="3003"/>
      <c r="C15" s="3003"/>
      <c r="D15" s="3003"/>
      <c r="E15" s="2999" t="e">
        <f t="shared" ref="E15:E23" si="2">ROUND(D15*10000/B15,0)</f>
        <v>#DIV/0!</v>
      </c>
      <c r="F15" s="2999" t="e">
        <f t="shared" ref="F15:F23" si="3">ROUND(D15*10000/C15,0)</f>
        <v>#DIV/0!</v>
      </c>
      <c r="G15" s="3000"/>
      <c r="H15" s="3000"/>
      <c r="I15" s="3003"/>
    </row>
    <row r="16" spans="1:9" ht="15.6">
      <c r="A16" s="3002" t="s">
        <v>2857</v>
      </c>
      <c r="B16" s="3003"/>
      <c r="C16" s="3003"/>
      <c r="D16" s="3003"/>
      <c r="E16" s="2999" t="e">
        <f t="shared" si="2"/>
        <v>#DIV/0!</v>
      </c>
      <c r="F16" s="2999" t="e">
        <f t="shared" si="3"/>
        <v>#DIV/0!</v>
      </c>
      <c r="G16" s="3000"/>
      <c r="H16" s="3000"/>
      <c r="I16" s="3003"/>
    </row>
    <row r="17" spans="1:9" ht="15.6">
      <c r="A17" s="3002" t="s">
        <v>2858</v>
      </c>
      <c r="B17" s="3003"/>
      <c r="C17" s="3003"/>
      <c r="D17" s="3003"/>
      <c r="E17" s="2999" t="e">
        <f t="shared" si="2"/>
        <v>#DIV/0!</v>
      </c>
      <c r="F17" s="2999" t="e">
        <f t="shared" si="3"/>
        <v>#DIV/0!</v>
      </c>
      <c r="G17" s="3000"/>
      <c r="H17" s="3000"/>
      <c r="I17" s="3003"/>
    </row>
    <row r="18" spans="1:9" ht="15.6">
      <c r="A18" s="3002" t="s">
        <v>2859</v>
      </c>
      <c r="B18" s="3003"/>
      <c r="C18" s="3003"/>
      <c r="D18" s="3003"/>
      <c r="E18" s="2999" t="e">
        <f t="shared" si="2"/>
        <v>#DIV/0!</v>
      </c>
      <c r="F18" s="2999" t="e">
        <f t="shared" si="3"/>
        <v>#DIV/0!</v>
      </c>
      <c r="G18" s="3003"/>
      <c r="H18" s="3003"/>
      <c r="I18" s="3003"/>
    </row>
    <row r="19" spans="1:9" ht="15.6">
      <c r="A19" s="3002" t="s">
        <v>2860</v>
      </c>
      <c r="B19" s="3003"/>
      <c r="C19" s="3003"/>
      <c r="D19" s="3003"/>
      <c r="E19" s="2999" t="e">
        <f t="shared" si="2"/>
        <v>#DIV/0!</v>
      </c>
      <c r="F19" s="2999" t="e">
        <f t="shared" si="3"/>
        <v>#DIV/0!</v>
      </c>
      <c r="G19" s="3003"/>
      <c r="H19" s="3003"/>
      <c r="I19" s="3003"/>
    </row>
    <row r="20" spans="1:9" ht="15.6">
      <c r="A20" s="3002" t="s">
        <v>2861</v>
      </c>
      <c r="B20" s="3003"/>
      <c r="C20" s="3003"/>
      <c r="D20" s="3003"/>
      <c r="E20" s="2999" t="e">
        <f t="shared" si="2"/>
        <v>#DIV/0!</v>
      </c>
      <c r="F20" s="2999" t="e">
        <f t="shared" si="3"/>
        <v>#DIV/0!</v>
      </c>
      <c r="G20" s="3003"/>
      <c r="H20" s="3003"/>
      <c r="I20" s="3003"/>
    </row>
    <row r="21" spans="1:9" ht="15.6">
      <c r="A21" s="3002" t="s">
        <v>2862</v>
      </c>
      <c r="B21" s="3003"/>
      <c r="C21" s="3003"/>
      <c r="D21" s="3003"/>
      <c r="E21" s="2999" t="e">
        <f t="shared" si="2"/>
        <v>#DIV/0!</v>
      </c>
      <c r="F21" s="2999" t="e">
        <f t="shared" si="3"/>
        <v>#DIV/0!</v>
      </c>
      <c r="G21" s="3003"/>
      <c r="H21" s="3003"/>
      <c r="I21" s="3003"/>
    </row>
    <row r="22" spans="1:9" ht="15.6">
      <c r="A22" s="3002" t="s">
        <v>2863</v>
      </c>
      <c r="B22" s="3003"/>
      <c r="C22" s="3003"/>
      <c r="D22" s="3003"/>
      <c r="E22" s="2999" t="e">
        <f t="shared" si="2"/>
        <v>#DIV/0!</v>
      </c>
      <c r="F22" s="2999" t="e">
        <f t="shared" si="3"/>
        <v>#DIV/0!</v>
      </c>
      <c r="G22" s="3003"/>
      <c r="H22" s="3003"/>
      <c r="I22" s="3003"/>
    </row>
    <row r="23" spans="1:9" ht="15.6">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L12" sqref="L12"/>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04" t="str">
        <f>项目基本情况!K2</f>
        <v>云南省昆明市出让国有建设用地使用权</v>
      </c>
      <c r="B2" s="3305"/>
      <c r="C2" s="3306"/>
      <c r="D2" s="3306"/>
      <c r="E2" s="3306"/>
      <c r="F2" s="3306"/>
      <c r="G2" s="3305"/>
      <c r="H2" s="3305"/>
      <c r="I2" s="3307"/>
      <c r="J2" s="2013"/>
      <c r="K2" s="2012"/>
      <c r="L2" s="2012"/>
      <c r="M2" s="2012"/>
      <c r="N2" s="2012"/>
      <c r="O2" s="2012"/>
      <c r="P2" s="2012"/>
      <c r="Q2" s="2012"/>
      <c r="R2" s="2012"/>
      <c r="S2" s="2012"/>
      <c r="T2" s="2012"/>
      <c r="U2" s="2012"/>
      <c r="V2" s="2012"/>
    </row>
    <row r="3" spans="1:22" ht="13.8">
      <c r="A3" s="3297" t="s">
        <v>298</v>
      </c>
      <c r="B3" s="3298"/>
      <c r="C3" s="3298"/>
      <c r="D3" s="3298"/>
      <c r="E3" s="3298"/>
      <c r="F3" s="3298"/>
      <c r="G3" s="3298"/>
      <c r="H3" s="3298"/>
      <c r="I3" s="3298"/>
      <c r="J3" s="2013"/>
      <c r="K3" s="2012"/>
      <c r="L3" s="2012"/>
      <c r="M3" s="2012"/>
      <c r="N3" s="2012"/>
      <c r="O3" s="2012"/>
      <c r="P3" s="2012"/>
      <c r="Q3" s="2012"/>
      <c r="R3" s="2012"/>
      <c r="S3" s="2012"/>
      <c r="T3" s="2012"/>
      <c r="U3" s="2012"/>
      <c r="V3" s="2012"/>
    </row>
    <row r="4" spans="1:22" ht="14.4">
      <c r="A4" s="258" t="s">
        <v>299</v>
      </c>
      <c r="B4" s="259" t="s">
        <v>300</v>
      </c>
      <c r="C4" s="260" t="s">
        <v>3193</v>
      </c>
      <c r="D4" s="260" t="s">
        <v>3194</v>
      </c>
      <c r="E4" s="3269" t="s">
        <v>301</v>
      </c>
      <c r="F4" s="3270"/>
      <c r="G4" s="3270"/>
      <c r="H4" s="3270"/>
      <c r="I4" s="3299"/>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68" t="s">
        <v>302</v>
      </c>
      <c r="B5" s="3294">
        <v>25</v>
      </c>
      <c r="C5" s="3292"/>
      <c r="D5" s="3296"/>
      <c r="E5" s="261" t="s">
        <v>303</v>
      </c>
      <c r="F5" s="262"/>
      <c r="G5" s="262"/>
      <c r="H5" s="262"/>
      <c r="I5" s="263"/>
      <c r="J5" s="2013"/>
      <c r="K5" s="2012"/>
      <c r="L5" s="2012"/>
      <c r="M5" s="2012"/>
      <c r="N5" s="2012"/>
      <c r="O5" s="2012"/>
      <c r="P5" s="2012"/>
      <c r="Q5" s="2012"/>
      <c r="R5" s="2012"/>
      <c r="S5" s="2012"/>
      <c r="T5" s="2012"/>
      <c r="U5" s="2012"/>
      <c r="V5" s="2012"/>
    </row>
    <row r="6" spans="1:22" ht="13.8">
      <c r="A6" s="3268"/>
      <c r="B6" s="3294"/>
      <c r="C6" s="3295"/>
      <c r="D6" s="3296"/>
      <c r="E6" s="261" t="s">
        <v>304</v>
      </c>
      <c r="F6" s="262"/>
      <c r="G6" s="262"/>
      <c r="H6" s="262"/>
      <c r="I6" s="263"/>
      <c r="J6" s="2013"/>
      <c r="K6" s="2012"/>
      <c r="L6" s="2012"/>
      <c r="M6" s="2012"/>
      <c r="N6" s="2012"/>
      <c r="O6" s="2012"/>
      <c r="P6" s="2012"/>
      <c r="Q6" s="2012"/>
      <c r="R6" s="2012"/>
      <c r="S6" s="2012"/>
      <c r="T6" s="2012"/>
      <c r="U6" s="2012"/>
      <c r="V6" s="2012"/>
    </row>
    <row r="7" spans="1:22" ht="13.8">
      <c r="A7" s="3268"/>
      <c r="B7" s="3294"/>
      <c r="C7" s="3293"/>
      <c r="D7" s="3296"/>
      <c r="E7" s="261" t="s">
        <v>305</v>
      </c>
      <c r="F7" s="262"/>
      <c r="G7" s="262"/>
      <c r="H7" s="262"/>
      <c r="I7" s="263"/>
      <c r="J7" s="2013"/>
      <c r="K7" s="2012"/>
      <c r="L7" s="2012"/>
      <c r="M7" s="2012"/>
      <c r="N7" s="2012"/>
      <c r="O7" s="2012"/>
      <c r="P7" s="2012"/>
      <c r="Q7" s="2012"/>
      <c r="R7" s="2012"/>
      <c r="S7" s="2012"/>
      <c r="T7" s="2012"/>
      <c r="U7" s="2012"/>
      <c r="V7" s="2012"/>
    </row>
    <row r="8" spans="1:22" ht="13.8">
      <c r="A8" s="3268" t="s">
        <v>306</v>
      </c>
      <c r="B8" s="3294">
        <v>15</v>
      </c>
      <c r="C8" s="3292"/>
      <c r="D8" s="3296"/>
      <c r="E8" s="261" t="s">
        <v>307</v>
      </c>
      <c r="F8" s="262"/>
      <c r="G8" s="262"/>
      <c r="H8" s="262"/>
      <c r="I8" s="263"/>
      <c r="J8" s="2013"/>
      <c r="K8" s="2012"/>
      <c r="L8" s="2012"/>
      <c r="M8" s="2012"/>
      <c r="N8" s="2012"/>
      <c r="O8" s="2012"/>
      <c r="P8" s="2012"/>
      <c r="Q8" s="2012"/>
      <c r="R8" s="2012"/>
      <c r="S8" s="2012"/>
      <c r="T8" s="2012"/>
      <c r="U8" s="2012"/>
      <c r="V8" s="2012"/>
    </row>
    <row r="9" spans="1:22" ht="13.8">
      <c r="A9" s="3268"/>
      <c r="B9" s="3294"/>
      <c r="C9" s="3293"/>
      <c r="D9" s="3296"/>
      <c r="E9" s="261" t="s">
        <v>308</v>
      </c>
      <c r="F9" s="262"/>
      <c r="G9" s="262"/>
      <c r="H9" s="262"/>
      <c r="I9" s="263"/>
      <c r="J9" s="2013"/>
      <c r="K9" s="2012"/>
      <c r="L9" s="2012"/>
      <c r="M9" s="2012"/>
      <c r="N9" s="2012"/>
      <c r="O9" s="2012"/>
      <c r="P9" s="2012"/>
      <c r="Q9" s="2012"/>
      <c r="R9" s="2012"/>
      <c r="S9" s="2012"/>
      <c r="T9" s="2012"/>
      <c r="U9" s="2012"/>
      <c r="V9" s="2012"/>
    </row>
    <row r="10" spans="1:22" ht="13.8">
      <c r="A10" s="3268" t="s">
        <v>309</v>
      </c>
      <c r="B10" s="3294">
        <v>15</v>
      </c>
      <c r="C10" s="3292"/>
      <c r="D10" s="3296"/>
      <c r="E10" s="261" t="s">
        <v>310</v>
      </c>
      <c r="F10" s="262"/>
      <c r="G10" s="262"/>
      <c r="H10" s="262"/>
      <c r="I10" s="263"/>
      <c r="J10" s="2013"/>
      <c r="K10" s="2012"/>
      <c r="L10" s="2012"/>
      <c r="M10" s="2012"/>
      <c r="N10" s="2012"/>
      <c r="O10" s="2012"/>
      <c r="P10" s="2012"/>
      <c r="Q10" s="2012"/>
      <c r="R10" s="2012"/>
      <c r="S10" s="2012"/>
      <c r="T10" s="2012"/>
      <c r="U10" s="2012"/>
      <c r="V10" s="2012"/>
    </row>
    <row r="11" spans="1:22" ht="13.8">
      <c r="A11" s="3268"/>
      <c r="B11" s="3294"/>
      <c r="C11" s="3293"/>
      <c r="D11" s="3296"/>
      <c r="E11" s="261" t="s">
        <v>311</v>
      </c>
      <c r="F11" s="262"/>
      <c r="G11" s="262"/>
      <c r="H11" s="262"/>
      <c r="I11" s="263"/>
      <c r="J11" s="2013"/>
      <c r="K11" s="2012"/>
      <c r="L11" s="2012"/>
      <c r="M11" s="2012"/>
      <c r="N11" s="2012"/>
      <c r="O11" s="2012"/>
      <c r="P11" s="2012"/>
      <c r="Q11" s="2012"/>
      <c r="R11" s="2012"/>
      <c r="S11" s="2012"/>
      <c r="T11" s="2012"/>
      <c r="U11" s="2012"/>
      <c r="V11" s="2012"/>
    </row>
    <row r="12" spans="1:22" ht="13.8">
      <c r="A12" s="3268" t="s">
        <v>312</v>
      </c>
      <c r="B12" s="3294">
        <v>15</v>
      </c>
      <c r="C12" s="3292"/>
      <c r="D12" s="3296"/>
      <c r="E12" s="261" t="s">
        <v>313</v>
      </c>
      <c r="F12" s="262"/>
      <c r="G12" s="262"/>
      <c r="H12" s="262"/>
      <c r="I12" s="263"/>
      <c r="J12" s="2013"/>
      <c r="K12" s="2012"/>
      <c r="L12" s="2012"/>
      <c r="M12" s="2012"/>
      <c r="N12" s="2012"/>
      <c r="O12" s="2012"/>
      <c r="P12" s="2012"/>
      <c r="Q12" s="2012"/>
      <c r="R12" s="2012"/>
      <c r="S12" s="2012"/>
      <c r="T12" s="2012"/>
      <c r="U12" s="2012"/>
      <c r="V12" s="2012"/>
    </row>
    <row r="13" spans="1:22" ht="13.8">
      <c r="A13" s="3268"/>
      <c r="B13" s="3294"/>
      <c r="C13" s="3293"/>
      <c r="D13" s="3296"/>
      <c r="E13" s="261" t="s">
        <v>314</v>
      </c>
      <c r="F13" s="262"/>
      <c r="G13" s="262"/>
      <c r="H13" s="262"/>
      <c r="I13" s="263"/>
      <c r="J13" s="2013"/>
      <c r="K13" s="2012"/>
      <c r="L13" s="2012"/>
      <c r="M13" s="2012"/>
      <c r="N13" s="2012"/>
      <c r="O13" s="2012"/>
      <c r="P13" s="2012"/>
      <c r="Q13" s="2012"/>
      <c r="R13" s="2012"/>
      <c r="S13" s="2012"/>
      <c r="T13" s="2012"/>
      <c r="U13" s="2012"/>
      <c r="V13" s="2012"/>
    </row>
    <row r="14" spans="1:22" ht="13.8">
      <c r="A14" s="3268" t="s">
        <v>315</v>
      </c>
      <c r="B14" s="3294">
        <v>30</v>
      </c>
      <c r="C14" s="3292">
        <v>4</v>
      </c>
      <c r="D14" s="3296">
        <v>6</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68"/>
      <c r="B15" s="3294"/>
      <c r="C15" s="3295"/>
      <c r="D15" s="3296"/>
      <c r="E15" s="261" t="s">
        <v>317</v>
      </c>
      <c r="F15" s="262"/>
      <c r="G15" s="262"/>
      <c r="H15" s="262"/>
      <c r="I15" s="263"/>
      <c r="J15" s="2013"/>
      <c r="K15" s="2012"/>
      <c r="L15" s="2012"/>
      <c r="M15" s="2012"/>
      <c r="N15" s="2012"/>
      <c r="O15" s="2012"/>
      <c r="P15" s="2012"/>
      <c r="Q15" s="2012"/>
      <c r="R15" s="2012"/>
      <c r="S15" s="2012"/>
      <c r="T15" s="2012"/>
      <c r="U15" s="2012"/>
      <c r="V15" s="2012"/>
    </row>
    <row r="16" spans="1:22" ht="13.8">
      <c r="A16" s="3268"/>
      <c r="B16" s="3294"/>
      <c r="C16" s="3293"/>
      <c r="D16" s="3296"/>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4</v>
      </c>
      <c r="D17" s="265">
        <f>SUM(D5:D16)</f>
        <v>6</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35464</v>
      </c>
      <c r="D19" s="271">
        <f ca="1">SUMIF(INDIRECT("'"&amp;D4&amp;"'"&amp;"!A:A"),结果表!B19,INDIRECT("'"&amp;D4&amp;"'"&amp;"!B:B"))</f>
        <v>57002</v>
      </c>
      <c r="E19" s="268" t="s">
        <v>323</v>
      </c>
      <c r="F19" s="269" t="s">
        <v>322</v>
      </c>
      <c r="G19" s="272">
        <f ca="1">ROUND(C19*$C$18+D19*$D$18,0)</f>
        <v>48387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2905</v>
      </c>
      <c r="D20" s="277">
        <f ca="1">SUMIF(INDIRECT("'"&amp;D4&amp;"'"&amp;"!A:A"),结果表!B20,INDIRECT("'"&amp;D4&amp;"'"&amp;"!B:B"))</f>
        <v>4669</v>
      </c>
      <c r="E20" s="274"/>
      <c r="F20" s="275" t="s">
        <v>325</v>
      </c>
      <c r="G20" s="278">
        <f ca="1">ROUND(C20*$C$18+D20*$D$18,0)</f>
        <v>3963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28003</v>
      </c>
      <c r="D21" s="151">
        <f ca="1">SUMIF(INDIRECT("'"&amp;D4&amp;"'"&amp;"!A:A"),结果表!B21,INDIRECT("'"&amp;D4&amp;"'"&amp;"!B:B"))</f>
        <v>45009</v>
      </c>
      <c r="E21" s="274"/>
      <c r="F21" s="280" t="s">
        <v>327</v>
      </c>
      <c r="G21" s="282">
        <f ca="1">ROUND(C21*$C$18+D21*$D$18,0)</f>
        <v>38207</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0.60732009925558317</v>
      </c>
      <c r="E22" s="284"/>
      <c r="F22" s="285"/>
      <c r="G22" s="286">
        <f ca="1">ROUND(G19/('数据-汇总表'!D3/666.67),0)</f>
        <v>2547</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7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275"/>
      <c r="B25" s="1316" t="s">
        <v>331</v>
      </c>
      <c r="C25" s="290">
        <f>IF(B30=0,0,C30)</f>
        <v>0</v>
      </c>
      <c r="D25" s="291"/>
      <c r="E25" s="311"/>
      <c r="F25" s="311"/>
      <c r="G25" s="311"/>
      <c r="H25" s="311"/>
      <c r="I25" s="311"/>
      <c r="J25" s="2012"/>
      <c r="K25" s="1250" t="str">
        <f ca="1">项目基本情况!B16&amp;"国有建设用地使用权价格："&amp;O38&amp;"万元"</f>
        <v>出让国有建设用地使用权价格：48387万元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大写金额：人民币肆亿捌仟叁佰捌拾柒万元整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单位面积地价：38207元/平方米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楼面地价：3963元/平方米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抵押价格：48387万元</v>
      </c>
      <c r="L29" s="1247"/>
      <c r="M29" s="1247"/>
      <c r="N29" s="1247"/>
      <c r="O29" s="1246"/>
      <c r="P29" s="2012"/>
      <c r="V29" s="2012"/>
    </row>
    <row r="30" spans="1:26" ht="18" thickBot="1">
      <c r="A30" s="3080" t="s">
        <v>336</v>
      </c>
      <c r="B30" s="309"/>
      <c r="C30" s="309"/>
      <c r="D30" s="310"/>
      <c r="E30" s="3081" t="s">
        <v>2964</v>
      </c>
      <c r="F30" s="311"/>
      <c r="G30" s="311"/>
      <c r="H30" s="311"/>
      <c r="I30" s="311"/>
      <c r="J30" s="2012"/>
      <c r="K30" s="1253" t="str">
        <f ca="1">IF(K29="——","——","大写金额：人民币"&amp;NUMBERSTRING(INT(O39*10000),2)&amp;"元整")</f>
        <v>大写金额：人民币肆亿捌仟叁佰捌拾柒万元整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1688</v>
      </c>
      <c r="C32" s="1378">
        <f ca="1">G19-C24</f>
        <v>48387</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1690</v>
      </c>
      <c r="C33" s="264">
        <f ca="1">ROUND(C32*10000/'数据-汇总表'!E3,0)</f>
        <v>3963</v>
      </c>
      <c r="D33" s="1381" t="s">
        <v>1691</v>
      </c>
      <c r="E33" s="3274"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 thickBot="1">
      <c r="A34" s="300"/>
      <c r="B34" s="1382" t="s">
        <v>1692</v>
      </c>
      <c r="C34" s="264">
        <f ca="1">ROUND(C32*10000/'数据-汇总表'!D3,0)</f>
        <v>38207</v>
      </c>
      <c r="D34" s="1383" t="s">
        <v>1691</v>
      </c>
      <c r="E34" s="3315"/>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2547</v>
      </c>
      <c r="D35" s="1386" t="s">
        <v>1693</v>
      </c>
      <c r="E35" s="3316"/>
      <c r="F35" s="301" t="s">
        <v>342</v>
      </c>
      <c r="G35" s="981"/>
      <c r="H35" s="980" t="s">
        <v>343</v>
      </c>
      <c r="I35" s="311"/>
      <c r="J35" s="2012"/>
      <c r="K35" s="3289" t="s">
        <v>350</v>
      </c>
      <c r="L35" s="3289" t="s">
        <v>351</v>
      </c>
      <c r="M35" s="1259" t="s">
        <v>352</v>
      </c>
      <c r="N35" s="3289" t="s">
        <v>353</v>
      </c>
      <c r="O35" s="3289" t="s">
        <v>354</v>
      </c>
      <c r="P35" s="2012"/>
      <c r="V35" s="2012"/>
    </row>
    <row r="36" spans="1:26" ht="16.5" customHeight="1">
      <c r="A36" s="303" t="s">
        <v>344</v>
      </c>
      <c r="B36" s="304" t="s">
        <v>333</v>
      </c>
      <c r="C36" s="305" t="s">
        <v>345</v>
      </c>
      <c r="D36" s="305" t="s">
        <v>346</v>
      </c>
      <c r="E36" s="306" t="s">
        <v>347</v>
      </c>
      <c r="F36" s="311"/>
      <c r="G36" s="311"/>
      <c r="H36" s="311"/>
      <c r="I36" s="311"/>
      <c r="J36" s="2014"/>
      <c r="K36" s="3290"/>
      <c r="L36" s="3290"/>
      <c r="M36" s="1261" t="s">
        <v>355</v>
      </c>
      <c r="N36" s="3290"/>
      <c r="O36" s="3290"/>
      <c r="P36" s="2012"/>
      <c r="V36" s="2012"/>
    </row>
    <row r="37" spans="1:26" ht="16.5" customHeight="1" thickBot="1">
      <c r="A37" s="1255" t="s">
        <v>348</v>
      </c>
      <c r="B37" s="307"/>
      <c r="C37" s="294"/>
      <c r="D37" s="294"/>
      <c r="E37" s="295"/>
      <c r="F37" s="311"/>
      <c r="G37" s="311"/>
      <c r="H37" s="311"/>
      <c r="I37" s="311"/>
      <c r="J37" s="2014"/>
      <c r="K37" s="3291"/>
      <c r="L37" s="3291"/>
      <c r="M37" s="1262"/>
      <c r="N37" s="3291"/>
      <c r="O37" s="3291"/>
      <c r="P37" s="2012"/>
      <c r="V37" s="2012"/>
    </row>
    <row r="38" spans="1:26" ht="16.5" customHeight="1" thickBot="1">
      <c r="A38" s="1255" t="s">
        <v>349</v>
      </c>
      <c r="B38" s="307"/>
      <c r="C38" s="294"/>
      <c r="D38" s="294"/>
      <c r="E38" s="295"/>
      <c r="F38" s="311"/>
      <c r="G38" s="311"/>
      <c r="H38" s="311"/>
      <c r="I38" s="311"/>
      <c r="J38" s="2014"/>
      <c r="K38" s="1263">
        <f>'数据-汇总表'!D3</f>
        <v>12664.48</v>
      </c>
      <c r="L38" s="1264">
        <f>'数据-汇总表'!E3</f>
        <v>122082.72</v>
      </c>
      <c r="M38" s="1264">
        <f ca="1">C34</f>
        <v>38207</v>
      </c>
      <c r="N38" s="1264">
        <f ca="1">C33</f>
        <v>3963</v>
      </c>
      <c r="O38" s="1265">
        <f ca="1">C32</f>
        <v>48387</v>
      </c>
      <c r="P38" s="2012"/>
      <c r="V38" s="2012"/>
    </row>
    <row r="39" spans="1:26" ht="16.5" customHeight="1" thickBot="1">
      <c r="A39" s="1260"/>
      <c r="B39" s="308"/>
      <c r="C39" s="309"/>
      <c r="D39" s="309"/>
      <c r="E39" s="310"/>
      <c r="F39" s="311"/>
      <c r="G39" s="311"/>
      <c r="H39" s="311"/>
      <c r="I39" s="311"/>
      <c r="J39" s="2014"/>
      <c r="K39" s="3334" t="str">
        <f>MID(A44,3,LEN(A44)-2)</f>
        <v>抵押价格</v>
      </c>
      <c r="L39" s="3335"/>
      <c r="M39" s="3335"/>
      <c r="N39" s="3336"/>
      <c r="O39" s="1388">
        <f ca="1">C44</f>
        <v>48387</v>
      </c>
      <c r="P39" s="2012"/>
      <c r="V39" s="2012"/>
    </row>
    <row r="40" spans="1:26" ht="18" thickBot="1">
      <c r="A40" s="104" t="s">
        <v>873</v>
      </c>
      <c r="B40" s="311"/>
      <c r="C40" s="311"/>
      <c r="D40" s="311"/>
      <c r="E40" s="311"/>
      <c r="F40" s="311"/>
      <c r="G40" s="311"/>
      <c r="H40" s="311"/>
      <c r="I40" s="311"/>
      <c r="J40" s="2014"/>
      <c r="K40" s="3334" t="str">
        <f t="shared" ref="K40:K41" si="0">MID(A45,3,LEN(A45)-2)</f>
        <v/>
      </c>
      <c r="L40" s="3335"/>
      <c r="M40" s="3335"/>
      <c r="N40" s="3336"/>
      <c r="O40" s="1388" t="str">
        <f>C45</f>
        <v>——</v>
      </c>
      <c r="P40" s="2012"/>
      <c r="V40" s="2012"/>
    </row>
    <row r="41" spans="1:26" ht="16.2" thickBot="1">
      <c r="A41" s="312" t="s">
        <v>356</v>
      </c>
      <c r="B41" s="313"/>
      <c r="C41" s="314" t="s">
        <v>357</v>
      </c>
      <c r="D41" s="315" t="s">
        <v>358</v>
      </c>
      <c r="E41" s="315" t="s">
        <v>359</v>
      </c>
      <c r="F41" s="316" t="s">
        <v>360</v>
      </c>
      <c r="G41" s="311"/>
      <c r="H41" s="311"/>
      <c r="I41" s="311"/>
      <c r="J41" s="2014"/>
      <c r="K41" s="3334" t="str">
        <f t="shared" si="0"/>
        <v/>
      </c>
      <c r="L41" s="3335"/>
      <c r="M41" s="3335"/>
      <c r="N41" s="3336"/>
      <c r="O41" s="1388" t="str">
        <f>C46</f>
        <v>——</v>
      </c>
      <c r="P41" s="2012"/>
      <c r="V41" s="2012"/>
    </row>
    <row r="42" spans="1:26" ht="31.2">
      <c r="A42" s="3276" t="s">
        <v>2063</v>
      </c>
      <c r="B42" s="3277"/>
      <c r="C42" s="264">
        <f ca="1">C32</f>
        <v>48387</v>
      </c>
      <c r="D42" s="317">
        <f ca="1">C33</f>
        <v>3963</v>
      </c>
      <c r="E42" s="317">
        <f ca="1">C34</f>
        <v>38207</v>
      </c>
      <c r="F42" s="318">
        <f ca="1">C35</f>
        <v>2547</v>
      </c>
      <c r="G42" s="311"/>
      <c r="H42" s="311"/>
      <c r="I42" s="319"/>
      <c r="J42" s="2014"/>
      <c r="K42" s="1266" t="s">
        <v>361</v>
      </c>
      <c r="L42" s="2031" t="s">
        <v>362</v>
      </c>
      <c r="M42" s="1267" t="s">
        <v>363</v>
      </c>
      <c r="N42" s="2032" t="s">
        <v>364</v>
      </c>
      <c r="O42" s="2033" t="s">
        <v>365</v>
      </c>
      <c r="P42" s="2012"/>
      <c r="V42" s="2012"/>
    </row>
    <row r="43" spans="1:26" ht="17.399999999999999">
      <c r="A43" s="3287" t="s">
        <v>2725</v>
      </c>
      <c r="B43" s="3288"/>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35464</v>
      </c>
      <c r="M43" s="1270">
        <f>C18</f>
        <v>0.4</v>
      </c>
      <c r="N43" s="1271">
        <f ca="1">IF(N42="测算结果/万元",G19,G20)</f>
        <v>48387</v>
      </c>
      <c r="O43" s="1272">
        <f ca="1">IF(O42="最终结果/万元",C32,C33)</f>
        <v>48387</v>
      </c>
      <c r="P43" s="2012"/>
      <c r="V43" s="2012"/>
    </row>
    <row r="44" spans="1:26" ht="18" thickBot="1">
      <c r="A44" s="3276" t="str">
        <f>IF(OR(项目基本情况!E8="抵押价格",项目基本情况!E8="已注销及未注销"),"3.抵押价格","——")</f>
        <v>3.抵押价格</v>
      </c>
      <c r="B44" s="3277"/>
      <c r="C44" s="264">
        <f ca="1">IF(A44="——","——",C42-C43)</f>
        <v>48387</v>
      </c>
      <c r="D44" s="317">
        <f ca="1">ROUND(C44*10000/'数据-汇总表'!E3,0)</f>
        <v>3963</v>
      </c>
      <c r="E44" s="317">
        <f ca="1">ROUND(C44*10000/'数据-汇总表'!D3,0)</f>
        <v>38207</v>
      </c>
      <c r="F44" s="318">
        <f ca="1">ROUND(C44/('数据-汇总表'!D3/666.67),0)</f>
        <v>2547</v>
      </c>
      <c r="G44" s="311"/>
      <c r="H44" s="311"/>
      <c r="I44" s="319"/>
      <c r="J44" s="2014"/>
      <c r="K44" s="1273" t="str">
        <f>D4</f>
        <v>剩余法-待开发</v>
      </c>
      <c r="L44" s="1274">
        <f ca="1">IF(L42="估价结果/万元",D19,D20)</f>
        <v>57002</v>
      </c>
      <c r="M44" s="1275">
        <f>D18</f>
        <v>0.6</v>
      </c>
      <c r="N44" s="1276"/>
      <c r="O44" s="1277"/>
      <c r="P44" s="2012"/>
      <c r="V44" s="2012"/>
    </row>
    <row r="45" spans="1:26" ht="13.8">
      <c r="A45" s="3282" t="str">
        <f>IF(项目基本情况!E8="已注销及未注销","4.抵押担保权已注销时的抵押价格",IF(项目基本情况!E8="已注销","3.抵押担保权已注销时的抵押价格","——"))</f>
        <v>——</v>
      </c>
      <c r="B45" s="328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278" t="str">
        <f>IF(项目基本情况!E9="抵押净值",IF(A45="——","4.抵押净值","5.抵押净值"),"——")</f>
        <v>——</v>
      </c>
      <c r="B46" s="327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3" t="s">
        <v>374</v>
      </c>
      <c r="B63" s="3324"/>
      <c r="C63" s="3325"/>
      <c r="D63" s="341">
        <f ca="1">ROUND(C42*F63,0)</f>
        <v>29032</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284" t="s">
        <v>378</v>
      </c>
      <c r="B64" s="3285"/>
      <c r="C64" s="3285"/>
      <c r="D64" s="3285"/>
      <c r="E64" s="3285"/>
      <c r="F64" s="3285"/>
      <c r="G64" s="3286"/>
      <c r="H64" s="1283"/>
      <c r="I64" s="947"/>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280" t="s">
        <v>386</v>
      </c>
      <c r="B66" s="3281"/>
      <c r="C66" s="3281"/>
      <c r="D66" s="261">
        <f ca="1">IF(H66="情况1",0,IF(H66="情况2",D70,IF(H66="情况3",D71,IF(H66="情况4",D72))))</f>
        <v>1521</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38" t="s">
        <v>385</v>
      </c>
      <c r="M66" s="3339"/>
      <c r="N66" s="2421"/>
      <c r="O66" s="2422"/>
      <c r="P66" s="2423"/>
      <c r="Q66" s="2012"/>
      <c r="R66" s="2012"/>
      <c r="S66" s="2012"/>
      <c r="T66" s="2012"/>
      <c r="U66" s="2012"/>
      <c r="V66" s="2012"/>
    </row>
    <row r="67" spans="1:22" ht="25.5" customHeight="1">
      <c r="A67" s="352" t="s">
        <v>390</v>
      </c>
      <c r="B67" s="3271" t="s">
        <v>391</v>
      </c>
      <c r="C67" s="3271"/>
      <c r="D67" s="353">
        <v>0</v>
      </c>
      <c r="E67" s="41" t="s">
        <v>392</v>
      </c>
      <c r="F67" s="62" t="s">
        <v>21</v>
      </c>
      <c r="G67" s="3326"/>
      <c r="H67" s="311"/>
      <c r="I67" s="1287"/>
      <c r="J67" s="2019"/>
      <c r="K67" s="1960">
        <v>2</v>
      </c>
      <c r="L67" s="3337" t="s">
        <v>389</v>
      </c>
      <c r="M67" s="3337"/>
      <c r="N67" s="1320">
        <f>'数据-取费表'!B2</f>
        <v>43895</v>
      </c>
      <c r="O67" s="1320"/>
      <c r="P67" s="1320"/>
      <c r="Q67" s="2012"/>
      <c r="R67" s="2012"/>
      <c r="S67" s="2012"/>
      <c r="T67" s="2012"/>
      <c r="U67" s="2012"/>
      <c r="V67" s="2012"/>
    </row>
    <row r="68" spans="1:22" ht="25.5" customHeight="1">
      <c r="A68" s="354"/>
      <c r="B68" s="3271" t="s">
        <v>394</v>
      </c>
      <c r="C68" s="3271"/>
      <c r="D68" s="355"/>
      <c r="E68" s="77"/>
      <c r="F68" s="356"/>
      <c r="G68" s="3327"/>
      <c r="H68" s="311"/>
      <c r="I68" s="1287"/>
      <c r="J68" s="2019"/>
      <c r="K68" s="1960">
        <v>3</v>
      </c>
      <c r="L68" s="3337" t="s">
        <v>393</v>
      </c>
      <c r="M68" s="3337"/>
      <c r="N68" s="1288">
        <f ca="1">C42</f>
        <v>48387</v>
      </c>
      <c r="O68" s="1288"/>
      <c r="P68" s="1288"/>
      <c r="Q68" s="2012"/>
      <c r="R68" s="2012"/>
      <c r="S68" s="2012"/>
      <c r="T68" s="2012"/>
      <c r="U68" s="2012"/>
      <c r="V68" s="2012"/>
    </row>
    <row r="69" spans="1:22" ht="12" customHeight="1">
      <c r="A69" s="357"/>
      <c r="B69" s="3271" t="s">
        <v>395</v>
      </c>
      <c r="C69" s="3271"/>
      <c r="D69" s="358"/>
      <c r="E69" s="73"/>
      <c r="F69" s="356"/>
      <c r="G69" s="3328"/>
      <c r="H69" s="311"/>
      <c r="I69" s="1287"/>
      <c r="J69" s="2019"/>
      <c r="K69" s="1289">
        <v>4</v>
      </c>
      <c r="L69" s="3342" t="s">
        <v>2878</v>
      </c>
      <c r="M69" s="3343"/>
      <c r="N69" s="1290">
        <f ca="1">C44</f>
        <v>48387</v>
      </c>
      <c r="O69" s="1290"/>
      <c r="P69" s="1290"/>
      <c r="Q69" s="2012"/>
      <c r="R69" s="2012"/>
      <c r="S69" s="2012"/>
      <c r="T69" s="2012"/>
      <c r="U69" s="2012"/>
      <c r="V69" s="2012"/>
    </row>
    <row r="70" spans="1:22" ht="24" customHeight="1">
      <c r="A70" s="359" t="s">
        <v>396</v>
      </c>
      <c r="B70" s="3271" t="s">
        <v>397</v>
      </c>
      <c r="C70" s="3271"/>
      <c r="D70" s="358">
        <f ca="1">ROUND(D63*'数据-取费表'!B41/(1+'数据-取费表'!C42),0)</f>
        <v>1521</v>
      </c>
      <c r="E70" s="17" t="s">
        <v>398</v>
      </c>
      <c r="F70" s="360">
        <f>'数据-取费表'!B41</f>
        <v>5.5000000000000007E-2</v>
      </c>
      <c r="G70" s="361"/>
      <c r="H70" s="311"/>
      <c r="I70" s="1287"/>
      <c r="J70" s="2019"/>
      <c r="K70" s="3012"/>
      <c r="L70" s="3013"/>
      <c r="M70" s="3013"/>
      <c r="N70" s="3014" t="s">
        <v>2883</v>
      </c>
      <c r="O70" s="3013"/>
      <c r="P70" s="3015"/>
      <c r="Q70" s="2012"/>
      <c r="R70" s="2012"/>
      <c r="S70" s="2012"/>
      <c r="T70" s="2012"/>
      <c r="U70" s="2012"/>
      <c r="V70" s="2012"/>
    </row>
    <row r="71" spans="1:22" ht="12" customHeight="1">
      <c r="A71" s="359" t="s">
        <v>404</v>
      </c>
      <c r="B71" s="3272" t="s">
        <v>405</v>
      </c>
      <c r="C71" s="3273"/>
      <c r="D71" s="358">
        <f ca="1">ROUND(D63*'数据-取费表'!B41/(1+'数据-取费表'!C42),0)</f>
        <v>1521</v>
      </c>
      <c r="E71" s="17" t="s">
        <v>398</v>
      </c>
      <c r="F71" s="360">
        <f>'数据-取费表'!B41</f>
        <v>5.5000000000000007E-2</v>
      </c>
      <c r="G71" s="361"/>
      <c r="H71" s="311"/>
      <c r="I71" s="1287"/>
      <c r="J71" s="2019"/>
      <c r="K71" s="3011" t="s">
        <v>399</v>
      </c>
      <c r="L71" s="3344" t="s">
        <v>400</v>
      </c>
      <c r="M71" s="3344"/>
      <c r="N71" s="3011" t="s">
        <v>401</v>
      </c>
      <c r="O71" s="3011" t="s">
        <v>402</v>
      </c>
      <c r="P71" s="3011" t="s">
        <v>403</v>
      </c>
      <c r="Q71" s="2012"/>
      <c r="R71" s="2012"/>
      <c r="S71" s="2012"/>
      <c r="T71" s="2012"/>
      <c r="U71" s="2012"/>
      <c r="V71" s="2012"/>
    </row>
    <row r="72" spans="1:22" ht="12" customHeight="1">
      <c r="A72" s="359" t="s">
        <v>407</v>
      </c>
      <c r="B72" s="3272" t="s">
        <v>408</v>
      </c>
      <c r="C72" s="3273"/>
      <c r="D72" s="358">
        <f ca="1">C86</f>
        <v>1411</v>
      </c>
      <c r="E72" s="73" t="s">
        <v>409</v>
      </c>
      <c r="F72" s="360">
        <f>'数据-取费表'!B41</f>
        <v>5.5000000000000007E-2</v>
      </c>
      <c r="G72" s="361"/>
      <c r="H72" s="1293"/>
      <c r="I72" s="1287"/>
      <c r="J72" s="2019"/>
      <c r="K72" s="1960">
        <v>1</v>
      </c>
      <c r="L72" s="3319" t="s">
        <v>406</v>
      </c>
      <c r="M72" s="3319"/>
      <c r="N72" s="1291">
        <f ca="1">D66</f>
        <v>1521</v>
      </c>
      <c r="O72" s="1843" t="str">
        <f>E66</f>
        <v>销售额×税（费）率</v>
      </c>
      <c r="P72" s="1292">
        <f>F66</f>
        <v>5.5000000000000007E-2</v>
      </c>
      <c r="Q72" s="2012"/>
      <c r="R72" s="2012"/>
      <c r="S72" s="2012"/>
      <c r="T72" s="2012"/>
      <c r="U72" s="2012"/>
      <c r="V72" s="2012"/>
    </row>
    <row r="73" spans="1:22" ht="24" customHeight="1">
      <c r="A73" s="3313" t="s">
        <v>411</v>
      </c>
      <c r="B73" s="3281"/>
      <c r="C73" s="3281"/>
      <c r="D73" s="362">
        <f>IF(H73="个人住宅",0,ROUND(D63*I73,0))</f>
        <v>0</v>
      </c>
      <c r="E73" s="17" t="s">
        <v>412</v>
      </c>
      <c r="F73" s="360" t="str">
        <f>IF(H73="正常",I73,"免征")</f>
        <v>免征</v>
      </c>
      <c r="G73" s="361"/>
      <c r="H73" s="191" t="s">
        <v>2451</v>
      </c>
      <c r="I73" s="360">
        <f>'数据-取费表'!B49</f>
        <v>5.0000000000000001E-4</v>
      </c>
      <c r="J73" s="2019"/>
      <c r="K73" s="1960">
        <v>2</v>
      </c>
      <c r="L73" s="3319" t="s">
        <v>410</v>
      </c>
      <c r="M73" s="3319"/>
      <c r="N73" s="1291">
        <f t="shared" ref="N73:P74" si="1">D73</f>
        <v>0</v>
      </c>
      <c r="O73" s="1843" t="str">
        <f t="shared" si="1"/>
        <v>销售额×税（费）率</v>
      </c>
      <c r="P73" s="1292" t="str">
        <f t="shared" si="1"/>
        <v>免征</v>
      </c>
      <c r="Q73" s="2012"/>
      <c r="R73" s="2012"/>
      <c r="S73" s="2012"/>
      <c r="T73" s="2012"/>
      <c r="U73" s="2012"/>
      <c r="V73" s="2012"/>
    </row>
    <row r="74" spans="1:22" ht="25.2">
      <c r="A74" s="3313" t="s">
        <v>415</v>
      </c>
      <c r="B74" s="3281"/>
      <c r="C74" s="3281"/>
      <c r="D74" s="362">
        <f ca="1">IF(H74="个人住宅",D75,D76)</f>
        <v>15803</v>
      </c>
      <c r="E74" s="17" t="s">
        <v>416</v>
      </c>
      <c r="F74" s="360" t="str">
        <f>IF(H74="正常",F76,"免征")</f>
        <v>——</v>
      </c>
      <c r="G74" s="982" t="s">
        <v>417</v>
      </c>
      <c r="H74" s="363" t="s">
        <v>413</v>
      </c>
      <c r="I74" s="42"/>
      <c r="J74" s="2019"/>
      <c r="K74" s="1960">
        <v>3</v>
      </c>
      <c r="L74" s="3319" t="s">
        <v>414</v>
      </c>
      <c r="M74" s="3319"/>
      <c r="N74" s="1291">
        <f t="shared" ca="1" si="1"/>
        <v>15803</v>
      </c>
      <c r="O74" s="1843" t="str">
        <f t="shared" si="1"/>
        <v>增值额×税（费）率</v>
      </c>
      <c r="P74" s="1294" t="str">
        <f t="shared" si="1"/>
        <v>——</v>
      </c>
      <c r="Q74" s="2012"/>
      <c r="R74" s="2012"/>
      <c r="S74" s="2012"/>
      <c r="T74" s="2012"/>
      <c r="U74" s="2012"/>
      <c r="V74" s="2012"/>
    </row>
    <row r="75" spans="1:22" ht="24">
      <c r="A75" s="359" t="s">
        <v>418</v>
      </c>
      <c r="B75" s="3269" t="s">
        <v>419</v>
      </c>
      <c r="C75" s="3299"/>
      <c r="D75" s="364">
        <v>0</v>
      </c>
      <c r="E75" s="41" t="s">
        <v>420</v>
      </c>
      <c r="F75" s="365"/>
      <c r="G75" s="361"/>
      <c r="H75" s="42"/>
      <c r="I75" s="42"/>
      <c r="J75" s="2019"/>
      <c r="K75" s="3004">
        <f>IF(H77="非个人房产","",4)</f>
        <v>4</v>
      </c>
      <c r="L75" s="3319" t="str">
        <f>IF(H77="非个人房产","——","个人所得税")</f>
        <v>个人所得税</v>
      </c>
      <c r="M75" s="3319"/>
      <c r="N75" s="1295">
        <f ca="1">D77</f>
        <v>290</v>
      </c>
      <c r="O75" s="1856" t="str">
        <f>E77</f>
        <v>销售额×税（费）率</v>
      </c>
      <c r="P75" s="1296">
        <f>F77</f>
        <v>0.01</v>
      </c>
      <c r="Q75" s="2012"/>
      <c r="R75" s="2012"/>
      <c r="S75" s="2012"/>
      <c r="T75" s="2012"/>
      <c r="U75" s="2012"/>
      <c r="V75" s="2012"/>
    </row>
    <row r="76" spans="1:22" ht="25.2">
      <c r="A76" s="359" t="s">
        <v>396</v>
      </c>
      <c r="B76" s="3269" t="s">
        <v>422</v>
      </c>
      <c r="C76" s="3270"/>
      <c r="D76" s="362">
        <f ca="1">IF(H76="转让取得",C99,C115)</f>
        <v>15803</v>
      </c>
      <c r="E76" s="17" t="s">
        <v>423</v>
      </c>
      <c r="F76" s="53" t="s">
        <v>21</v>
      </c>
      <c r="G76" s="361"/>
      <c r="H76" s="363" t="s">
        <v>424</v>
      </c>
      <c r="I76" s="42"/>
      <c r="J76" s="2019"/>
      <c r="K76" s="3004" t="str">
        <f>IF(项目基本情况!K6="上海银行",IF(K75="",4,K75+1),"")</f>
        <v/>
      </c>
      <c r="L76" s="3330" t="str">
        <f>IF(项目基本情况!K6="上海银行","其他处置费用","")</f>
        <v/>
      </c>
      <c r="M76" s="3331"/>
      <c r="N76" s="1291" t="str">
        <f>IF(项目基本情况!K6="上海银行",N89,"")</f>
        <v/>
      </c>
      <c r="O76" s="3332" t="str">
        <f>IF(项目基本情况!K6="上海银行","包含处置中涉及的律师、诉讼、拍卖、评估等费用","")</f>
        <v/>
      </c>
      <c r="P76" s="3333"/>
      <c r="Q76" s="2012"/>
      <c r="R76" s="2012"/>
      <c r="S76" s="2012"/>
      <c r="T76" s="2012"/>
      <c r="U76" s="2012"/>
      <c r="V76" s="2012"/>
    </row>
    <row r="77" spans="1:22" ht="27" thickBot="1">
      <c r="A77" s="3321" t="s">
        <v>426</v>
      </c>
      <c r="B77" s="3322"/>
      <c r="C77" s="3322"/>
      <c r="D77" s="366">
        <f ca="1">IF(H77="非个人房产","——",IF(H77="个人住宅",0,ROUND(D63*I77,0)))</f>
        <v>290</v>
      </c>
      <c r="E77" s="367" t="str">
        <f>IF(H77="非个人房产","——","销售额×税（费）率")</f>
        <v>销售额×税（费）率</v>
      </c>
      <c r="F77" s="368">
        <f>IF(H77="非个人房产","——",IF(H77="个人住宅","免征",I77))</f>
        <v>0.01</v>
      </c>
      <c r="G77" s="983" t="s">
        <v>417</v>
      </c>
      <c r="H77" s="363" t="s">
        <v>2879</v>
      </c>
      <c r="I77" s="369">
        <v>0.01</v>
      </c>
      <c r="J77" s="2019"/>
      <c r="K77" s="3320">
        <f>IF(AND(K75="",K76=""),4,IF(项目基本情况!K6="上海银行",K76+1,K75+1))</f>
        <v>5</v>
      </c>
      <c r="L77" s="3319" t="s">
        <v>2880</v>
      </c>
      <c r="M77" s="3010" t="s">
        <v>421</v>
      </c>
      <c r="N77" s="1297"/>
      <c r="O77" s="1298">
        <f ca="1">SUMIF(N72:N76,"&lt;9e307")</f>
        <v>17614</v>
      </c>
      <c r="P77" s="1299"/>
      <c r="Q77" s="3008">
        <f ca="1">O77/N69</f>
        <v>0.36402339471345607</v>
      </c>
      <c r="R77" s="2012"/>
      <c r="S77" s="2012"/>
      <c r="T77" s="2012"/>
      <c r="U77" s="2012"/>
      <c r="V77" s="2012"/>
    </row>
    <row r="78" spans="1:22" ht="12" customHeight="1">
      <c r="A78" s="1300"/>
      <c r="B78" s="311"/>
      <c r="C78" s="311"/>
      <c r="D78" s="311"/>
      <c r="E78" s="42"/>
      <c r="F78" s="42"/>
      <c r="G78" s="42"/>
      <c r="H78" s="1002"/>
      <c r="I78" s="311"/>
      <c r="J78" s="2019"/>
      <c r="K78" s="3320"/>
      <c r="L78" s="3319"/>
      <c r="M78" s="3010" t="s">
        <v>425</v>
      </c>
      <c r="N78" s="1297"/>
      <c r="O78" s="1298" t="str">
        <f ca="1">NUMBERSTRING(INT(O77*10000),2)&amp;"元整"</f>
        <v>壹亿柒仟陆佰壹拾肆万元整</v>
      </c>
      <c r="P78" s="1299"/>
      <c r="Q78" s="2012"/>
      <c r="R78" s="2012"/>
      <c r="S78" s="2012"/>
      <c r="T78" s="2012"/>
      <c r="U78" s="2012"/>
      <c r="V78" s="2012"/>
    </row>
    <row r="79" spans="1:22" ht="13.8" thickBot="1">
      <c r="A79" s="3314" t="s">
        <v>427</v>
      </c>
      <c r="B79" s="3314"/>
      <c r="C79" s="3314"/>
      <c r="D79" s="3314"/>
      <c r="E79" s="3314"/>
      <c r="F79" s="42"/>
      <c r="G79" s="42"/>
      <c r="H79" s="1002"/>
      <c r="I79" s="311"/>
      <c r="J79" s="2019"/>
      <c r="K79" s="3340">
        <f>K77+1</f>
        <v>6</v>
      </c>
      <c r="L79" s="3319" t="s">
        <v>2881</v>
      </c>
      <c r="M79" s="3010" t="s">
        <v>421</v>
      </c>
      <c r="N79" s="1297"/>
      <c r="O79" s="1298">
        <f ca="1">N69-O77</f>
        <v>30773</v>
      </c>
      <c r="P79" s="1299"/>
      <c r="Q79" s="2012"/>
      <c r="R79" s="2012"/>
      <c r="S79" s="2012"/>
      <c r="T79" s="2012"/>
      <c r="U79" s="2012"/>
      <c r="V79" s="2012"/>
    </row>
    <row r="80" spans="1:22" ht="13.2">
      <c r="A80" s="3309" t="s">
        <v>428</v>
      </c>
      <c r="B80" s="3310"/>
      <c r="C80" s="993"/>
      <c r="D80" s="993" t="s">
        <v>429</v>
      </c>
      <c r="E80" s="370" t="s">
        <v>430</v>
      </c>
      <c r="F80" s="42"/>
      <c r="G80" s="42"/>
      <c r="H80" s="1002"/>
      <c r="I80" s="311"/>
      <c r="J80" s="2012"/>
      <c r="K80" s="3341"/>
      <c r="L80" s="3319"/>
      <c r="M80" s="3010" t="s">
        <v>425</v>
      </c>
      <c r="N80" s="1297"/>
      <c r="O80" s="1298" t="str">
        <f ca="1">NUMBERSTRING(INT(O79*10000),2)&amp;"元整"</f>
        <v>叁亿零柒佰柒拾叁万元整</v>
      </c>
      <c r="P80" s="1299"/>
      <c r="Q80" s="2012"/>
      <c r="R80" s="2012"/>
      <c r="S80" s="2012"/>
      <c r="T80" s="2012"/>
      <c r="U80" s="2012"/>
      <c r="V80" s="2012"/>
    </row>
    <row r="81" spans="1:26" ht="13.8" thickBot="1">
      <c r="A81" s="381" t="s">
        <v>1823</v>
      </c>
      <c r="B81" s="371" t="s">
        <v>431</v>
      </c>
      <c r="C81" s="372">
        <f ca="1">ROUND((C82+C83)/(1+'数据-取费表'!C42),0)</f>
        <v>27650</v>
      </c>
      <c r="D81" s="373"/>
      <c r="E81" s="374"/>
      <c r="F81" s="42"/>
      <c r="G81" s="42"/>
      <c r="H81" s="1002"/>
      <c r="I81" s="311"/>
      <c r="J81" s="2012"/>
      <c r="K81" s="3004">
        <f>K79+1</f>
        <v>7</v>
      </c>
      <c r="L81" s="3317" t="s">
        <v>2882</v>
      </c>
      <c r="M81" s="3318"/>
      <c r="N81" s="1301"/>
      <c r="O81" s="1302">
        <f ca="1">ROUND(O79*10000/'数据-汇总表'!E3,0)</f>
        <v>2521</v>
      </c>
      <c r="P81" s="1303"/>
      <c r="Q81" s="2012"/>
      <c r="R81" s="2012"/>
      <c r="S81" s="2012"/>
      <c r="T81" s="2012"/>
      <c r="U81" s="2012"/>
      <c r="V81" s="2012"/>
    </row>
    <row r="82" spans="1:26" ht="13.8" thickTop="1">
      <c r="A82" s="375" t="s">
        <v>1824</v>
      </c>
      <c r="B82" s="376" t="s">
        <v>432</v>
      </c>
      <c r="C82" s="377">
        <f ca="1">D63</f>
        <v>29032</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29" t="s">
        <v>2869</v>
      </c>
      <c r="L83" s="3016" t="s">
        <v>2870</v>
      </c>
      <c r="M83" s="3006">
        <f ca="1">IF(N69&gt;10000,N69*0.5%,IF(AND(N69&gt;1000,N69&lt;=10000),N69*1%,IF(AND(N69&gt;100,N69&lt;=1000),N69*3%,IF(AND(N69&gt;10,N69&lt;=100),N69*5%,N69*8%))))</f>
        <v>241.935</v>
      </c>
      <c r="N83" s="53">
        <f ca="1">ROUND(M83,1)</f>
        <v>241.9</v>
      </c>
      <c r="O83" s="3009"/>
      <c r="P83" s="2012"/>
      <c r="Q83" s="2012"/>
      <c r="R83" s="2012"/>
      <c r="S83" s="2012"/>
      <c r="T83" s="2012"/>
      <c r="U83" s="2012"/>
      <c r="V83" s="2012"/>
    </row>
    <row r="84" spans="1:26" ht="25.2">
      <c r="A84" s="381" t="s">
        <v>1826</v>
      </c>
      <c r="B84" s="382" t="s">
        <v>434</v>
      </c>
      <c r="C84" s="383">
        <v>2000</v>
      </c>
      <c r="D84" s="384" t="s">
        <v>19</v>
      </c>
      <c r="E84" s="3051" t="s">
        <v>2937</v>
      </c>
      <c r="F84" s="42"/>
      <c r="G84" s="42"/>
      <c r="H84" s="1002"/>
      <c r="I84" s="311"/>
      <c r="J84" s="2012"/>
      <c r="K84" s="3329"/>
      <c r="L84" s="3016" t="s">
        <v>2871</v>
      </c>
      <c r="M84" s="3006">
        <f ca="1">IF(N69&gt;2000,N69*0.5%,IF(AND(N69&gt;1000,N69&lt;=2000),N69*0.6%,IF(AND(N69&gt;500,N69&lt;=1000),N69*0.7%,IF(AND(N69&gt;200,N69&lt;=500),N69*0.8%,IF(AND(N69&gt;100,N69&lt;=200),N69*0.9%,IF(AND(N69&gt;50,N69&lt;=100),N69*1%,IF(AND(N69&gt;20,N69&lt;=50),N69*1.5%,IF(AND(N69&gt;10,N69&lt;=20),N69*2%,IF(AND(N69&gt;1,N69&lt;=10),N69*2.5%)))))))))</f>
        <v>241.935</v>
      </c>
      <c r="N84" s="53">
        <f t="shared" ref="N84:N85" ca="1" si="2">ROUND(M84,1)</f>
        <v>241.9</v>
      </c>
      <c r="O84" s="2012" t="s">
        <v>2872</v>
      </c>
      <c r="P84" s="2012"/>
      <c r="Q84" s="2012"/>
      <c r="R84" s="2012"/>
      <c r="S84" s="2012"/>
      <c r="T84" s="2012"/>
      <c r="U84" s="2012"/>
      <c r="V84" s="2012"/>
    </row>
    <row r="85" spans="1:26" ht="13.2">
      <c r="A85" s="381" t="s">
        <v>1827</v>
      </c>
      <c r="B85" s="382" t="s">
        <v>435</v>
      </c>
      <c r="C85" s="385">
        <f ca="1">C81-C84</f>
        <v>25650</v>
      </c>
      <c r="D85" s="378" t="s">
        <v>19</v>
      </c>
      <c r="E85" s="379"/>
      <c r="F85" s="42"/>
      <c r="G85" s="42"/>
      <c r="H85" s="1002"/>
      <c r="I85" s="311"/>
      <c r="J85" s="2012"/>
      <c r="K85" s="3329"/>
      <c r="L85" s="3016" t="s">
        <v>2873</v>
      </c>
      <c r="M85" s="3006">
        <f ca="1">IF(N69&gt;1000,N69*0.1%,IF(AND(N69&gt;500,N69&lt;=1000),N69*0.5%,IF(AND(N69&gt;50,N69&lt;=500),N69*1%,IF(AND(N69&gt;1,N69&lt;=50),N69*1.5%))))</f>
        <v>48.387</v>
      </c>
      <c r="N85" s="53">
        <f t="shared" ca="1" si="2"/>
        <v>48.4</v>
      </c>
      <c r="O85" s="2012" t="s">
        <v>2872</v>
      </c>
      <c r="P85" s="2012"/>
      <c r="Q85" s="2012"/>
      <c r="R85" s="2012"/>
      <c r="S85" s="2012"/>
      <c r="T85" s="2012"/>
      <c r="U85" s="2012"/>
      <c r="V85" s="2012"/>
    </row>
    <row r="86" spans="1:26" ht="13.8" thickBot="1">
      <c r="A86" s="386" t="s">
        <v>1828</v>
      </c>
      <c r="B86" s="387" t="s">
        <v>436</v>
      </c>
      <c r="C86" s="388">
        <f ca="1">IF(C85&lt;=0,0,ROUND(C85*D86,0))</f>
        <v>1411</v>
      </c>
      <c r="D86" s="389">
        <f>'数据-取费表'!B41</f>
        <v>5.5000000000000007E-2</v>
      </c>
      <c r="E86" s="390"/>
      <c r="F86" s="42"/>
      <c r="G86" s="42"/>
      <c r="H86" s="1002"/>
      <c r="I86" s="311"/>
      <c r="J86" s="2012"/>
      <c r="K86" s="3329"/>
      <c r="L86" s="3016" t="s">
        <v>2874</v>
      </c>
      <c r="M86" s="3006">
        <f ca="1">N69*0.5%</f>
        <v>241.935</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29"/>
      <c r="L87" s="3016" t="s">
        <v>2876</v>
      </c>
      <c r="M87" s="3006">
        <f ca="1">IF(N69&gt;=10000,(8.25+(N69-10000)*0.01%),IF(AND(N69&gt;=8000,N69&lt;10000),(7.85+(N69-8000)*0.02%),IF(AND(N69&gt;=5000,N69&lt;8000),(6.65+(N69-5000)*0.04%),IF(AND(N69&gt;=2000,N69&lt;5000),(4.25+(PN69-2000)*0.08%),IF(AND(N69&gt;=1000,N69&lt;2000),(2.75+(N69-1000)*0.15%),IF(AND(N69&gt;=100,N69&lt;1000),(0.5+(N69-100)*0.25%),IF(AND(N69&gt;0,N69&lt;100),N69*0.5%)))))))</f>
        <v>12.088699999999999</v>
      </c>
      <c r="N87" s="53">
        <f ca="1">ROUND(M87*0.9,1)</f>
        <v>10.9</v>
      </c>
      <c r="O87" s="3009"/>
      <c r="P87" s="311"/>
      <c r="Q87" s="2012"/>
      <c r="R87" s="2012"/>
      <c r="S87" s="2012"/>
      <c r="T87" s="2012"/>
      <c r="U87" s="2012"/>
      <c r="V87" s="2012"/>
      <c r="W87" s="292"/>
      <c r="X87" s="292"/>
      <c r="Y87" s="292"/>
      <c r="Z87" s="292"/>
    </row>
    <row r="88" spans="1:26" s="1309" customFormat="1" ht="14.4" thickBot="1">
      <c r="A88" s="3311" t="s">
        <v>437</v>
      </c>
      <c r="B88" s="3312"/>
      <c r="C88" s="3312"/>
      <c r="D88" s="3312"/>
      <c r="E88" s="3312"/>
      <c r="F88" s="3312"/>
      <c r="G88" s="3312"/>
      <c r="H88" s="3312"/>
      <c r="I88" s="1310"/>
      <c r="J88" s="2020"/>
      <c r="K88" s="3329"/>
      <c r="L88" s="3016" t="s">
        <v>2877</v>
      </c>
      <c r="M88" s="3006">
        <f ca="1">IF(N69&gt;10000,N69*0.5%,IF(AND(N69&gt;5000,N69&lt;=10000),N69*1%,IF(AND(N69&gt;1000,N69&lt;=5000),N69*2%,IF(AND(N69&gt;200,N69&lt;=1000),N69*3%,N69*5%))))</f>
        <v>241.935</v>
      </c>
      <c r="N88" s="53">
        <f ca="1">ROUND(M88,1)</f>
        <v>241.9</v>
      </c>
      <c r="O88" s="3009"/>
      <c r="P88" s="11"/>
      <c r="Q88" s="2017"/>
      <c r="R88" s="2017"/>
      <c r="S88" s="2017"/>
      <c r="T88" s="2017"/>
      <c r="U88" s="2017"/>
      <c r="V88" s="2017"/>
      <c r="W88" s="2021"/>
      <c r="X88" s="2021"/>
      <c r="Y88" s="2021"/>
      <c r="Z88" s="2021"/>
    </row>
    <row r="89" spans="1:26" s="1309" customFormat="1" ht="13.8">
      <c r="A89" s="3309" t="s">
        <v>428</v>
      </c>
      <c r="B89" s="3310"/>
      <c r="C89" s="993"/>
      <c r="D89" s="993" t="s">
        <v>429</v>
      </c>
      <c r="E89" s="391" t="s">
        <v>438</v>
      </c>
      <c r="F89" s="392"/>
      <c r="G89" s="392"/>
      <c r="H89" s="393"/>
      <c r="I89" s="1311"/>
      <c r="J89" s="2022"/>
      <c r="K89" s="3329"/>
      <c r="L89" s="3016" t="s">
        <v>27</v>
      </c>
      <c r="M89" s="3007"/>
      <c r="N89" s="53">
        <f ca="1">ROUND(SUM(N83:N88),0)</f>
        <v>786</v>
      </c>
      <c r="O89" s="3017">
        <f ca="1">N89/N69</f>
        <v>1.6244032488064976E-2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27650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2699</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72" t="s">
        <v>447</v>
      </c>
      <c r="F94" s="3271"/>
      <c r="G94" s="3271"/>
      <c r="H94" s="330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138</v>
      </c>
      <c r="D96" s="406">
        <f>'数据-取费表'!B43</f>
        <v>5.000000000000001E-3</v>
      </c>
      <c r="E96" s="3300" t="s">
        <v>2424</v>
      </c>
      <c r="F96" s="3301"/>
      <c r="G96" s="3301"/>
      <c r="H96" s="330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1835</v>
      </c>
      <c r="B97" s="382" t="s">
        <v>451</v>
      </c>
      <c r="C97" s="385">
        <f ca="1">C90-C91</f>
        <v>24951</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1836</v>
      </c>
      <c r="B98" s="382" t="s">
        <v>452</v>
      </c>
      <c r="C98" s="407">
        <f ca="1">IF(C97&lt;=0,0,C97/C91)</f>
        <v>9.2445350129677664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1837</v>
      </c>
      <c r="B99" s="387" t="s">
        <v>453</v>
      </c>
      <c r="C99" s="408">
        <f ca="1">ROUND(IF(C97&lt;=0,0,IF(C98&gt;=200%,C97*60%-C91*35%,IF(C98&gt;=100%,C97*50%-C91*15%,IF(C98&gt;=50%,C97*40%-C91*5%,IF(C98&lt;50%,C97*30%,0))))),0)</f>
        <v>14026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11" t="s">
        <v>454</v>
      </c>
      <c r="B101" s="3312"/>
      <c r="C101" s="3312"/>
      <c r="D101" s="3312"/>
      <c r="E101" s="3312"/>
      <c r="F101" s="3312"/>
      <c r="G101" s="3312"/>
      <c r="H101" s="3312"/>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9" t="s">
        <v>428</v>
      </c>
      <c r="B102" s="3310"/>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27650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828</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1838</v>
      </c>
      <c r="B109" s="376" t="s">
        <v>461</v>
      </c>
      <c r="C109" s="405">
        <f>IF(H109="——",IF(F1="现房",'剩余法-现房'!C18,'剩余法-待开发'!C18),I109)</f>
        <v>55</v>
      </c>
      <c r="D109" s="406"/>
      <c r="E109" s="3303" t="s">
        <v>462</v>
      </c>
      <c r="F109" s="3301"/>
      <c r="G109" s="3301"/>
      <c r="H109" s="1925" t="s">
        <v>2275</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1839</v>
      </c>
      <c r="B110" s="376" t="s">
        <v>463</v>
      </c>
      <c r="C110" s="405">
        <f>ROUND((C105+C108+C109)*D110,0)</f>
        <v>63</v>
      </c>
      <c r="D110" s="406">
        <v>0.1</v>
      </c>
      <c r="E110" s="3303" t="s">
        <v>464</v>
      </c>
      <c r="F110" s="3301"/>
      <c r="G110" s="3301"/>
      <c r="H110" s="330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1840</v>
      </c>
      <c r="B111" s="376" t="s">
        <v>450</v>
      </c>
      <c r="C111" s="405">
        <f ca="1">ROUND(D63*D111/(1+'数据-取费表'!C42),0)</f>
        <v>138</v>
      </c>
      <c r="D111" s="406">
        <f>'数据-取费表'!B43</f>
        <v>5.000000000000001E-3</v>
      </c>
      <c r="E111" s="3300" t="s">
        <v>2424</v>
      </c>
      <c r="F111" s="3301"/>
      <c r="G111" s="3301"/>
      <c r="H111" s="330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1841</v>
      </c>
      <c r="B112" s="376" t="s">
        <v>465</v>
      </c>
      <c r="C112" s="405">
        <f>ROUND(C108*D112,0)</f>
        <v>0</v>
      </c>
      <c r="D112" s="406">
        <v>0.2</v>
      </c>
      <c r="E112" s="3303" t="s">
        <v>2449</v>
      </c>
      <c r="F112" s="3301"/>
      <c r="G112" s="3301"/>
      <c r="H112" s="330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1835</v>
      </c>
      <c r="B113" s="382" t="s">
        <v>451</v>
      </c>
      <c r="C113" s="385">
        <f ca="1">ROUND(C103-C104,0)</f>
        <v>26822</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1836</v>
      </c>
      <c r="B114" s="382" t="s">
        <v>452</v>
      </c>
      <c r="C114" s="407">
        <f ca="1">IF(C113&lt;=0,0,C113/C104)</f>
        <v>32.393719806763286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1837</v>
      </c>
      <c r="B115" s="387" t="s">
        <v>453</v>
      </c>
      <c r="C115" s="408">
        <f ca="1">ROUND(IF(C113&lt;=0,0,IF(C114&gt;=200%,C113*60%-C104*35%,IF(C114&gt;=100%,C113*50%-C104*15%,IF(C114&gt;=50%,C113*40%-C104*5%,IF(C114&lt;50%,C113*30%,0))))),0)</f>
        <v>15803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G20" sqref="G2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57002</v>
      </c>
      <c r="C2" s="2088"/>
      <c r="D2" s="2088"/>
      <c r="E2" s="2088"/>
      <c r="F2" s="2088"/>
      <c r="G2" s="2088"/>
      <c r="H2" s="2088"/>
      <c r="I2" s="2088"/>
      <c r="J2" s="2088"/>
      <c r="K2" s="2088"/>
    </row>
    <row r="3" spans="1:31" s="2025" customFormat="1" ht="18" customHeight="1">
      <c r="A3" s="2090" t="s">
        <v>1684</v>
      </c>
      <c r="B3" s="2091">
        <f ca="1">ROUND(B2*10000/IF(B1="",'数据-汇总表'!E3,INDIRECT("'数据-取费表'!K"&amp;$K$1)),0)</f>
        <v>4669</v>
      </c>
      <c r="C3" s="2088"/>
      <c r="D3" s="2088"/>
      <c r="E3" s="2088"/>
      <c r="F3" s="2088"/>
      <c r="G3" s="2088"/>
      <c r="H3" s="2088"/>
      <c r="I3" s="2088"/>
      <c r="J3" s="2088"/>
      <c r="K3" s="2088"/>
    </row>
    <row r="4" spans="1:31" s="2025" customFormat="1" ht="18" customHeight="1">
      <c r="A4" s="426" t="s">
        <v>468</v>
      </c>
      <c r="B4" s="427">
        <f ca="1">ROUND(B2*10000/IF(B1="",'数据-汇总表'!D3,INDIRECT("'数据-取费表'!R"&amp;$K$1)),0)</f>
        <v>45009</v>
      </c>
      <c r="C4" s="428"/>
      <c r="D4" s="422"/>
      <c r="E4" s="422"/>
      <c r="F4" s="422"/>
      <c r="G4" s="422"/>
      <c r="H4" s="422"/>
      <c r="I4" s="422"/>
      <c r="J4" s="422"/>
      <c r="K4" s="422"/>
    </row>
    <row r="5" spans="1:31" s="2025" customFormat="1" ht="18" customHeight="1" thickBot="1">
      <c r="A5" s="429"/>
      <c r="B5" s="430">
        <f ca="1">ROUND(B2/(IF(B1="",'数据-汇总表'!D3,INDIRECT("'数据-取费表'!R"&amp;$K$1))/666.67),0)</f>
        <v>3001</v>
      </c>
      <c r="C5" s="431" t="s">
        <v>469</v>
      </c>
      <c r="D5" s="422"/>
      <c r="E5" s="422"/>
      <c r="F5" s="422"/>
      <c r="G5" s="422"/>
      <c r="H5" s="422"/>
      <c r="I5" s="422"/>
      <c r="J5" s="422"/>
      <c r="K5" s="422"/>
    </row>
    <row r="6" spans="1:31" s="2095" customFormat="1" ht="16.5" customHeight="1">
      <c r="A6" s="2782" t="s">
        <v>1842</v>
      </c>
      <c r="B6" s="2783"/>
      <c r="C6" s="2784">
        <f ca="1">SUM(C10:K10)</f>
        <v>130728</v>
      </c>
      <c r="D6" s="2783"/>
      <c r="E6" s="2783"/>
      <c r="F6" s="2783"/>
      <c r="G6" s="2783"/>
      <c r="H6" s="2783"/>
      <c r="I6" s="2783"/>
      <c r="J6" s="2783"/>
      <c r="K6" s="2785"/>
    </row>
    <row r="7" spans="1:31" s="2097" customFormat="1" ht="14.4">
      <c r="A7" s="2786" t="s">
        <v>470</v>
      </c>
      <c r="B7" s="2787" t="s">
        <v>471</v>
      </c>
      <c r="C7" s="436" t="s">
        <v>923</v>
      </c>
      <c r="D7" s="436" t="s">
        <v>2996</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13589</v>
      </c>
      <c r="D8" s="2788">
        <f ca="1">不动产收益法!B3</f>
        <v>13173</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93780.23</v>
      </c>
      <c r="D9" s="441">
        <f>SUMIF('数据-汇总表'!$C19:$C33,'剩余法-待开发'!D7,'数据-汇总表'!$E19:$E33)</f>
        <v>2497.5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127438</v>
      </c>
      <c r="D10" s="2980">
        <f ca="1">不动产收益法!B2</f>
        <v>3290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36231</v>
      </c>
      <c r="D13" s="2798"/>
      <c r="E13" s="2799"/>
      <c r="F13" s="2800"/>
      <c r="G13" s="2766"/>
      <c r="H13" s="2767"/>
      <c r="I13" s="2767"/>
      <c r="J13" s="2767"/>
      <c r="K13" s="2768"/>
    </row>
    <row r="14" spans="1:31" s="2100" customFormat="1" ht="13.5" customHeight="1">
      <c r="A14" s="2796" t="s">
        <v>1849</v>
      </c>
      <c r="B14" s="2797" t="s">
        <v>480</v>
      </c>
      <c r="C14" s="53">
        <f ca="1">ROUND(C13*F14,0)</f>
        <v>1449</v>
      </c>
      <c r="D14" s="2798"/>
      <c r="E14" s="2799"/>
      <c r="F14" s="2801">
        <f>'数据-取费表'!B33</f>
        <v>0.04</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1407</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2442</v>
      </c>
      <c r="D16" s="2798">
        <f ca="1">IF(B1="",'数据-汇总表'!E3,INDIRECT("'数据-取费表'!K"&amp;$K$1)+INDIRECT("'数据-取费表'!S"&amp;$K$1))</f>
        <v>122082.72</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543</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42072</v>
      </c>
      <c r="D18" s="2807"/>
      <c r="E18" s="468"/>
      <c r="F18" s="468"/>
      <c r="G18" s="2770" t="s">
        <v>2426</v>
      </c>
      <c r="H18" s="2771"/>
      <c r="I18" s="2771"/>
      <c r="J18" s="2771"/>
      <c r="K18" s="2772"/>
    </row>
    <row r="19" spans="1:14" s="2100" customFormat="1" ht="13.5" customHeight="1">
      <c r="A19" s="2804" t="s">
        <v>1854</v>
      </c>
      <c r="B19" s="2805" t="s">
        <v>488</v>
      </c>
      <c r="C19" s="2762">
        <f ca="1">ROUND(D19*E19/10000,0)</f>
        <v>0</v>
      </c>
      <c r="D19" s="2808">
        <f ca="1">D16</f>
        <v>122082.72</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1203</v>
      </c>
      <c r="D20" s="2808"/>
      <c r="E20" s="2762"/>
      <c r="F20" s="2809"/>
      <c r="G20" s="3039" t="s">
        <v>3054</v>
      </c>
      <c r="H20" s="2764"/>
      <c r="I20" s="2765" t="s">
        <v>2646</v>
      </c>
      <c r="J20" s="2771"/>
      <c r="K20" s="2772"/>
    </row>
    <row r="21" spans="1:14" s="2100" customFormat="1" ht="13.5" customHeight="1">
      <c r="A21" s="2796" t="s">
        <v>1856</v>
      </c>
      <c r="B21" s="2797" t="s">
        <v>491</v>
      </c>
      <c r="C21" s="53">
        <f ca="1">ROUND(D21*E21/10000,0)</f>
        <v>750</v>
      </c>
      <c r="D21" s="2798">
        <f ca="1">IF(B1="",'数据-汇总表'!E5,IF(INDIRECT("'数据-取费表'!c"&amp;$K$1)="住宅",INDIRECT("'数据-取费表'!k"&amp;$K$1),0))</f>
        <v>93780.23</v>
      </c>
      <c r="E21" s="53">
        <f>'数据-取费表'!B27</f>
        <v>80</v>
      </c>
      <c r="F21" s="2801"/>
      <c r="G21" s="26"/>
      <c r="H21" s="51"/>
      <c r="I21" s="51"/>
      <c r="J21" s="51"/>
      <c r="K21" s="2773"/>
    </row>
    <row r="22" spans="1:14" s="2100" customFormat="1" ht="13.5" customHeight="1">
      <c r="A22" s="2796" t="s">
        <v>1857</v>
      </c>
      <c r="B22" s="2797" t="s">
        <v>492</v>
      </c>
      <c r="C22" s="53">
        <f ca="1">ROUND(D22*E22/10000,0)</f>
        <v>453</v>
      </c>
      <c r="D22" s="2798">
        <f ca="1">IF(B1="",'数据-汇总表'!E6,IF(INDIRECT("'数据-取费表'!c"&amp;$K$1)="住宅",INDIRECT("'数据-取费表'!s"&amp;$K$1),INDIRECT("'数据-取费表'!k"&amp;$K$1)+INDIRECT("'数据-取费表'!s"&amp;$K$1)))</f>
        <v>28302.490000000005</v>
      </c>
      <c r="E22" s="53">
        <f>'数据-取费表'!B28</f>
        <v>160</v>
      </c>
      <c r="F22" s="2801"/>
      <c r="G22" s="26"/>
      <c r="H22" s="51"/>
      <c r="I22" s="51"/>
      <c r="J22" s="51"/>
      <c r="K22" s="2773"/>
    </row>
    <row r="23" spans="1:14" s="2100" customFormat="1" ht="13.5" customHeight="1">
      <c r="A23" s="2804" t="s">
        <v>1858</v>
      </c>
      <c r="B23" s="2986" t="s">
        <v>2829</v>
      </c>
      <c r="C23" s="2806">
        <f ca="1">ROUND((C18+C19+C20)*F23,0)</f>
        <v>866</v>
      </c>
      <c r="D23" s="468"/>
      <c r="E23" s="468"/>
      <c r="F23" s="2810">
        <f>'数据-取费表'!B37</f>
        <v>0.02</v>
      </c>
      <c r="G23" s="2766" t="s">
        <v>2427</v>
      </c>
      <c r="H23" s="2767"/>
      <c r="I23" s="2767"/>
      <c r="J23" s="2767"/>
      <c r="K23" s="2768"/>
      <c r="L23" s="2102"/>
      <c r="M23" s="2102"/>
      <c r="N23" s="2102"/>
    </row>
    <row r="24" spans="1:14" s="2100" customFormat="1" ht="13.5" customHeight="1">
      <c r="A24" s="2804" t="s">
        <v>1859</v>
      </c>
      <c r="B24" s="2986" t="s">
        <v>2832</v>
      </c>
      <c r="C24" s="2806">
        <f ca="1">ROUND(C6*F24,0)</f>
        <v>2615</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2830</v>
      </c>
      <c r="C25" s="467">
        <f>ROUND(F25/(1+'数据-取费表'!C42),4)</f>
        <v>2.9000000000000001E-2</v>
      </c>
      <c r="D25" s="462" t="s">
        <v>2824</v>
      </c>
      <c r="E25" s="469"/>
      <c r="F25" s="2810">
        <f>IF(项目基本情况!B8="出让",0,'数据-取费表'!B48+'数据-取费表'!B49)</f>
        <v>3.0499999999999999E-2</v>
      </c>
      <c r="G25" s="2774" t="s">
        <v>2285</v>
      </c>
      <c r="H25" s="2767"/>
      <c r="I25" s="2767"/>
      <c r="J25" s="2767"/>
      <c r="K25" s="2768"/>
    </row>
    <row r="26" spans="1:14" s="2102" customFormat="1" ht="13.5" customHeight="1">
      <c r="A26" s="2804" t="s">
        <v>1861</v>
      </c>
      <c r="B26" s="2987" t="s">
        <v>2831</v>
      </c>
      <c r="C26" s="2811">
        <f ca="1">C28</f>
        <v>2221</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2833</v>
      </c>
      <c r="C28" s="2814">
        <f ca="1">ROUND(IF('数据-取费表'!B22&lt;=1,(C18+C19+C20+C23+C24)*F26*'数据-取费表'!B24/2,(C18+C19+C20+C23+C24)*(POWER((1+F26),'数据-取费表'!B24/2)-1)),0)</f>
        <v>2221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6848</v>
      </c>
      <c r="D29" s="468"/>
      <c r="E29" s="468"/>
      <c r="F29" s="2988">
        <f>'数据-取费表'!B41</f>
        <v>5.5000000000000007E-2</v>
      </c>
      <c r="G29" s="2775" t="s">
        <v>498</v>
      </c>
      <c r="H29" s="2767"/>
      <c r="I29" s="2767"/>
      <c r="J29" s="2767"/>
      <c r="K29" s="2768"/>
    </row>
    <row r="30" spans="1:14" s="2105" customFormat="1" ht="13.5" customHeight="1">
      <c r="A30" s="1620" t="s">
        <v>1863</v>
      </c>
      <c r="B30" s="2816" t="s">
        <v>500</v>
      </c>
      <c r="C30" s="2811">
        <f ca="1">C31</f>
        <v>55825</v>
      </c>
      <c r="D30" s="477">
        <f ca="1">C32</f>
        <v>0.12909999999999999</v>
      </c>
      <c r="E30" s="469" t="s">
        <v>495</v>
      </c>
      <c r="F30" s="471"/>
      <c r="G30" s="2774" t="s">
        <v>2968</v>
      </c>
      <c r="H30" s="2767"/>
      <c r="I30" s="2767"/>
      <c r="J30" s="2767"/>
      <c r="K30" s="2768"/>
    </row>
    <row r="31" spans="1:14" s="2104" customFormat="1" ht="13.5" customHeight="1">
      <c r="A31" s="803" t="s">
        <v>1856</v>
      </c>
      <c r="B31" s="2812"/>
      <c r="C31" s="450">
        <f ca="1">C18+C19+C20+C23+C24+C26+C29</f>
        <v>55825</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5" t="s">
        <v>2828</v>
      </c>
      <c r="B33" s="2983" t="s">
        <v>2826</v>
      </c>
      <c r="C33" s="478">
        <f ca="1">C35</f>
        <v>4676</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0.10290000000000001</v>
      </c>
      <c r="D34" s="472"/>
      <c r="E34" s="473"/>
      <c r="F34" s="480"/>
      <c r="G34" s="261" t="s">
        <v>2286</v>
      </c>
      <c r="H34" s="2769"/>
      <c r="I34" s="2769"/>
      <c r="J34" s="2769"/>
      <c r="K34" s="279"/>
    </row>
    <row r="35" spans="1:11" s="2107" customFormat="1" ht="13.5" customHeight="1" thickBot="1">
      <c r="A35" s="1621" t="s">
        <v>1857</v>
      </c>
      <c r="B35" s="2984" t="s">
        <v>2834</v>
      </c>
      <c r="C35" s="1613">
        <f ca="1">ROUND((C18+C19+C20+C23+C24)*F33,0)</f>
        <v>4676</v>
      </c>
      <c r="D35" s="1614"/>
      <c r="E35" s="2818"/>
      <c r="F35" s="1615"/>
      <c r="G35" s="2776"/>
      <c r="H35" s="2777"/>
      <c r="I35" s="2777"/>
      <c r="J35" s="2777"/>
      <c r="K35" s="2778"/>
    </row>
    <row r="36" spans="1:11" s="2069" customFormat="1" ht="13.5" customHeight="1" thickBot="1">
      <c r="A36" s="284" t="s">
        <v>1844</v>
      </c>
      <c r="B36" s="2780"/>
      <c r="C36" s="2819">
        <f ca="1">ROUND((C6-C30-C33)/(1+D30+D33),0)</f>
        <v>57002</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1848</v>
      </c>
      <c r="B13" s="449" t="s">
        <v>479</v>
      </c>
      <c r="C13" s="450">
        <f ca="1">IF(B1="",'数据-取费表'!M16,INDIRECT("'数据-取费表'!M"&amp;$K$1)+INDIRECT("'数据-取费表'!t"&amp;$K$1))</f>
        <v>36231</v>
      </c>
      <c r="D13" s="451"/>
      <c r="E13" s="365"/>
      <c r="F13" s="452"/>
      <c r="G13" s="444"/>
      <c r="H13" s="447"/>
      <c r="I13" s="447"/>
      <c r="J13" s="447"/>
      <c r="K13" s="448"/>
    </row>
    <row r="14" spans="1:41" s="2100" customFormat="1" ht="13.5" customHeight="1">
      <c r="A14" s="1618" t="s">
        <v>1849</v>
      </c>
      <c r="B14" s="449" t="s">
        <v>480</v>
      </c>
      <c r="C14" s="53">
        <f ca="1">ROUND(C13*F14,0)</f>
        <v>1449</v>
      </c>
      <c r="D14" s="451"/>
      <c r="E14" s="365"/>
      <c r="F14" s="453">
        <f>'数据-取费表'!B33</f>
        <v>0.04</v>
      </c>
      <c r="G14" s="444" t="s">
        <v>502</v>
      </c>
      <c r="H14" s="447"/>
      <c r="I14" s="447"/>
      <c r="J14" s="447"/>
      <c r="K14" s="448"/>
    </row>
    <row r="15" spans="1:41" s="2100" customFormat="1" ht="13.5" customHeight="1">
      <c r="A15" s="1618" t="s">
        <v>1850</v>
      </c>
      <c r="B15" s="449" t="s">
        <v>482</v>
      </c>
      <c r="C15" s="53">
        <f ca="1">ROUND(IF(B1="",SUMIF('数据-取费表'!C:C,"住宅",'数据-取费表'!M:M)*F15,IF(INDIRECT("'数据-取费表'!c"&amp;$K$1)="住宅",INDIRECT("'数据-取费表'!M"&amp;$K$1)*F15,0)),0)</f>
        <v>1407</v>
      </c>
      <c r="D15" s="451"/>
      <c r="E15" s="365"/>
      <c r="F15" s="453">
        <f>'数据-取费表'!B34</f>
        <v>0.05</v>
      </c>
      <c r="G15" s="444" t="s">
        <v>502</v>
      </c>
      <c r="H15" s="447"/>
      <c r="I15" s="447"/>
      <c r="J15" s="447"/>
      <c r="K15" s="448"/>
    </row>
    <row r="16" spans="1:41" s="2101" customFormat="1" ht="13.5" customHeight="1">
      <c r="A16" s="1618" t="s">
        <v>1851</v>
      </c>
      <c r="B16" s="449" t="s">
        <v>484</v>
      </c>
      <c r="C16" s="53">
        <f ca="1">ROUND(D16*E16/10000,0)</f>
        <v>2442</v>
      </c>
      <c r="D16" s="451">
        <f ca="1">IF(B1="",'数据-汇总表'!E3,INDIRECT("'数据-取费表'!K"&amp;$K$1)+INDIRECT("'数据-取费表'!S"&amp;$K$1))</f>
        <v>122082.72</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49" t="s">
        <v>485</v>
      </c>
      <c r="C17" s="454">
        <f ca="1">ROUND(C13*F17,0)</f>
        <v>543</v>
      </c>
      <c r="D17" s="455"/>
      <c r="E17" s="454"/>
      <c r="F17" s="456">
        <f>'数据-取费表'!B36</f>
        <v>1.4999999999999999E-2</v>
      </c>
      <c r="G17" s="444" t="s">
        <v>502</v>
      </c>
      <c r="H17" s="457"/>
      <c r="I17" s="457"/>
      <c r="J17" s="457"/>
      <c r="K17" s="458"/>
    </row>
    <row r="18" spans="1:14" s="2103" customFormat="1" ht="13.5" customHeight="1">
      <c r="A18" s="1619" t="s">
        <v>1853</v>
      </c>
      <c r="B18" s="459" t="s">
        <v>487</v>
      </c>
      <c r="C18" s="460">
        <f ca="1">SUM(C13:C17)</f>
        <v>42072</v>
      </c>
      <c r="D18" s="461"/>
      <c r="E18" s="462"/>
      <c r="F18" s="462"/>
      <c r="G18" s="1322" t="s">
        <v>2428</v>
      </c>
      <c r="H18" s="447"/>
      <c r="I18" s="447"/>
      <c r="J18" s="447"/>
      <c r="K18" s="448"/>
    </row>
    <row r="19" spans="1:14" s="2103" customFormat="1" ht="13.5" customHeight="1">
      <c r="A19" s="1619" t="s">
        <v>1854</v>
      </c>
      <c r="B19" s="459" t="s">
        <v>493</v>
      </c>
      <c r="C19" s="460">
        <f ca="1">ROUND(C18*F19,0)</f>
        <v>841</v>
      </c>
      <c r="D19" s="462"/>
      <c r="E19" s="462"/>
      <c r="F19" s="466">
        <f>'数据-取费表'!B37</f>
        <v>0.02</v>
      </c>
      <c r="G19" s="444" t="s">
        <v>503</v>
      </c>
      <c r="H19" s="447"/>
      <c r="I19" s="447"/>
      <c r="J19" s="447"/>
      <c r="K19" s="448"/>
      <c r="L19" s="2105"/>
      <c r="M19" s="2105"/>
      <c r="N19" s="2105"/>
    </row>
    <row r="20" spans="1:14" s="2103" customFormat="1" ht="13.5" customHeight="1">
      <c r="A20" s="1619" t="s">
        <v>1855</v>
      </c>
      <c r="B20" s="459" t="s">
        <v>504</v>
      </c>
      <c r="C20" s="2981">
        <f>F20</f>
        <v>0.02</v>
      </c>
      <c r="D20" s="469" t="s">
        <v>505</v>
      </c>
      <c r="E20" s="469"/>
      <c r="F20" s="486">
        <f>'数据-取费表'!B38</f>
        <v>0.02</v>
      </c>
      <c r="G20" s="1322" t="s">
        <v>506</v>
      </c>
      <c r="H20" s="447"/>
      <c r="I20" s="447"/>
      <c r="J20" s="447"/>
      <c r="K20" s="448"/>
      <c r="L20" s="2105"/>
      <c r="M20" s="2105"/>
      <c r="N20" s="2105"/>
    </row>
    <row r="21" spans="1:14" s="2105" customFormat="1" ht="13.5" customHeight="1">
      <c r="A21" s="1619" t="s">
        <v>1858</v>
      </c>
      <c r="B21" s="461" t="s">
        <v>494</v>
      </c>
      <c r="C21" s="470">
        <f ca="1">C22</f>
        <v>2038</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1848</v>
      </c>
      <c r="B22" s="1323" t="s">
        <v>2431</v>
      </c>
      <c r="C22" s="487">
        <f ca="1">ROUND(IF('数据-取费表'!B22&lt;=1,(C18+C19)*F21*'数据-取费表'!B20/2,(C18+C19)*(POWER((1+F21),'数据-取费表'!B20/2)-1)),0)</f>
        <v>2038</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1859</v>
      </c>
      <c r="B24" s="2983" t="s">
        <v>2827</v>
      </c>
      <c r="C24" s="478">
        <f ca="1">C25</f>
        <v>4291</v>
      </c>
      <c r="D24" s="489">
        <f ca="1">C26</f>
        <v>2E-3</v>
      </c>
      <c r="E24" s="469" t="s">
        <v>507</v>
      </c>
      <c r="F24" s="479">
        <f ca="1">IF(B1="",'数据-取费表'!Q16,INDIRECT("'数据-取费表'!q"&amp;$K$1))</f>
        <v>0.1</v>
      </c>
      <c r="G24" s="444"/>
      <c r="H24" s="447"/>
      <c r="I24" s="447"/>
      <c r="J24" s="447"/>
      <c r="K24" s="448"/>
    </row>
    <row r="25" spans="1:14" s="2104" customFormat="1" ht="13.5" customHeight="1">
      <c r="A25" s="1618" t="s">
        <v>1848</v>
      </c>
      <c r="B25" s="1323" t="s">
        <v>2432</v>
      </c>
      <c r="C25" s="490">
        <f ca="1">ROUND((C18+C19)*F24,0)</f>
        <v>4291</v>
      </c>
      <c r="D25" s="472"/>
      <c r="E25" s="473"/>
      <c r="F25" s="480"/>
      <c r="G25" s="1321" t="s">
        <v>2429</v>
      </c>
      <c r="H25" s="457"/>
      <c r="I25" s="457"/>
      <c r="J25" s="457"/>
      <c r="K25" s="458"/>
    </row>
    <row r="26" spans="1:14" s="2104" customFormat="1" ht="13.5" customHeight="1">
      <c r="A26" s="1618" t="s">
        <v>1849</v>
      </c>
      <c r="B26" s="1323" t="s">
        <v>509</v>
      </c>
      <c r="C26" s="491">
        <f ca="1">ROUND(F20*F24,4)</f>
        <v>2E-3</v>
      </c>
      <c r="D26" s="472"/>
      <c r="E26" s="481"/>
      <c r="F26" s="480"/>
      <c r="G26" s="1321" t="s">
        <v>510</v>
      </c>
      <c r="H26" s="457"/>
      <c r="I26" s="457"/>
      <c r="J26" s="457"/>
      <c r="K26" s="458"/>
    </row>
    <row r="27" spans="1:14" s="2104" customFormat="1" ht="13.5" customHeight="1">
      <c r="A27" s="1622" t="s">
        <v>1867</v>
      </c>
      <c r="B27" s="459" t="s">
        <v>511</v>
      </c>
      <c r="C27" s="2982">
        <f>ROUND(F27/(1+'数据-取费表'!C42),4)</f>
        <v>5.2400000000000002E-2</v>
      </c>
      <c r="D27" s="462" t="s">
        <v>2825</v>
      </c>
      <c r="E27" s="462"/>
      <c r="F27" s="466">
        <f>'数据-取费表'!B41</f>
        <v>5.5000000000000007E-2</v>
      </c>
      <c r="G27" s="1944" t="s">
        <v>2287</v>
      </c>
      <c r="H27" s="447"/>
      <c r="I27" s="447"/>
      <c r="J27" s="447"/>
      <c r="K27" s="448"/>
    </row>
    <row r="28" spans="1:14" s="2105" customFormat="1" ht="13.5" customHeight="1">
      <c r="A28" s="1622" t="s">
        <v>1868</v>
      </c>
      <c r="B28" s="476" t="s">
        <v>512</v>
      </c>
      <c r="C28" s="470">
        <f ca="1">ROUND((C18+C19+C21+C24)/(1-C20-D21-D24-C27),0)</f>
        <v>53258</v>
      </c>
      <c r="D28" s="477"/>
      <c r="E28" s="469"/>
      <c r="F28" s="471"/>
      <c r="G28" s="1322" t="s">
        <v>2430</v>
      </c>
      <c r="H28" s="447"/>
      <c r="I28" s="447"/>
      <c r="J28" s="447"/>
      <c r="K28" s="448"/>
    </row>
    <row r="29" spans="1:14" s="2105"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81" t="str">
        <f>项目基本情况!B1</f>
        <v>云南省昆明市出让国有建设用地使用权抵押价格预评估</v>
      </c>
      <c r="C37" s="3181"/>
      <c r="D37" s="3181"/>
      <c r="E37" s="3181"/>
      <c r="F37" s="3181"/>
      <c r="G37" s="3181"/>
      <c r="H37" s="3181"/>
      <c r="I37" s="3181"/>
    </row>
    <row r="38" spans="1:9">
      <c r="A38" s="1641"/>
      <c r="B38" s="1641"/>
    </row>
    <row r="39" spans="1:9">
      <c r="A39" s="1639" t="s">
        <v>1901</v>
      </c>
      <c r="B39" s="1639" t="s">
        <v>2042</v>
      </c>
    </row>
    <row r="40" spans="1:9">
      <c r="A40" s="1639"/>
      <c r="B40" s="1639">
        <f>项目基本情况!B5</f>
        <v>0</v>
      </c>
    </row>
    <row r="41" spans="1:9">
      <c r="A41" s="1639"/>
      <c r="B41" s="1639"/>
    </row>
    <row r="42" spans="1:9">
      <c r="A42" s="1639" t="s">
        <v>1901</v>
      </c>
      <c r="B42" s="1639" t="s">
        <v>2043</v>
      </c>
    </row>
    <row r="43" spans="1:9">
      <c r="A43" s="1639"/>
      <c r="B43" s="1639" t="s">
        <v>1903</v>
      </c>
    </row>
    <row r="44" spans="1:9">
      <c r="A44" s="1639"/>
      <c r="B44" s="1639"/>
    </row>
    <row r="45" spans="1:9">
      <c r="A45" s="1639" t="s">
        <v>1901</v>
      </c>
      <c r="B45" s="1639" t="s">
        <v>2041</v>
      </c>
    </row>
    <row r="46" spans="1:9" s="1639" customFormat="1">
      <c r="B46" s="1639" t="str">
        <f>项目基本情况!K4</f>
        <v>土地估价师、土地估价师</v>
      </c>
    </row>
    <row r="47" spans="1:9">
      <c r="A47" s="1639"/>
      <c r="B47" s="1639"/>
    </row>
    <row r="48" spans="1:9">
      <c r="A48" s="1639" t="s">
        <v>1901</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M42" sqref="M42"/>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35464</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2905</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28003</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1867</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1">
      <c r="A6" s="512" t="s">
        <v>521</v>
      </c>
      <c r="B6" s="513"/>
      <c r="C6" s="3354" t="s">
        <v>522</v>
      </c>
      <c r="D6" s="3355"/>
      <c r="E6" s="3354" t="s">
        <v>523</v>
      </c>
      <c r="F6" s="3355"/>
      <c r="G6" s="3354" t="s">
        <v>524</v>
      </c>
      <c r="H6" s="3355"/>
      <c r="I6" s="3354" t="s">
        <v>525</v>
      </c>
      <c r="J6" s="3355"/>
      <c r="K6" s="514" t="s">
        <v>526</v>
      </c>
      <c r="L6" s="2117"/>
      <c r="M6" s="2116"/>
      <c r="N6" s="2116"/>
      <c r="O6" s="2118"/>
      <c r="P6" s="3356" t="s">
        <v>527</v>
      </c>
      <c r="Q6" s="3357"/>
      <c r="R6" s="3362" t="s">
        <v>523</v>
      </c>
      <c r="S6" s="3363"/>
      <c r="T6" s="3362" t="s">
        <v>524</v>
      </c>
      <c r="U6" s="3363"/>
      <c r="V6" s="3349" t="s">
        <v>525</v>
      </c>
      <c r="W6" s="3349"/>
      <c r="X6" s="1553"/>
      <c r="Y6" s="3362" t="s">
        <v>527</v>
      </c>
      <c r="Z6" s="3363"/>
      <c r="AA6" s="3351" t="s">
        <v>523</v>
      </c>
      <c r="AB6" s="3352" t="s">
        <v>524</v>
      </c>
      <c r="AC6" s="3351" t="s">
        <v>525</v>
      </c>
    </row>
    <row r="7" spans="1:30" ht="21">
      <c r="A7" s="515"/>
      <c r="B7" s="516"/>
      <c r="C7" s="3370" t="s">
        <v>2926</v>
      </c>
      <c r="D7" s="3371"/>
      <c r="E7" s="3370" t="str">
        <f>Sheet2!D9</f>
        <v>昆明市西山区马街街道办事处</v>
      </c>
      <c r="F7" s="3371"/>
      <c r="G7" s="3370" t="str">
        <f>Sheet2!D25</f>
        <v>西山区马街街道办事处张峰社区</v>
      </c>
      <c r="H7" s="3371"/>
      <c r="I7" s="3370" t="str">
        <f>Sheet2!D27</f>
        <v>西山区永昌街道办事处</v>
      </c>
      <c r="J7" s="3371"/>
      <c r="K7" s="514"/>
      <c r="L7" s="2117"/>
      <c r="M7" s="2116"/>
      <c r="N7" s="2116"/>
      <c r="O7" s="2118"/>
      <c r="P7" s="3358"/>
      <c r="Q7" s="3359"/>
      <c r="R7" s="3364"/>
      <c r="S7" s="3365"/>
      <c r="T7" s="3364"/>
      <c r="U7" s="3365"/>
      <c r="V7" s="3349"/>
      <c r="W7" s="3349"/>
      <c r="X7" s="1553"/>
      <c r="Y7" s="3364"/>
      <c r="Z7" s="3365"/>
      <c r="AA7" s="3352"/>
      <c r="AB7" s="3352"/>
      <c r="AC7" s="3352"/>
    </row>
    <row r="8" spans="1:30" ht="21.6" thickBot="1">
      <c r="A8" s="515"/>
      <c r="B8" s="516"/>
      <c r="C8" s="3372" t="s">
        <v>2930</v>
      </c>
      <c r="D8" s="3373"/>
      <c r="E8" s="3372" t="s">
        <v>2930</v>
      </c>
      <c r="F8" s="3373"/>
      <c r="G8" s="3368" t="s">
        <v>2930</v>
      </c>
      <c r="H8" s="3369"/>
      <c r="I8" s="3368" t="s">
        <v>2930</v>
      </c>
      <c r="J8" s="3369"/>
      <c r="K8" s="514" t="s">
        <v>528</v>
      </c>
      <c r="L8" s="2117"/>
      <c r="M8" s="2116"/>
      <c r="N8" s="2116"/>
      <c r="O8" s="2118"/>
      <c r="P8" s="3360"/>
      <c r="Q8" s="3361"/>
      <c r="R8" s="3364"/>
      <c r="S8" s="3365"/>
      <c r="T8" s="3366"/>
      <c r="U8" s="3367"/>
      <c r="V8" s="3349"/>
      <c r="W8" s="3349"/>
      <c r="X8" s="1553"/>
      <c r="Y8" s="3366"/>
      <c r="Z8" s="3367"/>
      <c r="AA8" s="3353"/>
      <c r="AB8" s="3353"/>
      <c r="AC8" s="3353"/>
    </row>
    <row r="9" spans="1:30" s="1215" customFormat="1" ht="21.6" thickBot="1">
      <c r="A9" s="2866"/>
      <c r="B9" s="2873" t="s">
        <v>529</v>
      </c>
      <c r="C9" s="2865">
        <f>'数据-取费表'!B2</f>
        <v>43895</v>
      </c>
      <c r="D9" s="520">
        <v>100</v>
      </c>
      <c r="E9" s="521" t="str">
        <f>Sheet2!I9</f>
        <v>2019-09-02</v>
      </c>
      <c r="F9" s="522">
        <f>SUMIF(72:72,YEAR(E9)&amp;"-"&amp;INT((MONTH(E9)+2)/3),73:73)</f>
        <v>99</v>
      </c>
      <c r="G9" s="523" t="str">
        <f>Sheet2!I25</f>
        <v>2019-06-12</v>
      </c>
      <c r="H9" s="520">
        <f>SUMIF(72:72,YEAR(G9)&amp;"-"&amp;INT((MONTH(G9)+2)/3),73:73)</f>
        <v>98.5</v>
      </c>
      <c r="I9" s="523" t="str">
        <f>Sheet2!I27</f>
        <v>2019-05-27</v>
      </c>
      <c r="J9" s="520">
        <f>SUMIF(72:72,YEAR(I9)&amp;"-"&amp;INT((MONTH(I9)+2)/3),73:73)</f>
        <v>98.5</v>
      </c>
      <c r="K9" s="524"/>
      <c r="L9" s="2119"/>
      <c r="M9" s="2116"/>
      <c r="N9" s="2116"/>
      <c r="O9" s="2120"/>
      <c r="P9" s="3379" t="s">
        <v>530</v>
      </c>
      <c r="Q9" s="3381"/>
      <c r="R9" s="1554" t="s">
        <v>8</v>
      </c>
      <c r="S9" s="1555">
        <f t="shared" ref="S9:S17" si="0">F9</f>
        <v>99</v>
      </c>
      <c r="T9" s="1554" t="s">
        <v>8</v>
      </c>
      <c r="U9" s="1555">
        <f t="shared" ref="U9:U17" si="1">H9</f>
        <v>98.5</v>
      </c>
      <c r="V9" s="1554" t="s">
        <v>8</v>
      </c>
      <c r="W9" s="1555">
        <f t="shared" ref="W9:W17" si="2">J9</f>
        <v>98.5</v>
      </c>
      <c r="X9" s="1556"/>
      <c r="Y9" s="3379" t="s">
        <v>530</v>
      </c>
      <c r="Z9" s="3380"/>
      <c r="AA9" s="1557">
        <f>D9/F9</f>
        <v>1.0101010101010102</v>
      </c>
      <c r="AB9" s="1557">
        <f>D9/H9</f>
        <v>1.015228426395939</v>
      </c>
      <c r="AC9" s="1557">
        <f>D9/J9</f>
        <v>1.015228426395939</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79" t="s">
        <v>533</v>
      </c>
      <c r="Q10" s="3380"/>
      <c r="R10" s="1554" t="s">
        <v>8</v>
      </c>
      <c r="S10" s="1555">
        <f t="shared" si="0"/>
        <v>100</v>
      </c>
      <c r="T10" s="1554" t="s">
        <v>8</v>
      </c>
      <c r="U10" s="1555">
        <f t="shared" si="1"/>
        <v>100</v>
      </c>
      <c r="V10" s="1554" t="s">
        <v>8</v>
      </c>
      <c r="W10" s="1555">
        <f t="shared" si="2"/>
        <v>100</v>
      </c>
      <c r="X10" s="1556"/>
      <c r="Y10" s="3379" t="s">
        <v>533</v>
      </c>
      <c r="Z10" s="3380"/>
      <c r="AA10" s="1557">
        <f t="shared" ref="AA10:AA47" si="3">D10/F10</f>
        <v>1</v>
      </c>
      <c r="AB10" s="1557">
        <f t="shared" ref="AB10:AB47" si="4">D10/H10</f>
        <v>1</v>
      </c>
      <c r="AC10" s="1557">
        <f t="shared" ref="AC10:AC47" si="5">D10/J10</f>
        <v>1</v>
      </c>
    </row>
    <row r="11" spans="1:30" s="1215" customFormat="1" ht="21">
      <c r="A11" s="2868"/>
      <c r="B11" s="2875" t="s">
        <v>2751</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48" t="s">
        <v>535</v>
      </c>
      <c r="Q11" s="1146" t="str">
        <f t="shared" ref="Q11:Q17" si="6">B11</f>
        <v>用途</v>
      </c>
      <c r="R11" s="1554" t="s">
        <v>8</v>
      </c>
      <c r="S11" s="1555">
        <f t="shared" si="0"/>
        <v>100</v>
      </c>
      <c r="T11" s="1554" t="s">
        <v>8</v>
      </c>
      <c r="U11" s="1555">
        <f t="shared" si="1"/>
        <v>100</v>
      </c>
      <c r="V11" s="1554" t="s">
        <v>8</v>
      </c>
      <c r="W11" s="1555">
        <f t="shared" si="2"/>
        <v>100</v>
      </c>
      <c r="X11" s="1556"/>
      <c r="Y11" s="3294" t="s">
        <v>536</v>
      </c>
      <c r="Z11" s="1145" t="str">
        <f t="shared" ref="Z11:Z17" si="7">Q11</f>
        <v>用途</v>
      </c>
      <c r="AA11" s="1557">
        <f t="shared" si="3"/>
        <v>1</v>
      </c>
      <c r="AB11" s="1557">
        <f t="shared" si="4"/>
        <v>1</v>
      </c>
      <c r="AC11" s="1557">
        <f t="shared" si="5"/>
        <v>1</v>
      </c>
    </row>
    <row r="12" spans="1:30" s="1333" customFormat="1" ht="28.8">
      <c r="A12" s="2869"/>
      <c r="B12" s="2874" t="s">
        <v>2752</v>
      </c>
      <c r="C12" s="909">
        <v>69.099999999999994</v>
      </c>
      <c r="D12" s="255">
        <v>100</v>
      </c>
      <c r="E12" s="529" t="s">
        <v>3192</v>
      </c>
      <c r="F12" s="255">
        <f>ROUND(100/'数据-取费表'!G16,0)</f>
        <v>100</v>
      </c>
      <c r="G12" s="530" t="s">
        <v>3192</v>
      </c>
      <c r="H12" s="255">
        <f>ROUND(100/'数据-取费表'!G16,0)</f>
        <v>100</v>
      </c>
      <c r="I12" s="530" t="s">
        <v>3192</v>
      </c>
      <c r="J12" s="255">
        <f>ROUND(100/'数据-取费表'!G16,0)</f>
        <v>100</v>
      </c>
      <c r="K12" s="531"/>
      <c r="L12" s="2122"/>
      <c r="M12" s="2116"/>
      <c r="N12" s="2116"/>
      <c r="O12" s="2123"/>
      <c r="P12" s="3348"/>
      <c r="Q12" s="1146" t="str">
        <f t="shared" si="6"/>
        <v>土地使用年限（年）</v>
      </c>
      <c r="R12" s="1554" t="s">
        <v>8</v>
      </c>
      <c r="S12" s="1555">
        <f t="shared" si="0"/>
        <v>100</v>
      </c>
      <c r="T12" s="1554" t="s">
        <v>8</v>
      </c>
      <c r="U12" s="1555">
        <f t="shared" si="1"/>
        <v>100</v>
      </c>
      <c r="V12" s="1554" t="s">
        <v>8</v>
      </c>
      <c r="W12" s="1555">
        <f t="shared" si="2"/>
        <v>100</v>
      </c>
      <c r="X12" s="1556"/>
      <c r="Y12" s="3294"/>
      <c r="Z12" s="1145" t="str">
        <f t="shared" si="7"/>
        <v>土地使用年限（年）</v>
      </c>
      <c r="AA12" s="1557">
        <f t="shared" si="3"/>
        <v>1</v>
      </c>
      <c r="AB12" s="1557">
        <f t="shared" si="4"/>
        <v>1</v>
      </c>
      <c r="AC12" s="1557">
        <f t="shared" si="5"/>
        <v>1</v>
      </c>
    </row>
    <row r="13" spans="1:30" ht="21">
      <c r="A13" s="2870"/>
      <c r="B13" s="2874" t="s">
        <v>2753</v>
      </c>
      <c r="C13" s="534">
        <v>7.53</v>
      </c>
      <c r="D13" s="255">
        <v>100</v>
      </c>
      <c r="E13" s="533">
        <v>3.8</v>
      </c>
      <c r="F13" s="255">
        <f>LOOKUP(E13,82:82,83:83)-LOOKUP(C13,82:82,83:83)+100</f>
        <v>104</v>
      </c>
      <c r="G13" s="534">
        <v>4.24</v>
      </c>
      <c r="H13" s="255">
        <f>LOOKUP(G13,82:82,83:83)-LOOKUP(C13,82:82,83:83)+100</f>
        <v>103</v>
      </c>
      <c r="I13" s="533">
        <v>4.66</v>
      </c>
      <c r="J13" s="255">
        <f>LOOKUP(I13,82:82,83:83)-LOOKUP(C13,82:82,83:83)+100</f>
        <v>103</v>
      </c>
      <c r="K13" s="535">
        <v>1</v>
      </c>
      <c r="L13" s="2124"/>
      <c r="M13" s="2116"/>
      <c r="N13" s="2116"/>
      <c r="O13" s="2125"/>
      <c r="P13" s="3348"/>
      <c r="Q13" s="1146" t="str">
        <f t="shared" si="6"/>
        <v>容积率</v>
      </c>
      <c r="R13" s="1554" t="s">
        <v>8</v>
      </c>
      <c r="S13" s="1555">
        <f t="shared" si="0"/>
        <v>104</v>
      </c>
      <c r="T13" s="1554" t="s">
        <v>8</v>
      </c>
      <c r="U13" s="1555">
        <f t="shared" si="1"/>
        <v>103</v>
      </c>
      <c r="V13" s="1554" t="s">
        <v>8</v>
      </c>
      <c r="W13" s="1555">
        <f t="shared" si="2"/>
        <v>103</v>
      </c>
      <c r="X13" s="1556"/>
      <c r="Y13" s="3294"/>
      <c r="Z13" s="1145" t="str">
        <f t="shared" si="7"/>
        <v>容积率</v>
      </c>
      <c r="AA13" s="1557">
        <f t="shared" si="3"/>
        <v>0.96153846153846156</v>
      </c>
      <c r="AB13" s="1557">
        <f t="shared" si="4"/>
        <v>0.970873786407767</v>
      </c>
      <c r="AC13" s="1557">
        <f t="shared" si="5"/>
        <v>0.970873786407767</v>
      </c>
    </row>
    <row r="14" spans="1:30" s="1215" customFormat="1" ht="21.6" thickBot="1">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48"/>
      <c r="Q14" s="1146" t="str">
        <f t="shared" si="6"/>
        <v>配建</v>
      </c>
      <c r="R14" s="1554" t="s">
        <v>8</v>
      </c>
      <c r="S14" s="1555">
        <f t="shared" si="0"/>
        <v>100</v>
      </c>
      <c r="T14" s="1554" t="s">
        <v>8</v>
      </c>
      <c r="U14" s="1555">
        <f t="shared" si="1"/>
        <v>100</v>
      </c>
      <c r="V14" s="1554" t="s">
        <v>8</v>
      </c>
      <c r="W14" s="1555">
        <f t="shared" si="2"/>
        <v>100</v>
      </c>
      <c r="X14" s="1556"/>
      <c r="Y14" s="3294"/>
      <c r="Z14" s="1145" t="str">
        <f t="shared" si="7"/>
        <v>配建</v>
      </c>
      <c r="AA14" s="1557">
        <f>D14/F14</f>
        <v>1</v>
      </c>
      <c r="AB14" s="1557">
        <f>D14/H14</f>
        <v>1</v>
      </c>
      <c r="AC14" s="1557">
        <f>D14/J14</f>
        <v>1</v>
      </c>
    </row>
    <row r="15" spans="1:30" ht="21"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48"/>
      <c r="Q15" s="1146">
        <f t="shared" si="6"/>
        <v>111</v>
      </c>
      <c r="R15" s="1554" t="s">
        <v>8</v>
      </c>
      <c r="S15" s="1555">
        <f t="shared" si="0"/>
        <v>100</v>
      </c>
      <c r="T15" s="1554" t="s">
        <v>8</v>
      </c>
      <c r="U15" s="1555">
        <f t="shared" si="1"/>
        <v>100</v>
      </c>
      <c r="V15" s="1554" t="s">
        <v>8</v>
      </c>
      <c r="W15" s="1555">
        <f t="shared" si="2"/>
        <v>100</v>
      </c>
      <c r="X15" s="1556"/>
      <c r="Y15" s="3294"/>
      <c r="Z15" s="1145">
        <f t="shared" si="7"/>
        <v>111</v>
      </c>
      <c r="AA15" s="1557">
        <f>D15/F15</f>
        <v>1</v>
      </c>
      <c r="AB15" s="1557">
        <f>D15/H15</f>
        <v>1</v>
      </c>
      <c r="AC15" s="1557">
        <f>D15/J15</f>
        <v>1</v>
      </c>
    </row>
    <row r="16" spans="1:30" ht="21.6"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48"/>
      <c r="Q16" s="1146">
        <f t="shared" si="6"/>
        <v>111</v>
      </c>
      <c r="R16" s="1554" t="s">
        <v>8</v>
      </c>
      <c r="S16" s="1555">
        <f t="shared" si="0"/>
        <v>100</v>
      </c>
      <c r="T16" s="1554" t="s">
        <v>8</v>
      </c>
      <c r="U16" s="1555">
        <f t="shared" si="1"/>
        <v>100</v>
      </c>
      <c r="V16" s="1554" t="s">
        <v>8</v>
      </c>
      <c r="W16" s="1555">
        <f t="shared" si="2"/>
        <v>100</v>
      </c>
      <c r="X16" s="1556"/>
      <c r="Y16" s="3294"/>
      <c r="Z16" s="1145">
        <f t="shared" si="7"/>
        <v>111</v>
      </c>
      <c r="AA16" s="1557">
        <f>D16/F16</f>
        <v>1</v>
      </c>
      <c r="AB16" s="1557">
        <f>D16/H16</f>
        <v>1</v>
      </c>
      <c r="AC16" s="1557">
        <f>D16/J16</f>
        <v>1</v>
      </c>
    </row>
    <row r="17" spans="1:29" ht="96.6">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382" t="s">
        <v>540</v>
      </c>
      <c r="Q17" s="1558" t="str">
        <f t="shared" si="6"/>
        <v>居住社区成熟度</v>
      </c>
      <c r="R17" s="1559" t="s">
        <v>8</v>
      </c>
      <c r="S17" s="1560">
        <f t="shared" si="0"/>
        <v>100</v>
      </c>
      <c r="T17" s="1559" t="s">
        <v>8</v>
      </c>
      <c r="U17" s="1560">
        <f t="shared" si="1"/>
        <v>100</v>
      </c>
      <c r="V17" s="1559" t="s">
        <v>8</v>
      </c>
      <c r="W17" s="1560">
        <f t="shared" si="2"/>
        <v>100</v>
      </c>
      <c r="X17" s="1553"/>
      <c r="Y17" s="3382" t="s">
        <v>540</v>
      </c>
      <c r="Z17" s="1561" t="str">
        <f t="shared" si="7"/>
        <v>居住社区成熟度</v>
      </c>
      <c r="AA17" s="1562">
        <f t="shared" si="3"/>
        <v>1</v>
      </c>
      <c r="AB17" s="1562">
        <f t="shared" si="4"/>
        <v>1</v>
      </c>
      <c r="AC17" s="1562">
        <f t="shared" si="5"/>
        <v>1</v>
      </c>
    </row>
    <row r="18" spans="1:29" ht="21">
      <c r="A18" s="532"/>
      <c r="B18" s="553"/>
      <c r="C18" s="554" t="s">
        <v>3050</v>
      </c>
      <c r="D18" s="557"/>
      <c r="E18" s="554" t="s">
        <v>3050</v>
      </c>
      <c r="F18" s="555"/>
      <c r="G18" s="554" t="s">
        <v>3050</v>
      </c>
      <c r="H18" s="559"/>
      <c r="I18" s="554" t="s">
        <v>3050</v>
      </c>
      <c r="J18" s="555"/>
      <c r="K18" s="531"/>
      <c r="L18" s="2126"/>
      <c r="M18" s="2116"/>
      <c r="N18" s="2116"/>
      <c r="O18" s="2125"/>
      <c r="P18" s="3383"/>
      <c r="Q18" s="1558"/>
      <c r="R18" s="1559"/>
      <c r="S18" s="1560"/>
      <c r="T18" s="1559"/>
      <c r="U18" s="1560"/>
      <c r="V18" s="1559"/>
      <c r="W18" s="1560"/>
      <c r="X18" s="1553"/>
      <c r="Y18" s="3383"/>
      <c r="Z18" s="1561"/>
      <c r="AA18" s="1562">
        <v>1</v>
      </c>
      <c r="AB18" s="1562">
        <v>1</v>
      </c>
      <c r="AC18" s="1562">
        <v>1</v>
      </c>
    </row>
    <row r="19" spans="1:29" ht="69"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83"/>
      <c r="Q19" s="1558" t="str">
        <f>B19</f>
        <v>商业繁华度</v>
      </c>
      <c r="R19" s="1559" t="s">
        <v>8</v>
      </c>
      <c r="S19" s="1560">
        <f>F19</f>
        <v>100</v>
      </c>
      <c r="T19" s="1559" t="s">
        <v>8</v>
      </c>
      <c r="U19" s="1560">
        <f>H19</f>
        <v>100</v>
      </c>
      <c r="V19" s="1559" t="s">
        <v>8</v>
      </c>
      <c r="W19" s="1560">
        <f>J19</f>
        <v>100</v>
      </c>
      <c r="X19" s="1553"/>
      <c r="Y19" s="3383"/>
      <c r="Z19" s="1561" t="str">
        <f>Q19</f>
        <v>商业繁华度</v>
      </c>
      <c r="AA19" s="1562">
        <f t="shared" si="3"/>
        <v>1</v>
      </c>
      <c r="AB19" s="1562">
        <f t="shared" si="4"/>
        <v>1</v>
      </c>
      <c r="AC19" s="1562">
        <f t="shared" si="5"/>
        <v>1</v>
      </c>
    </row>
    <row r="20" spans="1:29" ht="21" hidden="1">
      <c r="A20" s="532"/>
      <c r="B20" s="566"/>
      <c r="C20" s="567"/>
      <c r="D20" s="563"/>
      <c r="E20" s="569"/>
      <c r="F20" s="559"/>
      <c r="G20" s="568"/>
      <c r="H20" s="555"/>
      <c r="I20" s="569"/>
      <c r="J20" s="555"/>
      <c r="K20" s="531"/>
      <c r="L20" s="2126"/>
      <c r="M20" s="2116"/>
      <c r="N20" s="2116"/>
      <c r="O20" s="2125"/>
      <c r="P20" s="3383"/>
      <c r="Q20" s="1558"/>
      <c r="R20" s="1559"/>
      <c r="S20" s="1560"/>
      <c r="T20" s="1559"/>
      <c r="U20" s="1560"/>
      <c r="V20" s="1559"/>
      <c r="W20" s="1560"/>
      <c r="X20" s="1553"/>
      <c r="Y20" s="3383"/>
      <c r="Z20" s="1561"/>
      <c r="AA20" s="1562">
        <v>1</v>
      </c>
      <c r="AB20" s="1562">
        <v>1</v>
      </c>
      <c r="AC20" s="1562">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83"/>
      <c r="Q21" s="1558" t="str">
        <f>B21</f>
        <v>办公集聚程度</v>
      </c>
      <c r="R21" s="1559" t="s">
        <v>8</v>
      </c>
      <c r="S21" s="1560">
        <f>F21</f>
        <v>100</v>
      </c>
      <c r="T21" s="1559" t="s">
        <v>8</v>
      </c>
      <c r="U21" s="1560">
        <f>H21</f>
        <v>100</v>
      </c>
      <c r="V21" s="1559" t="s">
        <v>8</v>
      </c>
      <c r="W21" s="1560">
        <f>J21</f>
        <v>100</v>
      </c>
      <c r="X21" s="1553"/>
      <c r="Y21" s="3383"/>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6"/>
      <c r="M22" s="2116"/>
      <c r="N22" s="2116"/>
      <c r="O22" s="2125"/>
      <c r="P22" s="3383"/>
      <c r="Q22" s="1558"/>
      <c r="R22" s="1559"/>
      <c r="S22" s="1560"/>
      <c r="T22" s="1559"/>
      <c r="U22" s="1560"/>
      <c r="V22" s="1559"/>
      <c r="W22" s="1560"/>
      <c r="X22" s="1553"/>
      <c r="Y22" s="3383"/>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83"/>
      <c r="Q23" s="1558" t="str">
        <f>B23</f>
        <v>交通便捷度</v>
      </c>
      <c r="R23" s="1559" t="s">
        <v>8</v>
      </c>
      <c r="S23" s="1560">
        <f>F23</f>
        <v>100</v>
      </c>
      <c r="T23" s="1559" t="s">
        <v>8</v>
      </c>
      <c r="U23" s="1560">
        <f>H23</f>
        <v>100</v>
      </c>
      <c r="V23" s="1559" t="s">
        <v>8</v>
      </c>
      <c r="W23" s="1560">
        <f>J23</f>
        <v>100</v>
      </c>
      <c r="X23" s="1553"/>
      <c r="Y23" s="3383"/>
      <c r="Z23" s="1561" t="str">
        <f>Q23</f>
        <v>交通便捷度</v>
      </c>
      <c r="AA23" s="1562">
        <f t="shared" si="3"/>
        <v>1</v>
      </c>
      <c r="AB23" s="1562">
        <f t="shared" si="4"/>
        <v>1</v>
      </c>
      <c r="AC23" s="1562">
        <f t="shared" si="5"/>
        <v>1</v>
      </c>
    </row>
    <row r="24" spans="1:29" ht="21">
      <c r="A24" s="532"/>
      <c r="B24" s="578"/>
      <c r="C24" s="554" t="s">
        <v>3050</v>
      </c>
      <c r="D24" s="557"/>
      <c r="E24" s="554" t="s">
        <v>3050</v>
      </c>
      <c r="F24" s="555"/>
      <c r="G24" s="554" t="s">
        <v>3050</v>
      </c>
      <c r="H24" s="555"/>
      <c r="I24" s="554" t="s">
        <v>3050</v>
      </c>
      <c r="J24" s="555"/>
      <c r="K24" s="531"/>
      <c r="L24" s="2126"/>
      <c r="M24" s="2116"/>
      <c r="N24" s="2116"/>
      <c r="O24" s="2125"/>
      <c r="P24" s="3383"/>
      <c r="Q24" s="1558"/>
      <c r="R24" s="1559"/>
      <c r="S24" s="1560"/>
      <c r="T24" s="1559"/>
      <c r="U24" s="1560"/>
      <c r="V24" s="1559"/>
      <c r="W24" s="1560"/>
      <c r="X24" s="1553"/>
      <c r="Y24" s="3383"/>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83"/>
      <c r="Q25" s="1558" t="str">
        <f t="shared" ref="Q25:Q39" si="8">B25</f>
        <v>区域土地利用方向</v>
      </c>
      <c r="R25" s="1559" t="s">
        <v>8</v>
      </c>
      <c r="S25" s="1560">
        <f>F25</f>
        <v>100</v>
      </c>
      <c r="T25" s="1559" t="s">
        <v>8</v>
      </c>
      <c r="U25" s="1560">
        <f>H25</f>
        <v>100</v>
      </c>
      <c r="V25" s="1559" t="s">
        <v>8</v>
      </c>
      <c r="W25" s="1560">
        <f>J25</f>
        <v>100</v>
      </c>
      <c r="X25" s="1553"/>
      <c r="Y25" s="3383"/>
      <c r="Z25" s="1561" t="str">
        <f>Q25</f>
        <v>区域土地利用方向</v>
      </c>
      <c r="AA25" s="1562">
        <f t="shared" si="3"/>
        <v>1</v>
      </c>
      <c r="AB25" s="1562">
        <f t="shared" si="4"/>
        <v>1</v>
      </c>
      <c r="AC25" s="1562">
        <f t="shared" si="5"/>
        <v>1</v>
      </c>
    </row>
    <row r="26" spans="1:29" ht="21">
      <c r="A26" s="515"/>
      <c r="B26" s="1006"/>
      <c r="C26" s="554" t="s">
        <v>3050</v>
      </c>
      <c r="D26" s="557"/>
      <c r="E26" s="554" t="s">
        <v>3050</v>
      </c>
      <c r="F26" s="555"/>
      <c r="G26" s="554" t="s">
        <v>3050</v>
      </c>
      <c r="H26" s="555"/>
      <c r="I26" s="554" t="s">
        <v>3050</v>
      </c>
      <c r="J26" s="555"/>
      <c r="K26" s="531"/>
      <c r="L26" s="2126"/>
      <c r="M26" s="2116"/>
      <c r="N26" s="2116"/>
      <c r="O26" s="2125"/>
      <c r="P26" s="3383"/>
      <c r="Q26" s="1558"/>
      <c r="R26" s="1559"/>
      <c r="S26" s="1560"/>
      <c r="T26" s="1559"/>
      <c r="U26" s="1560"/>
      <c r="V26" s="1559"/>
      <c r="W26" s="1560"/>
      <c r="X26" s="1553"/>
      <c r="Y26" s="3383"/>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83"/>
      <c r="Q27" s="1558" t="str">
        <f t="shared" si="8"/>
        <v>自然及人文环境状况</v>
      </c>
      <c r="R27" s="1559" t="s">
        <v>8</v>
      </c>
      <c r="S27" s="1560">
        <f>F27</f>
        <v>100</v>
      </c>
      <c r="T27" s="1559" t="s">
        <v>8</v>
      </c>
      <c r="U27" s="1560">
        <f>H27</f>
        <v>100</v>
      </c>
      <c r="V27" s="1559" t="s">
        <v>8</v>
      </c>
      <c r="W27" s="1560">
        <f>J27</f>
        <v>100</v>
      </c>
      <c r="X27" s="1553"/>
      <c r="Y27" s="3383"/>
      <c r="Z27" s="1561" t="str">
        <f>Q27</f>
        <v>自然及人文环境状况</v>
      </c>
      <c r="AA27" s="1562">
        <f t="shared" si="3"/>
        <v>1</v>
      </c>
      <c r="AB27" s="1562">
        <f t="shared" si="4"/>
        <v>1</v>
      </c>
      <c r="AC27" s="1562">
        <f t="shared" si="5"/>
        <v>1</v>
      </c>
    </row>
    <row r="28" spans="1:29" ht="21">
      <c r="A28" s="515"/>
      <c r="B28" s="566"/>
      <c r="C28" s="554" t="s">
        <v>3050</v>
      </c>
      <c r="D28" s="557"/>
      <c r="E28" s="554" t="s">
        <v>3050</v>
      </c>
      <c r="F28" s="555"/>
      <c r="G28" s="554" t="s">
        <v>3050</v>
      </c>
      <c r="H28" s="555"/>
      <c r="I28" s="554" t="s">
        <v>3050</v>
      </c>
      <c r="J28" s="555"/>
      <c r="K28" s="531"/>
      <c r="L28" s="2126"/>
      <c r="M28" s="2116"/>
      <c r="N28" s="2116"/>
      <c r="O28" s="2125"/>
      <c r="P28" s="3383"/>
      <c r="Q28" s="1558"/>
      <c r="R28" s="1559"/>
      <c r="S28" s="1560"/>
      <c r="T28" s="1559"/>
      <c r="U28" s="1560"/>
      <c r="V28" s="1559"/>
      <c r="W28" s="1560"/>
      <c r="X28" s="1553"/>
      <c r="Y28" s="3383"/>
      <c r="Z28" s="1561"/>
      <c r="AA28" s="1562">
        <v>1</v>
      </c>
      <c r="AB28" s="1562">
        <v>1</v>
      </c>
      <c r="AC28" s="1562">
        <v>1</v>
      </c>
    </row>
    <row r="29" spans="1:29" s="1215" customFormat="1" ht="41.4">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9"/>
      <c r="M29" s="2116"/>
      <c r="N29" s="2116"/>
      <c r="O29" s="2121"/>
      <c r="P29" s="3383"/>
      <c r="Q29" s="1146" t="str">
        <f t="shared" si="8"/>
        <v>公共配套设施</v>
      </c>
      <c r="R29" s="1554" t="s">
        <v>8</v>
      </c>
      <c r="S29" s="1555">
        <f>F29</f>
        <v>100</v>
      </c>
      <c r="T29" s="1554" t="s">
        <v>8</v>
      </c>
      <c r="U29" s="1555">
        <f>H29</f>
        <v>100</v>
      </c>
      <c r="V29" s="1554" t="s">
        <v>8</v>
      </c>
      <c r="W29" s="1555">
        <f>J29</f>
        <v>100</v>
      </c>
      <c r="X29" s="1556"/>
      <c r="Y29" s="3383"/>
      <c r="Z29" s="1145" t="str">
        <f>Q29</f>
        <v>公共配套设施</v>
      </c>
      <c r="AA29" s="1562">
        <f>D29/F29</f>
        <v>1</v>
      </c>
      <c r="AB29" s="1562">
        <f>D29/H29</f>
        <v>1</v>
      </c>
      <c r="AC29" s="1562">
        <f>D29/J29</f>
        <v>1</v>
      </c>
    </row>
    <row r="30" spans="1:29" s="1215" customFormat="1" ht="21">
      <c r="A30" s="577"/>
      <c r="B30" s="566"/>
      <c r="C30" s="579" t="s">
        <v>3050</v>
      </c>
      <c r="D30" s="557"/>
      <c r="E30" s="554" t="s">
        <v>3050</v>
      </c>
      <c r="F30" s="555"/>
      <c r="G30" s="554" t="s">
        <v>3050</v>
      </c>
      <c r="H30" s="555"/>
      <c r="I30" s="554" t="s">
        <v>3050</v>
      </c>
      <c r="J30" s="555"/>
      <c r="K30" s="531"/>
      <c r="L30" s="2119"/>
      <c r="M30" s="2116"/>
      <c r="N30" s="2116"/>
      <c r="O30" s="2121"/>
      <c r="P30" s="3383"/>
      <c r="Q30" s="1146"/>
      <c r="R30" s="1554"/>
      <c r="S30" s="1555"/>
      <c r="T30" s="1554"/>
      <c r="U30" s="1555"/>
      <c r="V30" s="1554"/>
      <c r="W30" s="1555"/>
      <c r="X30" s="1556"/>
      <c r="Y30" s="3383"/>
      <c r="Z30" s="1145"/>
      <c r="AA30" s="1562">
        <v>1</v>
      </c>
      <c r="AB30" s="1562">
        <v>1</v>
      </c>
      <c r="AC30" s="1562">
        <v>1</v>
      </c>
    </row>
    <row r="31" spans="1:29" s="1215" customFormat="1" ht="27.6">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383"/>
      <c r="Q31" s="2541" t="str">
        <f t="shared" ref="Q31" si="9">B31</f>
        <v>基础设施水平</v>
      </c>
      <c r="R31" s="1554" t="s">
        <v>8</v>
      </c>
      <c r="S31" s="1555">
        <f>F31</f>
        <v>100</v>
      </c>
      <c r="T31" s="1554" t="s">
        <v>8</v>
      </c>
      <c r="U31" s="1555">
        <f>H31</f>
        <v>100</v>
      </c>
      <c r="V31" s="1554" t="s">
        <v>8</v>
      </c>
      <c r="W31" s="1555">
        <f>J31</f>
        <v>100</v>
      </c>
      <c r="X31" s="1556"/>
      <c r="Y31" s="3383"/>
      <c r="Z31" s="2538" t="str">
        <f>Q31</f>
        <v>基础设施水平</v>
      </c>
      <c r="AA31" s="1562">
        <f>D31/F31</f>
        <v>1</v>
      </c>
      <c r="AB31" s="1562">
        <f>D31/H31</f>
        <v>1</v>
      </c>
      <c r="AC31" s="1562">
        <f>D31/J31</f>
        <v>1</v>
      </c>
    </row>
    <row r="32" spans="1:29" s="1215" customFormat="1" ht="21">
      <c r="A32" s="577"/>
      <c r="B32" s="566"/>
      <c r="C32" s="579" t="s">
        <v>3045</v>
      </c>
      <c r="D32" s="557"/>
      <c r="E32" s="2555" t="s">
        <v>3045</v>
      </c>
      <c r="F32" s="555"/>
      <c r="G32" s="579" t="s">
        <v>3045</v>
      </c>
      <c r="H32" s="555"/>
      <c r="I32" s="579" t="s">
        <v>3045</v>
      </c>
      <c r="J32" s="555"/>
      <c r="K32" s="531"/>
      <c r="L32" s="2119"/>
      <c r="M32" s="2116"/>
      <c r="N32" s="2116"/>
      <c r="O32" s="2121"/>
      <c r="P32" s="3383"/>
      <c r="Q32" s="2541"/>
      <c r="R32" s="1554"/>
      <c r="S32" s="1555"/>
      <c r="T32" s="1554"/>
      <c r="U32" s="1555"/>
      <c r="V32" s="1554"/>
      <c r="W32" s="1555"/>
      <c r="X32" s="1556"/>
      <c r="Y32" s="3383"/>
      <c r="Z32" s="2538"/>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8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3"/>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83"/>
      <c r="Q34" s="1558" t="str">
        <f t="shared" si="8"/>
        <v>毗邻道路的类型与等级</v>
      </c>
      <c r="R34" s="1559" t="s">
        <v>8</v>
      </c>
      <c r="S34" s="1560">
        <f t="shared" si="10"/>
        <v>100</v>
      </c>
      <c r="T34" s="1559" t="s">
        <v>8</v>
      </c>
      <c r="U34" s="1560">
        <f t="shared" si="11"/>
        <v>100</v>
      </c>
      <c r="V34" s="1559" t="s">
        <v>8</v>
      </c>
      <c r="W34" s="1560">
        <f t="shared" si="12"/>
        <v>100</v>
      </c>
      <c r="X34" s="1553"/>
      <c r="Y34" s="3383"/>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6"/>
      <c r="M35" s="2116"/>
      <c r="N35" s="2116"/>
      <c r="O35" s="2125"/>
      <c r="P35" s="3383"/>
      <c r="Q35" s="1558"/>
      <c r="R35" s="1559"/>
      <c r="S35" s="1560"/>
      <c r="T35" s="1559"/>
      <c r="U35" s="1560"/>
      <c r="V35" s="1559"/>
      <c r="W35" s="1560"/>
      <c r="X35" s="1553"/>
      <c r="Y35" s="3383"/>
      <c r="Z35" s="1561"/>
      <c r="AA35" s="1562">
        <v>1</v>
      </c>
      <c r="AB35" s="1562">
        <v>1</v>
      </c>
      <c r="AC35" s="1562">
        <v>1</v>
      </c>
    </row>
    <row r="36" spans="1:29" ht="21.6"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3"/>
      <c r="Q36" s="1558" t="str">
        <f t="shared" si="8"/>
        <v>土地级别</v>
      </c>
      <c r="R36" s="1559" t="s">
        <v>8</v>
      </c>
      <c r="S36" s="1560">
        <f t="shared" si="10"/>
        <v>100</v>
      </c>
      <c r="T36" s="1559" t="s">
        <v>8</v>
      </c>
      <c r="U36" s="1560">
        <f t="shared" si="11"/>
        <v>100</v>
      </c>
      <c r="V36" s="1559" t="s">
        <v>8</v>
      </c>
      <c r="W36" s="1560">
        <f t="shared" si="12"/>
        <v>100</v>
      </c>
      <c r="X36" s="1553"/>
      <c r="Y36" s="338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3"/>
      <c r="Q37" s="1558">
        <f t="shared" si="8"/>
        <v>111</v>
      </c>
      <c r="R37" s="1559" t="s">
        <v>8</v>
      </c>
      <c r="S37" s="1560">
        <f t="shared" si="10"/>
        <v>100</v>
      </c>
      <c r="T37" s="1559" t="s">
        <v>8</v>
      </c>
      <c r="U37" s="1560">
        <f t="shared" si="11"/>
        <v>100</v>
      </c>
      <c r="V37" s="1559" t="s">
        <v>8</v>
      </c>
      <c r="W37" s="1560">
        <f t="shared" si="12"/>
        <v>100</v>
      </c>
      <c r="X37" s="1553"/>
      <c r="Y37" s="338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4" t="s">
        <v>550</v>
      </c>
      <c r="Q38" s="1558">
        <f t="shared" si="8"/>
        <v>111</v>
      </c>
      <c r="R38" s="1559" t="s">
        <v>8</v>
      </c>
      <c r="S38" s="1560">
        <f t="shared" si="10"/>
        <v>100</v>
      </c>
      <c r="T38" s="1559" t="s">
        <v>8</v>
      </c>
      <c r="U38" s="1560">
        <f t="shared" si="11"/>
        <v>100</v>
      </c>
      <c r="V38" s="1559" t="s">
        <v>8</v>
      </c>
      <c r="W38" s="1560">
        <f t="shared" si="12"/>
        <v>100</v>
      </c>
      <c r="X38" s="1553"/>
      <c r="Y38" s="3385"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85"/>
      <c r="Q39" s="1558">
        <f t="shared" si="8"/>
        <v>111</v>
      </c>
      <c r="R39" s="1563" t="s">
        <v>8</v>
      </c>
      <c r="S39" s="1564">
        <f t="shared" si="10"/>
        <v>100</v>
      </c>
      <c r="T39" s="1563" t="s">
        <v>8</v>
      </c>
      <c r="U39" s="1564">
        <f t="shared" si="11"/>
        <v>100</v>
      </c>
      <c r="V39" s="1563" t="s">
        <v>8</v>
      </c>
      <c r="W39" s="1564">
        <f t="shared" si="12"/>
        <v>100</v>
      </c>
      <c r="X39" s="1565"/>
      <c r="Y39" s="3385"/>
      <c r="Z39" s="1566">
        <f t="shared" si="13"/>
        <v>111</v>
      </c>
      <c r="AA39" s="1562">
        <f t="shared" si="3"/>
        <v>1</v>
      </c>
      <c r="AB39" s="1562">
        <f t="shared" si="4"/>
        <v>1</v>
      </c>
      <c r="AC39" s="1562">
        <f t="shared" si="5"/>
        <v>1</v>
      </c>
    </row>
    <row r="40" spans="1:29" ht="21">
      <c r="A40" s="2861" t="s">
        <v>2750</v>
      </c>
      <c r="B40" s="595" t="s">
        <v>552</v>
      </c>
      <c r="C40" s="596">
        <f>'数据-基础表'!A3</f>
        <v>12664.48</v>
      </c>
      <c r="D40" s="597">
        <v>100</v>
      </c>
      <c r="E40" s="596">
        <f>Sheet2!F9</f>
        <v>1940.78</v>
      </c>
      <c r="F40" s="597">
        <f>LOOKUP(E40,119:119,120:120)-LOOKUP(C40,119:119,120:120)+100</f>
        <v>100</v>
      </c>
      <c r="G40" s="596">
        <f>Sheet2!F25</f>
        <v>31675.02</v>
      </c>
      <c r="H40" s="597">
        <f>LOOKUP(G40,119:119,120:120)-LOOKUP(C40,119:119,120:120)+100</f>
        <v>99</v>
      </c>
      <c r="I40" s="598">
        <f>Sheet2!F27</f>
        <v>27357.94</v>
      </c>
      <c r="J40" s="597">
        <f>LOOKUP(I40,119:119,120:120)-LOOKUP(C40,119:119,120:120)+100</f>
        <v>100</v>
      </c>
      <c r="K40" s="581"/>
      <c r="L40" s="2126"/>
      <c r="M40" s="2116"/>
      <c r="N40" s="2116"/>
      <c r="O40" s="2125"/>
      <c r="P40" s="3385"/>
      <c r="Q40" s="1558" t="str">
        <f>B40</f>
        <v>宗地面积</v>
      </c>
      <c r="R40" s="1559" t="s">
        <v>8</v>
      </c>
      <c r="S40" s="1560">
        <f t="shared" si="10"/>
        <v>100</v>
      </c>
      <c r="T40" s="1559" t="s">
        <v>8</v>
      </c>
      <c r="U40" s="1560">
        <f t="shared" si="11"/>
        <v>99</v>
      </c>
      <c r="V40" s="1559" t="s">
        <v>8</v>
      </c>
      <c r="W40" s="1560">
        <f t="shared" si="12"/>
        <v>100</v>
      </c>
      <c r="X40" s="1553"/>
      <c r="Y40" s="3385"/>
      <c r="Z40" s="1561" t="str">
        <f t="shared" si="13"/>
        <v>宗地面积</v>
      </c>
      <c r="AA40" s="1562">
        <f t="shared" si="3"/>
        <v>1</v>
      </c>
      <c r="AB40" s="1562">
        <f t="shared" si="4"/>
        <v>1.0101010101010102</v>
      </c>
      <c r="AC40" s="1562">
        <f t="shared" si="5"/>
        <v>1</v>
      </c>
    </row>
    <row r="41" spans="1:29" ht="21">
      <c r="A41" s="594"/>
      <c r="B41" s="527" t="s">
        <v>553</v>
      </c>
      <c r="C41" s="599" t="s">
        <v>3061</v>
      </c>
      <c r="D41" s="540">
        <v>100</v>
      </c>
      <c r="E41" s="599" t="s">
        <v>3061</v>
      </c>
      <c r="F41" s="540">
        <f>SUMIF(121:121,E41,122:122)-SUMIF(121:121,C41,122:122)+100</f>
        <v>100</v>
      </c>
      <c r="G41" s="599" t="s">
        <v>3061</v>
      </c>
      <c r="H41" s="540">
        <f>SUMIF(121:121,G41,122:122)-SUMIF(121:121,C41,122:122)+100</f>
        <v>100</v>
      </c>
      <c r="I41" s="599" t="s">
        <v>3061</v>
      </c>
      <c r="J41" s="540">
        <f>SUMIF(121:121,I41,122:122)-SUMIF(121:121,C41,122:122)+100</f>
        <v>100</v>
      </c>
      <c r="K41" s="584">
        <v>2</v>
      </c>
      <c r="L41" s="2126"/>
      <c r="M41" s="2116"/>
      <c r="N41" s="2116"/>
      <c r="O41" s="2125"/>
      <c r="P41" s="3385"/>
      <c r="Q41" s="1558" t="str">
        <f t="shared" ref="Q41:Q47" si="14">B41</f>
        <v>宗地形状</v>
      </c>
      <c r="R41" s="1559" t="s">
        <v>8</v>
      </c>
      <c r="S41" s="1560">
        <f t="shared" si="10"/>
        <v>100</v>
      </c>
      <c r="T41" s="1559" t="s">
        <v>8</v>
      </c>
      <c r="U41" s="1560">
        <f t="shared" si="11"/>
        <v>100</v>
      </c>
      <c r="V41" s="1559" t="s">
        <v>8</v>
      </c>
      <c r="W41" s="1560">
        <f t="shared" si="12"/>
        <v>100</v>
      </c>
      <c r="X41" s="1553"/>
      <c r="Y41" s="3385"/>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385"/>
      <c r="Q42" s="1558" t="str">
        <f t="shared" si="14"/>
        <v>临街宽度及深度</v>
      </c>
      <c r="R42" s="1559" t="s">
        <v>8</v>
      </c>
      <c r="S42" s="1560">
        <f t="shared" si="10"/>
        <v>100</v>
      </c>
      <c r="T42" s="1559" t="s">
        <v>8</v>
      </c>
      <c r="U42" s="1560">
        <f t="shared" si="11"/>
        <v>100</v>
      </c>
      <c r="V42" s="1559" t="s">
        <v>8</v>
      </c>
      <c r="W42" s="1560">
        <f t="shared" si="12"/>
        <v>100</v>
      </c>
      <c r="X42" s="1553"/>
      <c r="Y42" s="3385"/>
      <c r="Z42" s="1561" t="str">
        <f t="shared" si="13"/>
        <v>临街宽度及深度</v>
      </c>
      <c r="AA42" s="1562">
        <f t="shared" si="3"/>
        <v>1</v>
      </c>
      <c r="AB42" s="1562">
        <f t="shared" si="4"/>
        <v>1</v>
      </c>
      <c r="AC42" s="1562">
        <f t="shared" si="5"/>
        <v>1</v>
      </c>
    </row>
    <row r="43" spans="1:29" s="1215" customFormat="1" ht="21">
      <c r="A43" s="600"/>
      <c r="B43" s="1879" t="s">
        <v>2420</v>
      </c>
      <c r="C43" s="601" t="s">
        <v>3048</v>
      </c>
      <c r="D43" s="255">
        <v>100</v>
      </c>
      <c r="E43" s="601" t="s">
        <v>3048</v>
      </c>
      <c r="F43" s="540">
        <f>SUMIF(125:125,E43,126:126)-SUMIF(125:125,C43,126:126)+100</f>
        <v>100</v>
      </c>
      <c r="G43" s="601" t="s">
        <v>3048</v>
      </c>
      <c r="H43" s="540">
        <f>SUMIF(125:125,G43,126:126)-SUMIF(125:125,C43,126:126)+100</f>
        <v>100</v>
      </c>
      <c r="I43" s="601" t="s">
        <v>3048</v>
      </c>
      <c r="J43" s="540">
        <f>SUMIF(125:125,I43,126:126)-SUMIF(125:125,C43,126:126)+100</f>
        <v>100</v>
      </c>
      <c r="K43" s="584">
        <v>1</v>
      </c>
      <c r="L43" s="2119"/>
      <c r="M43" s="2116"/>
      <c r="N43" s="2116"/>
      <c r="O43" s="2121"/>
      <c r="P43" s="3385"/>
      <c r="Q43" s="1558" t="str">
        <f t="shared" si="14"/>
        <v>宗地开发程度</v>
      </c>
      <c r="R43" s="1554" t="s">
        <v>8</v>
      </c>
      <c r="S43" s="1555">
        <f t="shared" si="10"/>
        <v>100</v>
      </c>
      <c r="T43" s="1554" t="s">
        <v>8</v>
      </c>
      <c r="U43" s="1555">
        <f t="shared" si="11"/>
        <v>100</v>
      </c>
      <c r="V43" s="1554" t="s">
        <v>8</v>
      </c>
      <c r="W43" s="1555">
        <f t="shared" si="12"/>
        <v>100</v>
      </c>
      <c r="X43" s="1556"/>
      <c r="Y43" s="3385"/>
      <c r="Z43" s="1145" t="str">
        <f t="shared" si="13"/>
        <v>宗地开发程度</v>
      </c>
      <c r="AA43" s="1557">
        <f t="shared" si="3"/>
        <v>1</v>
      </c>
      <c r="AB43" s="1557">
        <f t="shared" si="4"/>
        <v>1</v>
      </c>
      <c r="AC43" s="1557">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385" t="s">
        <v>550</v>
      </c>
      <c r="Q44" s="1558" t="str">
        <f t="shared" si="14"/>
        <v>工程地质条件</v>
      </c>
      <c r="R44" s="1559" t="s">
        <v>8</v>
      </c>
      <c r="S44" s="1560">
        <f t="shared" si="10"/>
        <v>100</v>
      </c>
      <c r="T44" s="1559" t="s">
        <v>8</v>
      </c>
      <c r="U44" s="1560">
        <f t="shared" si="11"/>
        <v>100</v>
      </c>
      <c r="V44" s="1559" t="s">
        <v>8</v>
      </c>
      <c r="W44" s="1560">
        <f t="shared" si="12"/>
        <v>100</v>
      </c>
      <c r="X44" s="1553"/>
      <c r="Y44" s="3385"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85"/>
      <c r="Q45" s="1558">
        <f t="shared" si="14"/>
        <v>111</v>
      </c>
      <c r="R45" s="1559" t="s">
        <v>8</v>
      </c>
      <c r="S45" s="1560">
        <f t="shared" si="10"/>
        <v>100</v>
      </c>
      <c r="T45" s="1559" t="s">
        <v>8</v>
      </c>
      <c r="U45" s="1560">
        <f t="shared" si="11"/>
        <v>100</v>
      </c>
      <c r="V45" s="1559" t="s">
        <v>8</v>
      </c>
      <c r="W45" s="1560">
        <f t="shared" si="12"/>
        <v>100</v>
      </c>
      <c r="X45" s="1553"/>
      <c r="Y45" s="338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85"/>
      <c r="Q46" s="1558">
        <f t="shared" si="14"/>
        <v>111</v>
      </c>
      <c r="R46" s="1559" t="s">
        <v>8</v>
      </c>
      <c r="S46" s="1560">
        <f t="shared" si="10"/>
        <v>100</v>
      </c>
      <c r="T46" s="1559" t="s">
        <v>8</v>
      </c>
      <c r="U46" s="1560">
        <f t="shared" si="11"/>
        <v>100</v>
      </c>
      <c r="V46" s="1559" t="s">
        <v>8</v>
      </c>
      <c r="W46" s="1560">
        <f t="shared" si="12"/>
        <v>100</v>
      </c>
      <c r="X46" s="1553"/>
      <c r="Y46" s="3385"/>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85"/>
      <c r="Q47" s="1558">
        <f t="shared" si="14"/>
        <v>111</v>
      </c>
      <c r="R47" s="1563" t="s">
        <v>8</v>
      </c>
      <c r="S47" s="1564">
        <f t="shared" si="10"/>
        <v>100</v>
      </c>
      <c r="T47" s="1563" t="s">
        <v>8</v>
      </c>
      <c r="U47" s="1564">
        <f t="shared" si="11"/>
        <v>100</v>
      </c>
      <c r="V47" s="1563" t="s">
        <v>8</v>
      </c>
      <c r="W47" s="1564">
        <f t="shared" si="12"/>
        <v>100</v>
      </c>
      <c r="X47" s="1565"/>
      <c r="Y47" s="3385"/>
      <c r="Z47" s="1566">
        <f t="shared" si="13"/>
        <v>111</v>
      </c>
      <c r="AA47" s="1562">
        <f t="shared" si="3"/>
        <v>1</v>
      </c>
      <c r="AB47" s="1562">
        <f t="shared" si="4"/>
        <v>1</v>
      </c>
      <c r="AC47" s="1562">
        <f t="shared" si="5"/>
        <v>1</v>
      </c>
    </row>
    <row r="48" spans="1:29" ht="21">
      <c r="A48" s="607" t="s">
        <v>556</v>
      </c>
      <c r="B48" s="608" t="s">
        <v>3066</v>
      </c>
      <c r="C48" s="609" t="s">
        <v>1</v>
      </c>
      <c r="D48" s="610"/>
      <c r="E48" s="611">
        <f>Sheet2!M9</f>
        <v>3985.23</v>
      </c>
      <c r="F48" s="612"/>
      <c r="G48" s="613">
        <f>Sheet2!M25</f>
        <v>3811.07</v>
      </c>
      <c r="H48" s="614"/>
      <c r="I48" s="611">
        <f>Sheet2!M27</f>
        <v>3702.23</v>
      </c>
      <c r="J48" s="614"/>
      <c r="K48" s="1335"/>
      <c r="L48" s="2128"/>
      <c r="M48" s="2116"/>
      <c r="N48" s="2116"/>
      <c r="O48" s="2129"/>
      <c r="P48" s="3348" t="str">
        <f>A48</f>
        <v>成交单价</v>
      </c>
      <c r="Q48" s="3348"/>
      <c r="R48" s="3349">
        <f>E48</f>
        <v>3985.23</v>
      </c>
      <c r="S48" s="3349"/>
      <c r="T48" s="3349">
        <f>G48</f>
        <v>3811.07</v>
      </c>
      <c r="U48" s="3349"/>
      <c r="V48" s="3349">
        <f>I48</f>
        <v>3702.23</v>
      </c>
      <c r="W48" s="3349"/>
      <c r="X48" s="1545"/>
      <c r="Y48" s="1567"/>
      <c r="Z48" s="1545"/>
      <c r="AA48" s="1545"/>
      <c r="AB48" s="1545"/>
      <c r="AC48" s="1545"/>
    </row>
    <row r="49" spans="1:29" ht="21.6" thickBot="1">
      <c r="A49" s="615" t="s">
        <v>2688</v>
      </c>
      <c r="B49" s="616"/>
      <c r="C49" s="617">
        <f>R50</f>
        <v>3771</v>
      </c>
      <c r="D49" s="618"/>
      <c r="E49" s="617">
        <f>R49</f>
        <v>3871</v>
      </c>
      <c r="F49" s="619"/>
      <c r="G49" s="620">
        <f>T49</f>
        <v>3794</v>
      </c>
      <c r="H49" s="618"/>
      <c r="I49" s="617">
        <f>V49</f>
        <v>3649</v>
      </c>
      <c r="J49" s="618"/>
      <c r="K49" s="1336"/>
      <c r="L49" s="2128"/>
      <c r="M49" s="2116"/>
      <c r="N49" s="2116"/>
      <c r="O49" s="2129"/>
      <c r="P49" s="3348" t="str">
        <f>A49</f>
        <v>比较价格（元/平方米）</v>
      </c>
      <c r="Q49" s="3348"/>
      <c r="R49" s="3350">
        <f>ROUND(PRODUCT(R48,AA9:AA47),0)</f>
        <v>3871</v>
      </c>
      <c r="S49" s="3350"/>
      <c r="T49" s="3350">
        <f>ROUND(PRODUCT(T48,AB9:AB47),0)</f>
        <v>3794</v>
      </c>
      <c r="U49" s="3350"/>
      <c r="V49" s="3350">
        <f>ROUND(PRODUCT(V48,AC9:AC47),0)</f>
        <v>3649</v>
      </c>
      <c r="W49" s="3350"/>
      <c r="X49" s="1545"/>
      <c r="Y49" s="1545"/>
      <c r="Z49" s="1545"/>
      <c r="AA49" s="1545"/>
      <c r="AB49" s="1545"/>
      <c r="AC49" s="1545"/>
    </row>
    <row r="50" spans="1:29" ht="21.6" thickBot="1">
      <c r="A50" s="621" t="s">
        <v>2932</v>
      </c>
      <c r="B50" s="622"/>
      <c r="C50" s="623">
        <f>R50</f>
        <v>3771</v>
      </c>
      <c r="D50" s="623"/>
      <c r="E50" s="623"/>
      <c r="F50" s="623"/>
      <c r="G50" s="623"/>
      <c r="H50" s="623"/>
      <c r="I50" s="623"/>
      <c r="J50" s="623"/>
      <c r="K50" s="1337"/>
      <c r="L50" s="2128"/>
      <c r="M50" s="2116"/>
      <c r="N50" s="2116"/>
      <c r="O50" s="2129"/>
      <c r="P50" s="3345" t="str">
        <f>A50</f>
        <v>估价对象XX用房的比较价格（楼面单价，元/平方米）</v>
      </c>
      <c r="Q50" s="3346"/>
      <c r="R50" s="3347">
        <f>ROUND(AVERAGE(R49:V49),0)</f>
        <v>3771</v>
      </c>
      <c r="S50" s="3347"/>
      <c r="T50" s="3347"/>
      <c r="U50" s="3347"/>
      <c r="V50" s="3347"/>
      <c r="W50" s="3347"/>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2.9509170756910397E-2</v>
      </c>
      <c r="F53" s="627" t="str">
        <f>IF(OR(E53&gt;=0.3,E53&lt;=-0.3),"超过30%","")</f>
        <v/>
      </c>
      <c r="G53" s="626">
        <f>IF(G48&lt;G49,G49/G48-1,G48/G49-1)</f>
        <v>4.4992092778071147E-3</v>
      </c>
      <c r="H53" s="627" t="str">
        <f>IF(OR(G53&gt;=0.3,G53&lt;=-0.3),"超过30%","")</f>
        <v/>
      </c>
      <c r="I53" s="626">
        <f>IF(I48&lt;I49,I49/I48-1,I48/I49-1)</f>
        <v>1.4587558235132914E-2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2.0295202952029578E-2</v>
      </c>
      <c r="F54" s="627" t="str">
        <f>IF(OR(E54&gt;=0.2,E54&lt;=-0.2),"超过20%","")</f>
        <v/>
      </c>
      <c r="G54" s="626">
        <f>IF(G49&lt;I49,I49/G49-1,G49/I49-1)</f>
        <v>3.9736914223074793E-2</v>
      </c>
      <c r="H54" s="627" t="str">
        <f>IF(OR(G54&gt;=0.2,G54&lt;=-0.2),"超过20%","")</f>
        <v/>
      </c>
      <c r="I54" s="626">
        <f>IF(I49&lt;E49,E49/I49-1,I49/E49-1)</f>
        <v>6.0838585913949084E-2</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4.5698452140737311E-2</v>
      </c>
      <c r="F55" s="627" t="str">
        <f>IF(OR(E55&gt;=0.3,E55&lt;=-0.3),"超过30%","")</f>
        <v/>
      </c>
      <c r="G55" s="626">
        <f>IF(G48&lt;I48,I48/G48-1,G48/I48-1)</f>
        <v>2.9398497662219913E-2</v>
      </c>
      <c r="H55" s="627" t="str">
        <f>IF(OR(G55&gt;=0.3,G55&lt;=-0.3),"超过30%","")</f>
        <v/>
      </c>
      <c r="I55" s="626">
        <f>IF(I48&lt;E48,E48/I48-1,I48/E48-1)</f>
        <v>7.6440415641383597E-2</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1724</v>
      </c>
      <c r="D57" s="2211" t="s">
        <v>2289</v>
      </c>
      <c r="E57" s="631" t="s">
        <v>562</v>
      </c>
      <c r="F57" s="632" t="s">
        <v>563</v>
      </c>
      <c r="G57" s="3374" t="s">
        <v>2277</v>
      </c>
      <c r="H57" s="3375"/>
      <c r="I57" s="1541" t="s">
        <v>1722</v>
      </c>
      <c r="J57" s="1541" t="str">
        <f>项目基本情况!F41</f>
        <v>云南省昆明市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3771</v>
      </c>
      <c r="C58" s="635">
        <v>1</v>
      </c>
      <c r="D58" s="2212">
        <v>1</v>
      </c>
      <c r="E58" s="635">
        <f>'数据-汇总表'!E8+'数据-汇总表'!E9</f>
        <v>94045.28</v>
      </c>
      <c r="F58" s="636">
        <f t="shared" ref="F58:F67" si="15">ROUND(B58*E58/10000,0)</f>
        <v>35464</v>
      </c>
      <c r="G58" s="3376"/>
      <c r="H58" s="3377"/>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78" t="s">
        <v>2278</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78"/>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78"/>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78"/>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2324</v>
      </c>
      <c r="B63" s="638">
        <f t="shared" si="17"/>
        <v>0</v>
      </c>
      <c r="C63" s="378">
        <f t="shared" si="16"/>
        <v>0</v>
      </c>
      <c r="D63" s="2213">
        <v>0.25</v>
      </c>
      <c r="E63" s="641">
        <f>'数据-汇总表'!E11</f>
        <v>0</v>
      </c>
      <c r="F63" s="636">
        <f t="shared" si="15"/>
        <v>0</v>
      </c>
      <c r="G63" s="1929" t="s">
        <v>2279</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2278</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2279</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2290</v>
      </c>
      <c r="E68" s="643">
        <f>IF(B48="楼面地价",SUM(E58:E67),'数据-汇总表'!D3)</f>
        <v>94045.28</v>
      </c>
      <c r="F68" s="644">
        <f>IF(B48="楼面地价",SUM(F58:F67),ROUND(C50*E68/10000,0))</f>
        <v>35464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8">EDATE(D70,-3)</f>
        <v>43709</v>
      </c>
      <c r="F70" s="2753">
        <f t="shared" si="18"/>
        <v>43617</v>
      </c>
      <c r="G70" s="2753">
        <f t="shared" si="18"/>
        <v>43525</v>
      </c>
      <c r="H70" s="2753">
        <f t="shared" si="18"/>
        <v>43435</v>
      </c>
      <c r="I70" s="2753">
        <f t="shared" si="18"/>
        <v>43344</v>
      </c>
      <c r="J70" s="2753">
        <f t="shared" si="18"/>
        <v>43252</v>
      </c>
      <c r="K70" s="2753">
        <f t="shared" si="18"/>
        <v>43160</v>
      </c>
      <c r="L70" s="2753">
        <f t="shared" si="18"/>
        <v>43070</v>
      </c>
      <c r="M70" s="2753">
        <f t="shared" si="18"/>
        <v>42979</v>
      </c>
      <c r="N70" s="2753">
        <f t="shared" si="18"/>
        <v>42887</v>
      </c>
      <c r="O70" s="2129"/>
      <c r="P70" s="2129"/>
      <c r="Q70" s="2129"/>
      <c r="R70" s="2129"/>
      <c r="S70" s="2129"/>
      <c r="T70" s="2129"/>
      <c r="U70" s="2129"/>
      <c r="V70" s="2129"/>
      <c r="W70" s="2129"/>
      <c r="X70" s="2129"/>
      <c r="Y70" s="2129"/>
      <c r="Z70" s="2129"/>
      <c r="AA70" s="2129"/>
      <c r="AB70" s="2129"/>
      <c r="AC70" s="2129"/>
    </row>
    <row r="71" spans="1:29" ht="22.2"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2528</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2642</v>
      </c>
      <c r="B73" s="479" t="str">
        <f>"北京市平均增长率"&amp;TEXT(SUMIF(基准地价!N21:N25,A73,基准地价!P21:P25),"0.00%")</f>
        <v>北京市平均增长率1.90%</v>
      </c>
      <c r="C73" s="893">
        <v>100</v>
      </c>
      <c r="D73" s="730">
        <f>C73-0.5</f>
        <v>99.5</v>
      </c>
      <c r="E73" s="730">
        <f t="shared" ref="E73:I73" si="20">D73-0.5</f>
        <v>99</v>
      </c>
      <c r="F73" s="730">
        <f t="shared" si="20"/>
        <v>98.5</v>
      </c>
      <c r="G73" s="730">
        <f t="shared" si="20"/>
        <v>98</v>
      </c>
      <c r="H73" s="730">
        <f t="shared" si="20"/>
        <v>97.5</v>
      </c>
      <c r="I73" s="730">
        <f t="shared" si="20"/>
        <v>97</v>
      </c>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485" t="s">
        <v>3055</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v>6</v>
      </c>
      <c r="J82" s="541">
        <v>7</v>
      </c>
      <c r="K82" s="541">
        <v>8</v>
      </c>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486" t="s">
        <v>3056</v>
      </c>
      <c r="D108" s="3486" t="s">
        <v>3057</v>
      </c>
      <c r="E108" s="3486" t="s">
        <v>3058</v>
      </c>
      <c r="F108" s="3486" t="s">
        <v>3059</v>
      </c>
      <c r="G108" s="3486" t="s">
        <v>3060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14.4">
      <c r="A118" s="664" t="s">
        <v>551</v>
      </c>
      <c r="B118" s="665" t="s">
        <v>593</v>
      </c>
      <c r="C118" s="704" t="str">
        <f t="shared" ref="C118:L118" si="26">C119&amp;"(含)"&amp;"-"&amp;D119</f>
        <v>0(含)-30000</v>
      </c>
      <c r="D118" s="704" t="str">
        <f t="shared" si="26"/>
        <v>30000(含)-60000</v>
      </c>
      <c r="E118" s="704" t="str">
        <f t="shared" si="26"/>
        <v>60000(含)-90000</v>
      </c>
      <c r="F118" s="704" t="str">
        <f t="shared" si="26"/>
        <v>90000(含)-110000</v>
      </c>
      <c r="G118" s="704" t="str">
        <f t="shared" si="26"/>
        <v>110000(含)-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30000</v>
      </c>
      <c r="E119" s="730">
        <v>60000</v>
      </c>
      <c r="F119" s="730">
        <v>90000</v>
      </c>
      <c r="G119" s="730">
        <v>110000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99</v>
      </c>
      <c r="E120" s="726">
        <f t="shared" ref="E120:G120" si="27">D120-1</f>
        <v>98</v>
      </c>
      <c r="F120" s="726">
        <f t="shared" si="27"/>
        <v>97</v>
      </c>
      <c r="G120" s="726">
        <f t="shared" si="27"/>
        <v>96</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493" t="s">
        <v>3062</v>
      </c>
      <c r="D121" s="3493" t="s">
        <v>3063</v>
      </c>
      <c r="E121" s="3493" t="s">
        <v>3064</v>
      </c>
      <c r="F121" s="3493" t="s">
        <v>3065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2421</v>
      </c>
      <c r="C125" s="1371" t="s">
        <v>3044</v>
      </c>
      <c r="D125" s="1371" t="s">
        <v>3045</v>
      </c>
      <c r="E125" s="1371" t="s">
        <v>3046</v>
      </c>
      <c r="F125" s="1371" t="s">
        <v>3047</v>
      </c>
      <c r="G125" s="1371" t="s">
        <v>3048</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4.4">
      <c r="A6" s="512" t="s">
        <v>521</v>
      </c>
      <c r="B6" s="513"/>
      <c r="C6" s="3354" t="s">
        <v>522</v>
      </c>
      <c r="D6" s="3355"/>
      <c r="E6" s="3388" t="s">
        <v>523</v>
      </c>
      <c r="F6" s="3389"/>
      <c r="G6" s="3354" t="s">
        <v>524</v>
      </c>
      <c r="H6" s="3355"/>
      <c r="I6" s="3354" t="s">
        <v>525</v>
      </c>
      <c r="J6" s="3355"/>
      <c r="K6" s="514" t="s">
        <v>526</v>
      </c>
      <c r="L6" s="2117"/>
      <c r="M6" s="2118"/>
      <c r="N6" s="2118"/>
      <c r="O6" s="2118"/>
      <c r="P6" s="3356" t="s">
        <v>527</v>
      </c>
      <c r="Q6" s="3357"/>
      <c r="R6" s="3362" t="s">
        <v>523</v>
      </c>
      <c r="S6" s="3363"/>
      <c r="T6" s="3362" t="s">
        <v>524</v>
      </c>
      <c r="U6" s="3363"/>
      <c r="V6" s="3349" t="s">
        <v>525</v>
      </c>
      <c r="W6" s="3349"/>
      <c r="X6" s="1553"/>
      <c r="Y6" s="3362" t="s">
        <v>527</v>
      </c>
      <c r="Z6" s="3363"/>
      <c r="AA6" s="3351" t="s">
        <v>523</v>
      </c>
      <c r="AB6" s="3352" t="s">
        <v>524</v>
      </c>
      <c r="AC6" s="3351" t="s">
        <v>525</v>
      </c>
    </row>
    <row r="7" spans="1:29">
      <c r="A7" s="515"/>
      <c r="B7" s="516"/>
      <c r="C7" s="3370" t="s">
        <v>2926</v>
      </c>
      <c r="D7" s="3371"/>
      <c r="E7" s="3390" t="s">
        <v>2927</v>
      </c>
      <c r="F7" s="3391"/>
      <c r="G7" s="3370" t="s">
        <v>2928</v>
      </c>
      <c r="H7" s="3371"/>
      <c r="I7" s="3370" t="s">
        <v>2929</v>
      </c>
      <c r="J7" s="3371"/>
      <c r="K7" s="514"/>
      <c r="L7" s="2117"/>
      <c r="M7" s="2118"/>
      <c r="N7" s="2118"/>
      <c r="O7" s="2118"/>
      <c r="P7" s="3358"/>
      <c r="Q7" s="3359"/>
      <c r="R7" s="3364"/>
      <c r="S7" s="3365"/>
      <c r="T7" s="3364"/>
      <c r="U7" s="3365"/>
      <c r="V7" s="3349"/>
      <c r="W7" s="3349"/>
      <c r="X7" s="1553"/>
      <c r="Y7" s="3364"/>
      <c r="Z7" s="3365"/>
      <c r="AA7" s="3352"/>
      <c r="AB7" s="3352"/>
      <c r="AC7" s="3352"/>
    </row>
    <row r="8" spans="1:29" ht="15" thickBot="1">
      <c r="A8" s="517"/>
      <c r="B8" s="518"/>
      <c r="C8" s="3368" t="s">
        <v>2930</v>
      </c>
      <c r="D8" s="3369"/>
      <c r="E8" s="3386" t="s">
        <v>2930</v>
      </c>
      <c r="F8" s="3387"/>
      <c r="G8" s="3368" t="s">
        <v>2930</v>
      </c>
      <c r="H8" s="3369"/>
      <c r="I8" s="3368" t="s">
        <v>2930</v>
      </c>
      <c r="J8" s="3369"/>
      <c r="K8" s="514" t="s">
        <v>528</v>
      </c>
      <c r="L8" s="2117"/>
      <c r="M8" s="2118"/>
      <c r="N8" s="2118"/>
      <c r="O8" s="2118"/>
      <c r="P8" s="3360"/>
      <c r="Q8" s="3361"/>
      <c r="R8" s="3364"/>
      <c r="S8" s="3365"/>
      <c r="T8" s="3366"/>
      <c r="U8" s="3367"/>
      <c r="V8" s="3349"/>
      <c r="W8" s="3349"/>
      <c r="X8" s="1553"/>
      <c r="Y8" s="3366"/>
      <c r="Z8" s="3367"/>
      <c r="AA8" s="3353"/>
      <c r="AB8" s="3353"/>
      <c r="AC8" s="3353"/>
    </row>
    <row r="9" spans="1:29" s="1215" customFormat="1" ht="15" thickBot="1">
      <c r="A9" s="2866"/>
      <c r="B9" s="2873" t="s">
        <v>529</v>
      </c>
      <c r="C9" s="519">
        <f>'数据-取费表'!B2</f>
        <v>43895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9" t="s">
        <v>530</v>
      </c>
      <c r="Q9" s="3381"/>
      <c r="R9" s="1554" t="s">
        <v>8</v>
      </c>
      <c r="S9" s="1555">
        <f t="shared" ref="S9:S17" si="0">F9</f>
        <v>0</v>
      </c>
      <c r="T9" s="1554" t="s">
        <v>8</v>
      </c>
      <c r="U9" s="1555">
        <f t="shared" ref="U9:U17" si="1">H9</f>
        <v>0</v>
      </c>
      <c r="V9" s="1554" t="s">
        <v>8</v>
      </c>
      <c r="W9" s="1555">
        <f t="shared" ref="W9:W17" si="2">J9</f>
        <v>0</v>
      </c>
      <c r="X9" s="1556"/>
      <c r="Y9" s="3379" t="s">
        <v>530</v>
      </c>
      <c r="Z9" s="3380"/>
      <c r="AA9" s="1557" t="e">
        <f>D9/F9</f>
        <v>#DIV/0!</v>
      </c>
      <c r="AB9" s="1557" t="e">
        <f>D9/H9</f>
        <v>#DIV/0!</v>
      </c>
      <c r="AC9" s="1557"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9" t="s">
        <v>533</v>
      </c>
      <c r="Q10" s="3380"/>
      <c r="R10" s="1554" t="s">
        <v>8</v>
      </c>
      <c r="S10" s="1555">
        <f t="shared" si="0"/>
        <v>0</v>
      </c>
      <c r="T10" s="1554" t="s">
        <v>8</v>
      </c>
      <c r="U10" s="1555">
        <f t="shared" si="1"/>
        <v>0</v>
      </c>
      <c r="V10" s="1554" t="s">
        <v>8</v>
      </c>
      <c r="W10" s="1555">
        <f t="shared" si="2"/>
        <v>0</v>
      </c>
      <c r="X10" s="1556"/>
      <c r="Y10" s="3379" t="s">
        <v>533</v>
      </c>
      <c r="Z10" s="3380"/>
      <c r="AA10" s="1557" t="e">
        <f t="shared" ref="AA10:AA42" si="3">D10/F10</f>
        <v>#DIV/0!</v>
      </c>
      <c r="AB10" s="1557" t="e">
        <f t="shared" ref="AB10:AB42" si="4">D10/H10</f>
        <v>#DIV/0!</v>
      </c>
      <c r="AC10" s="1557" t="e">
        <f t="shared" ref="AC10:AC42" si="5">D10/J10</f>
        <v>#DIV/0!</v>
      </c>
    </row>
    <row r="11" spans="1:29" s="1215" customFormat="1" ht="14.4">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48" t="s">
        <v>535</v>
      </c>
      <c r="Q11" s="1146" t="str">
        <f t="shared" ref="Q11:Q17" si="6">B11</f>
        <v>用途</v>
      </c>
      <c r="R11" s="1554" t="s">
        <v>8</v>
      </c>
      <c r="S11" s="1555">
        <f t="shared" si="0"/>
        <v>100</v>
      </c>
      <c r="T11" s="1554" t="s">
        <v>8</v>
      </c>
      <c r="U11" s="1555">
        <f t="shared" si="1"/>
        <v>100</v>
      </c>
      <c r="V11" s="1554" t="s">
        <v>8</v>
      </c>
      <c r="W11" s="1555">
        <f t="shared" si="2"/>
        <v>100</v>
      </c>
      <c r="X11" s="1556"/>
      <c r="Y11" s="3294" t="s">
        <v>536</v>
      </c>
      <c r="Z11" s="1145" t="str">
        <f t="shared" ref="Z11:Z17" si="7">Q11</f>
        <v>用途</v>
      </c>
      <c r="AA11" s="1557">
        <f t="shared" si="3"/>
        <v>1</v>
      </c>
      <c r="AB11" s="1557">
        <f t="shared" si="4"/>
        <v>1</v>
      </c>
      <c r="AC11" s="1557">
        <f t="shared" si="5"/>
        <v>1</v>
      </c>
    </row>
    <row r="12" spans="1:29" s="1333" customFormat="1" ht="28.8">
      <c r="A12" s="2869"/>
      <c r="B12" s="2874" t="s">
        <v>2752</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48"/>
      <c r="Q12" s="1146" t="str">
        <f t="shared" si="6"/>
        <v>土地使用年限（年）</v>
      </c>
      <c r="R12" s="1554" t="s">
        <v>8</v>
      </c>
      <c r="S12" s="1555">
        <f t="shared" si="0"/>
        <v>100</v>
      </c>
      <c r="T12" s="1554" t="s">
        <v>8</v>
      </c>
      <c r="U12" s="1555">
        <f t="shared" si="1"/>
        <v>100</v>
      </c>
      <c r="V12" s="1554" t="s">
        <v>8</v>
      </c>
      <c r="W12" s="1555">
        <f t="shared" si="2"/>
        <v>100</v>
      </c>
      <c r="X12" s="1556"/>
      <c r="Y12" s="3294"/>
      <c r="Z12" s="1145" t="str">
        <f t="shared" si="7"/>
        <v>土地使用年限（年）</v>
      </c>
      <c r="AA12" s="1557">
        <f t="shared" si="3"/>
        <v>1</v>
      </c>
      <c r="AB12" s="1557">
        <f t="shared" si="4"/>
        <v>1</v>
      </c>
      <c r="AC12" s="1557">
        <f t="shared" si="5"/>
        <v>1</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48"/>
      <c r="Q13" s="1146" t="str">
        <f t="shared" si="6"/>
        <v>容积率</v>
      </c>
      <c r="R13" s="1554" t="s">
        <v>8</v>
      </c>
      <c r="S13" s="1555" t="e">
        <f t="shared" si="0"/>
        <v>#N/A</v>
      </c>
      <c r="T13" s="1554" t="s">
        <v>8</v>
      </c>
      <c r="U13" s="1555" t="e">
        <f t="shared" si="1"/>
        <v>#N/A</v>
      </c>
      <c r="V13" s="1554" t="s">
        <v>8</v>
      </c>
      <c r="W13" s="1555" t="e">
        <f t="shared" si="2"/>
        <v>#N/A</v>
      </c>
      <c r="X13" s="1556"/>
      <c r="Y13" s="3294"/>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48"/>
      <c r="Q14" s="1146">
        <f t="shared" si="6"/>
        <v>111</v>
      </c>
      <c r="R14" s="1554" t="s">
        <v>8</v>
      </c>
      <c r="S14" s="1555">
        <f t="shared" si="0"/>
        <v>100</v>
      </c>
      <c r="T14" s="1554" t="s">
        <v>8</v>
      </c>
      <c r="U14" s="1555">
        <f t="shared" si="1"/>
        <v>100</v>
      </c>
      <c r="V14" s="1554" t="s">
        <v>8</v>
      </c>
      <c r="W14" s="1555">
        <f t="shared" si="2"/>
        <v>100</v>
      </c>
      <c r="X14" s="1556"/>
      <c r="Y14" s="3294"/>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48"/>
      <c r="Q15" s="1146">
        <f t="shared" si="6"/>
        <v>111</v>
      </c>
      <c r="R15" s="1554" t="s">
        <v>8</v>
      </c>
      <c r="S15" s="1555">
        <f t="shared" si="0"/>
        <v>100</v>
      </c>
      <c r="T15" s="1554" t="s">
        <v>8</v>
      </c>
      <c r="U15" s="1555">
        <f t="shared" si="1"/>
        <v>100</v>
      </c>
      <c r="V15" s="1554" t="s">
        <v>8</v>
      </c>
      <c r="W15" s="1555">
        <f t="shared" si="2"/>
        <v>100</v>
      </c>
      <c r="X15" s="1556"/>
      <c r="Y15" s="3294"/>
      <c r="Z15" s="1145">
        <f t="shared" si="7"/>
        <v>111</v>
      </c>
      <c r="AA15" s="1557">
        <f t="shared" si="3"/>
        <v>1</v>
      </c>
      <c r="AB15" s="1557">
        <f t="shared" si="4"/>
        <v>1</v>
      </c>
      <c r="AC15" s="1557">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48"/>
      <c r="Q16" s="1146">
        <f t="shared" si="6"/>
        <v>111</v>
      </c>
      <c r="R16" s="1554" t="s">
        <v>8</v>
      </c>
      <c r="S16" s="1555">
        <f t="shared" si="0"/>
        <v>100</v>
      </c>
      <c r="T16" s="1554" t="s">
        <v>8</v>
      </c>
      <c r="U16" s="1555">
        <f t="shared" si="1"/>
        <v>100</v>
      </c>
      <c r="V16" s="1554" t="s">
        <v>8</v>
      </c>
      <c r="W16" s="1555">
        <f t="shared" si="2"/>
        <v>100</v>
      </c>
      <c r="X16" s="1556"/>
      <c r="Y16" s="3294"/>
      <c r="Z16" s="1145">
        <f t="shared" si="7"/>
        <v>111</v>
      </c>
      <c r="AA16" s="1557">
        <f t="shared" si="3"/>
        <v>1</v>
      </c>
      <c r="AB16" s="1557">
        <f t="shared" si="4"/>
        <v>1</v>
      </c>
      <c r="AC16" s="1557">
        <f t="shared" si="5"/>
        <v>1</v>
      </c>
    </row>
    <row r="17" spans="1:29" ht="69">
      <c r="A17" s="2864" t="s">
        <v>2749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2" t="s">
        <v>540</v>
      </c>
      <c r="Q17" s="1558" t="str">
        <f t="shared" si="6"/>
        <v>产业集聚程度</v>
      </c>
      <c r="R17" s="1559" t="s">
        <v>8</v>
      </c>
      <c r="S17" s="1560">
        <f t="shared" si="0"/>
        <v>100</v>
      </c>
      <c r="T17" s="1559" t="s">
        <v>8</v>
      </c>
      <c r="U17" s="1560">
        <f t="shared" si="1"/>
        <v>100</v>
      </c>
      <c r="V17" s="1559" t="s">
        <v>8</v>
      </c>
      <c r="W17" s="1560">
        <f t="shared" si="2"/>
        <v>100</v>
      </c>
      <c r="X17" s="1553"/>
      <c r="Y17" s="338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383"/>
      <c r="Q18" s="1558"/>
      <c r="R18" s="1559"/>
      <c r="S18" s="1560"/>
      <c r="T18" s="1559"/>
      <c r="U18" s="1560"/>
      <c r="V18" s="1559"/>
      <c r="W18" s="1560"/>
      <c r="X18" s="1553"/>
      <c r="Y18" s="3383"/>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3"/>
      <c r="Q19" s="1558" t="str">
        <f>B19</f>
        <v>交通便捷度</v>
      </c>
      <c r="R19" s="1559" t="s">
        <v>8</v>
      </c>
      <c r="S19" s="1560">
        <f>F19</f>
        <v>100</v>
      </c>
      <c r="T19" s="1559" t="s">
        <v>8</v>
      </c>
      <c r="U19" s="1560">
        <f>H19</f>
        <v>100</v>
      </c>
      <c r="V19" s="1559" t="s">
        <v>8</v>
      </c>
      <c r="W19" s="1560">
        <f>J19</f>
        <v>100</v>
      </c>
      <c r="X19" s="1553"/>
      <c r="Y19" s="338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6"/>
      <c r="M20" s="2118"/>
      <c r="N20" s="2118"/>
      <c r="O20" s="2125"/>
      <c r="P20" s="3383"/>
      <c r="Q20" s="1558"/>
      <c r="R20" s="1559"/>
      <c r="S20" s="1560"/>
      <c r="T20" s="1559"/>
      <c r="U20" s="1560"/>
      <c r="V20" s="1559"/>
      <c r="W20" s="1560"/>
      <c r="X20" s="1553"/>
      <c r="Y20" s="3383"/>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83"/>
      <c r="Q21" s="1558" t="str">
        <f t="shared" ref="Q21:Q35" si="8">B21</f>
        <v>区域土地利用方向</v>
      </c>
      <c r="R21" s="1559" t="s">
        <v>8</v>
      </c>
      <c r="S21" s="1560">
        <f>F21</f>
        <v>100</v>
      </c>
      <c r="T21" s="1559" t="s">
        <v>8</v>
      </c>
      <c r="U21" s="1560">
        <f>H21</f>
        <v>100</v>
      </c>
      <c r="V21" s="1559" t="s">
        <v>8</v>
      </c>
      <c r="W21" s="1560">
        <f>J21</f>
        <v>100</v>
      </c>
      <c r="X21" s="1553"/>
      <c r="Y21" s="338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6"/>
      <c r="M22" s="2118"/>
      <c r="N22" s="2118"/>
      <c r="O22" s="2125"/>
      <c r="P22" s="3383"/>
      <c r="Q22" s="1558"/>
      <c r="R22" s="1559"/>
      <c r="S22" s="1560"/>
      <c r="T22" s="1559"/>
      <c r="U22" s="1560"/>
      <c r="V22" s="1559"/>
      <c r="W22" s="1560"/>
      <c r="X22" s="1553"/>
      <c r="Y22" s="3383"/>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3"/>
      <c r="Q23" s="1558" t="str">
        <f t="shared" si="8"/>
        <v>环境状况</v>
      </c>
      <c r="R23" s="1559" t="s">
        <v>8</v>
      </c>
      <c r="S23" s="1560">
        <f>F23</f>
        <v>100</v>
      </c>
      <c r="T23" s="1559" t="s">
        <v>8</v>
      </c>
      <c r="U23" s="1560">
        <f>H23</f>
        <v>100</v>
      </c>
      <c r="V23" s="1559" t="s">
        <v>8</v>
      </c>
      <c r="W23" s="1560">
        <f>J23</f>
        <v>100</v>
      </c>
      <c r="X23" s="1553"/>
      <c r="Y23" s="338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383"/>
      <c r="Q24" s="1558"/>
      <c r="R24" s="1559"/>
      <c r="S24" s="1560"/>
      <c r="T24" s="1559"/>
      <c r="U24" s="1560"/>
      <c r="V24" s="1559"/>
      <c r="W24" s="1560"/>
      <c r="X24" s="1553"/>
      <c r="Y24" s="3383"/>
      <c r="Z24" s="1561"/>
      <c r="AA24" s="1562">
        <v>1</v>
      </c>
      <c r="AB24" s="1562">
        <v>1</v>
      </c>
      <c r="AC24" s="1562">
        <v>1</v>
      </c>
    </row>
    <row r="25" spans="1:29" s="1215" customFormat="1" ht="41.4">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3"/>
      <c r="Q25" s="1146" t="str">
        <f t="shared" si="8"/>
        <v>公共配套设施</v>
      </c>
      <c r="R25" s="1554" t="s">
        <v>8</v>
      </c>
      <c r="S25" s="1555">
        <f>F25</f>
        <v>100</v>
      </c>
      <c r="T25" s="1554" t="s">
        <v>8</v>
      </c>
      <c r="U25" s="1555">
        <f>H25</f>
        <v>100</v>
      </c>
      <c r="V25" s="1554" t="s">
        <v>8</v>
      </c>
      <c r="W25" s="1555">
        <f>J25</f>
        <v>100</v>
      </c>
      <c r="X25" s="1556"/>
      <c r="Y25" s="3383"/>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19"/>
      <c r="M26" s="2120"/>
      <c r="N26" s="2120"/>
      <c r="O26" s="2121"/>
      <c r="P26" s="3383"/>
      <c r="Q26" s="1146"/>
      <c r="R26" s="1554"/>
      <c r="S26" s="1555"/>
      <c r="T26" s="1554"/>
      <c r="U26" s="1555"/>
      <c r="V26" s="1554"/>
      <c r="W26" s="1555"/>
      <c r="X26" s="1556"/>
      <c r="Y26" s="3383"/>
      <c r="Z26" s="1145"/>
      <c r="AA26" s="1557">
        <v>1</v>
      </c>
      <c r="AB26" s="1557">
        <v>1</v>
      </c>
      <c r="AC26" s="1557">
        <v>1</v>
      </c>
    </row>
    <row r="27" spans="1:29" s="1215" customFormat="1" ht="41.4">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3"/>
      <c r="Q27" s="2541" t="str">
        <f t="shared" ref="Q27" si="9">B27</f>
        <v>基础设施水平</v>
      </c>
      <c r="R27" s="1554" t="s">
        <v>8</v>
      </c>
      <c r="S27" s="1555">
        <f>F27</f>
        <v>100</v>
      </c>
      <c r="T27" s="1554" t="s">
        <v>8</v>
      </c>
      <c r="U27" s="1555">
        <f>H27</f>
        <v>100</v>
      </c>
      <c r="V27" s="1554" t="s">
        <v>8</v>
      </c>
      <c r="W27" s="1555">
        <f>J27</f>
        <v>100</v>
      </c>
      <c r="X27" s="1556"/>
      <c r="Y27" s="3383"/>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19"/>
      <c r="M28" s="2120"/>
      <c r="N28" s="2120"/>
      <c r="O28" s="2121"/>
      <c r="P28" s="3383"/>
      <c r="Q28" s="2541"/>
      <c r="R28" s="1554"/>
      <c r="S28" s="1555"/>
      <c r="T28" s="1554"/>
      <c r="U28" s="1555"/>
      <c r="V28" s="1554"/>
      <c r="W28" s="1555"/>
      <c r="X28" s="1556"/>
      <c r="Y28" s="3383"/>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3"/>
      <c r="Z29" s="1561" t="str">
        <f t="shared" ref="Z29:Z42" si="13">Q29</f>
        <v>临街状况</v>
      </c>
      <c r="AA29" s="1562">
        <f t="shared" si="3"/>
        <v>1</v>
      </c>
      <c r="AB29" s="1562">
        <f t="shared" si="4"/>
        <v>1</v>
      </c>
      <c r="AC29" s="1562">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3"/>
      <c r="Q30" s="1558" t="str">
        <f t="shared" si="8"/>
        <v>毗邻道路的类型与等级</v>
      </c>
      <c r="R30" s="1559" t="s">
        <v>8</v>
      </c>
      <c r="S30" s="1560">
        <f t="shared" si="10"/>
        <v>100</v>
      </c>
      <c r="T30" s="1559" t="s">
        <v>8</v>
      </c>
      <c r="U30" s="1560">
        <f t="shared" si="11"/>
        <v>100</v>
      </c>
      <c r="V30" s="1559" t="s">
        <v>8</v>
      </c>
      <c r="W30" s="1560">
        <f t="shared" si="12"/>
        <v>100</v>
      </c>
      <c r="X30" s="1553"/>
      <c r="Y30" s="338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383"/>
      <c r="Q31" s="1558"/>
      <c r="R31" s="1559"/>
      <c r="S31" s="1560"/>
      <c r="T31" s="1559"/>
      <c r="U31" s="1560"/>
      <c r="V31" s="1559"/>
      <c r="W31" s="1560"/>
      <c r="X31" s="1553"/>
      <c r="Y31" s="3383"/>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3"/>
      <c r="Q32" s="1558" t="str">
        <f t="shared" si="8"/>
        <v>土地级别</v>
      </c>
      <c r="R32" s="1559" t="s">
        <v>8</v>
      </c>
      <c r="S32" s="1560">
        <f t="shared" si="10"/>
        <v>100</v>
      </c>
      <c r="T32" s="1559" t="s">
        <v>8</v>
      </c>
      <c r="U32" s="1560">
        <f t="shared" si="11"/>
        <v>100</v>
      </c>
      <c r="V32" s="1559" t="s">
        <v>8</v>
      </c>
      <c r="W32" s="1560">
        <f t="shared" si="12"/>
        <v>100</v>
      </c>
      <c r="X32" s="1553"/>
      <c r="Y32" s="338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3"/>
      <c r="Q33" s="1558">
        <f t="shared" si="8"/>
        <v>111</v>
      </c>
      <c r="R33" s="1559" t="s">
        <v>8</v>
      </c>
      <c r="S33" s="1560">
        <f t="shared" si="10"/>
        <v>100</v>
      </c>
      <c r="T33" s="1559" t="s">
        <v>8</v>
      </c>
      <c r="U33" s="1560">
        <f t="shared" si="11"/>
        <v>100</v>
      </c>
      <c r="V33" s="1559" t="s">
        <v>8</v>
      </c>
      <c r="W33" s="1560">
        <f t="shared" si="12"/>
        <v>100</v>
      </c>
      <c r="X33" s="1553"/>
      <c r="Y33" s="338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4" t="s">
        <v>550</v>
      </c>
      <c r="Q34" s="1558">
        <f t="shared" si="8"/>
        <v>111</v>
      </c>
      <c r="R34" s="1559" t="s">
        <v>8</v>
      </c>
      <c r="S34" s="1560">
        <f t="shared" si="10"/>
        <v>100</v>
      </c>
      <c r="T34" s="1559" t="s">
        <v>8</v>
      </c>
      <c r="U34" s="1560">
        <f t="shared" si="11"/>
        <v>100</v>
      </c>
      <c r="V34" s="1559" t="s">
        <v>8</v>
      </c>
      <c r="W34" s="1560">
        <f t="shared" si="12"/>
        <v>100</v>
      </c>
      <c r="X34" s="1553"/>
      <c r="Y34" s="3385" t="s">
        <v>550</v>
      </c>
      <c r="Z34" s="1561">
        <f t="shared" si="13"/>
        <v>111</v>
      </c>
      <c r="AA34" s="1562">
        <f t="shared" si="3"/>
        <v>1</v>
      </c>
      <c r="AB34" s="1562">
        <f t="shared" si="4"/>
        <v>1</v>
      </c>
      <c r="AC34" s="1562">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85"/>
      <c r="Q35" s="1558">
        <f t="shared" si="8"/>
        <v>111</v>
      </c>
      <c r="R35" s="1563" t="s">
        <v>8</v>
      </c>
      <c r="S35" s="1564">
        <f t="shared" si="10"/>
        <v>100</v>
      </c>
      <c r="T35" s="1563" t="s">
        <v>8</v>
      </c>
      <c r="U35" s="1564">
        <f t="shared" si="11"/>
        <v>100</v>
      </c>
      <c r="V35" s="1563" t="s">
        <v>8</v>
      </c>
      <c r="W35" s="1564">
        <f t="shared" si="12"/>
        <v>100</v>
      </c>
      <c r="X35" s="1565"/>
      <c r="Y35" s="3385"/>
      <c r="Z35" s="1566">
        <f t="shared" si="13"/>
        <v>111</v>
      </c>
      <c r="AA35" s="1562">
        <f t="shared" si="3"/>
        <v>1</v>
      </c>
      <c r="AB35" s="1562">
        <f t="shared" si="4"/>
        <v>1</v>
      </c>
      <c r="AC35" s="1562">
        <f t="shared" si="5"/>
        <v>1</v>
      </c>
    </row>
    <row r="36" spans="1:29" ht="15">
      <c r="A36" s="2861"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85"/>
      <c r="Q36" s="1558" t="str">
        <f>B36</f>
        <v>宗地面积</v>
      </c>
      <c r="R36" s="1559" t="s">
        <v>8</v>
      </c>
      <c r="S36" s="1560" t="e">
        <f t="shared" si="10"/>
        <v>#N/A</v>
      </c>
      <c r="T36" s="1559" t="s">
        <v>8</v>
      </c>
      <c r="U36" s="1560" t="e">
        <f t="shared" si="11"/>
        <v>#N/A</v>
      </c>
      <c r="V36" s="1559" t="s">
        <v>8</v>
      </c>
      <c r="W36" s="1560" t="e">
        <f t="shared" si="12"/>
        <v>#N/A</v>
      </c>
      <c r="X36" s="1553"/>
      <c r="Y36" s="338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85"/>
      <c r="Q37" s="1558" t="str">
        <f t="shared" ref="Q37:Q42" si="14">B37</f>
        <v>宗地形状</v>
      </c>
      <c r="R37" s="1559" t="s">
        <v>8</v>
      </c>
      <c r="S37" s="1560">
        <f t="shared" si="10"/>
        <v>100</v>
      </c>
      <c r="T37" s="1559" t="s">
        <v>8</v>
      </c>
      <c r="U37" s="1560">
        <f t="shared" si="11"/>
        <v>100</v>
      </c>
      <c r="V37" s="1559" t="s">
        <v>8</v>
      </c>
      <c r="W37" s="1560">
        <f t="shared" si="12"/>
        <v>100</v>
      </c>
      <c r="X37" s="1553"/>
      <c r="Y37" s="3385"/>
      <c r="Z37" s="1561" t="str">
        <f t="shared" si="13"/>
        <v>宗地形状</v>
      </c>
      <c r="AA37" s="1562">
        <f t="shared" si="3"/>
        <v>1</v>
      </c>
      <c r="AB37" s="1562">
        <f t="shared" si="4"/>
        <v>1</v>
      </c>
      <c r="AC37" s="1562">
        <f t="shared" si="5"/>
        <v>1</v>
      </c>
    </row>
    <row r="38" spans="1:29" s="1215"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85"/>
      <c r="Q38" s="1558" t="str">
        <f t="shared" si="14"/>
        <v>宗地开发程度</v>
      </c>
      <c r="R38" s="1554" t="s">
        <v>8</v>
      </c>
      <c r="S38" s="1555">
        <f t="shared" si="10"/>
        <v>100</v>
      </c>
      <c r="T38" s="1554" t="s">
        <v>8</v>
      </c>
      <c r="U38" s="1555">
        <f t="shared" si="11"/>
        <v>100</v>
      </c>
      <c r="V38" s="1554" t="s">
        <v>8</v>
      </c>
      <c r="W38" s="1555">
        <f t="shared" si="12"/>
        <v>100</v>
      </c>
      <c r="X38" s="1556"/>
      <c r="Y38" s="3385"/>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5" t="s">
        <v>601</v>
      </c>
      <c r="Q39" s="1558" t="str">
        <f t="shared" si="14"/>
        <v>工程地质条件</v>
      </c>
      <c r="R39" s="1559" t="s">
        <v>8</v>
      </c>
      <c r="S39" s="1560">
        <f t="shared" si="10"/>
        <v>100</v>
      </c>
      <c r="T39" s="1559" t="s">
        <v>8</v>
      </c>
      <c r="U39" s="1560">
        <f t="shared" si="11"/>
        <v>100</v>
      </c>
      <c r="V39" s="1559" t="s">
        <v>8</v>
      </c>
      <c r="W39" s="1560">
        <f t="shared" si="12"/>
        <v>100</v>
      </c>
      <c r="X39" s="1553"/>
      <c r="Y39" s="338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85"/>
      <c r="Q40" s="1558">
        <f t="shared" si="14"/>
        <v>111</v>
      </c>
      <c r="R40" s="1559" t="s">
        <v>8</v>
      </c>
      <c r="S40" s="1560">
        <f t="shared" si="10"/>
        <v>100</v>
      </c>
      <c r="T40" s="1559" t="s">
        <v>8</v>
      </c>
      <c r="U40" s="1560">
        <f t="shared" si="11"/>
        <v>100</v>
      </c>
      <c r="V40" s="1559" t="s">
        <v>8</v>
      </c>
      <c r="W40" s="1560">
        <f t="shared" si="12"/>
        <v>100</v>
      </c>
      <c r="X40" s="1553"/>
      <c r="Y40" s="338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85"/>
      <c r="Q41" s="1558">
        <f t="shared" si="14"/>
        <v>111</v>
      </c>
      <c r="R41" s="1559" t="s">
        <v>8</v>
      </c>
      <c r="S41" s="1560">
        <f t="shared" si="10"/>
        <v>100</v>
      </c>
      <c r="T41" s="1559" t="s">
        <v>8</v>
      </c>
      <c r="U41" s="1560">
        <f t="shared" si="11"/>
        <v>100</v>
      </c>
      <c r="V41" s="1559" t="s">
        <v>8</v>
      </c>
      <c r="W41" s="1560">
        <f t="shared" si="12"/>
        <v>100</v>
      </c>
      <c r="X41" s="1553"/>
      <c r="Y41" s="3385"/>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85"/>
      <c r="Q42" s="1558">
        <f t="shared" si="14"/>
        <v>111</v>
      </c>
      <c r="R42" s="1563" t="s">
        <v>8</v>
      </c>
      <c r="S42" s="1564">
        <f t="shared" si="10"/>
        <v>100</v>
      </c>
      <c r="T42" s="1563" t="s">
        <v>8</v>
      </c>
      <c r="U42" s="1564">
        <f t="shared" si="11"/>
        <v>100</v>
      </c>
      <c r="V42" s="1563" t="s">
        <v>8</v>
      </c>
      <c r="W42" s="1564">
        <f t="shared" si="12"/>
        <v>100</v>
      </c>
      <c r="X42" s="1565"/>
      <c r="Y42" s="3385"/>
      <c r="Z42" s="1566">
        <f t="shared" si="13"/>
        <v>111</v>
      </c>
      <c r="AA42" s="1562">
        <f t="shared" si="3"/>
        <v>1</v>
      </c>
      <c r="AB42" s="1562">
        <f t="shared" si="4"/>
        <v>1</v>
      </c>
      <c r="AC42" s="1562">
        <f t="shared" si="5"/>
        <v>1</v>
      </c>
    </row>
    <row r="43" spans="1:29" ht="14.4">
      <c r="A43" s="607" t="s">
        <v>556</v>
      </c>
      <c r="B43" s="608" t="s">
        <v>2931</v>
      </c>
      <c r="C43" s="609" t="s">
        <v>1</v>
      </c>
      <c r="D43" s="610"/>
      <c r="E43" s="611"/>
      <c r="F43" s="612"/>
      <c r="G43" s="613"/>
      <c r="H43" s="614"/>
      <c r="I43" s="611"/>
      <c r="J43" s="614"/>
      <c r="K43" s="1335"/>
      <c r="L43" s="2128"/>
      <c r="M43" s="2118"/>
      <c r="N43" s="2118"/>
      <c r="O43" s="2129"/>
      <c r="P43" s="3348" t="str">
        <f>A43</f>
        <v>成交单价</v>
      </c>
      <c r="Q43" s="3348"/>
      <c r="R43" s="3349">
        <f>E43</f>
        <v>0</v>
      </c>
      <c r="S43" s="3349"/>
      <c r="T43" s="3349">
        <f>G43</f>
        <v>0</v>
      </c>
      <c r="U43" s="3349"/>
      <c r="V43" s="3349">
        <f>I43</f>
        <v>0</v>
      </c>
      <c r="W43" s="3349"/>
      <c r="X43" s="1545"/>
      <c r="Y43" s="1567"/>
      <c r="Z43" s="1545"/>
      <c r="AA43" s="1545"/>
      <c r="AB43" s="1545"/>
      <c r="AC43" s="1545"/>
    </row>
    <row r="44" spans="1:29" ht="1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348" t="str">
        <f>A44</f>
        <v>比较价格（元/平方米）</v>
      </c>
      <c r="Q44" s="3348"/>
      <c r="R44" s="3350" t="e">
        <f>ROUND(PRODUCT(R43,AA9:AA42),0)</f>
        <v>#DIV/0!</v>
      </c>
      <c r="S44" s="3350"/>
      <c r="T44" s="3350" t="e">
        <f>ROUND(PRODUCT(T43,AB9:AB42),0)</f>
        <v>#DIV/0!</v>
      </c>
      <c r="U44" s="3350"/>
      <c r="V44" s="3350" t="e">
        <f>ROUND(PRODUCT(V43,AC9:AC42),0)</f>
        <v>#DIV/0!</v>
      </c>
      <c r="W44" s="3350"/>
      <c r="X44" s="1545"/>
      <c r="Y44" s="1545"/>
      <c r="Z44" s="1545"/>
      <c r="AA44" s="1545"/>
      <c r="AB44" s="1545"/>
      <c r="AC44" s="1545"/>
    </row>
    <row r="45" spans="1:29" ht="15" thickBot="1">
      <c r="A45" s="621" t="s">
        <v>2932</v>
      </c>
      <c r="B45" s="622"/>
      <c r="C45" s="623" t="e">
        <f>R45</f>
        <v>#DIV/0!</v>
      </c>
      <c r="D45" s="623"/>
      <c r="E45" s="623"/>
      <c r="F45" s="623"/>
      <c r="G45" s="623"/>
      <c r="H45" s="623"/>
      <c r="I45" s="623"/>
      <c r="J45" s="623"/>
      <c r="K45" s="1337"/>
      <c r="L45" s="2128"/>
      <c r="M45" s="2118"/>
      <c r="N45" s="2118"/>
      <c r="O45" s="2129"/>
      <c r="P45" s="3345" t="str">
        <f>A45</f>
        <v>估价对象XX用房的比较价格（楼面单价，元/平方米）</v>
      </c>
      <c r="Q45" s="3346"/>
      <c r="R45" s="3347" t="e">
        <f>ROUND(AVERAGE(R44:V44),0)</f>
        <v>#DIV/0!</v>
      </c>
      <c r="S45" s="3347"/>
      <c r="T45" s="3347"/>
      <c r="U45" s="3347"/>
      <c r="V45" s="3347"/>
      <c r="W45" s="3347"/>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6" t="s">
        <v>1724</v>
      </c>
      <c r="D52" s="2211" t="s">
        <v>2289</v>
      </c>
      <c r="E52" s="631" t="s">
        <v>562</v>
      </c>
      <c r="F52" s="1935" t="s">
        <v>563</v>
      </c>
      <c r="G52" s="3392" t="s">
        <v>2280</v>
      </c>
      <c r="H52" s="3393"/>
      <c r="I52" s="1936" t="s">
        <v>1943</v>
      </c>
      <c r="J52" s="1541" t="str">
        <f>项目基本情况!F41</f>
        <v>云南省昆明市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94045.28</v>
      </c>
      <c r="F53" s="1934" t="e">
        <f t="shared" ref="F53:F62" si="15">ROUND(B53*E53/10000,0)</f>
        <v>#DIV/0!</v>
      </c>
      <c r="G53" s="3394"/>
      <c r="H53" s="3395"/>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396" t="s">
        <v>2281</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396"/>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396"/>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396"/>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2324</v>
      </c>
      <c r="B58" s="638" t="e">
        <f t="shared" si="17"/>
        <v>#DIV/0!</v>
      </c>
      <c r="C58" s="378">
        <f t="shared" si="16"/>
        <v>0</v>
      </c>
      <c r="D58" s="2213">
        <v>0.25</v>
      </c>
      <c r="E58" s="641">
        <f>'数据-汇总表'!E11</f>
        <v>0</v>
      </c>
      <c r="F58" s="1934" t="e">
        <f t="shared" si="15"/>
        <v>#DIV/0!</v>
      </c>
      <c r="G58" s="1940" t="s">
        <v>2282</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2281</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2282</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2290</v>
      </c>
      <c r="E63" s="643">
        <f>IF(B43="楼面地价",SUM(E53:E62),'数据-汇总表'!D3)</f>
        <v>12664.48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8">EDATE(D65,-3)</f>
        <v>43709</v>
      </c>
      <c r="F65" s="2753">
        <f t="shared" si="18"/>
        <v>43617</v>
      </c>
      <c r="G65" s="2753">
        <f t="shared" si="18"/>
        <v>43525</v>
      </c>
      <c r="H65" s="2753">
        <f t="shared" si="18"/>
        <v>43435</v>
      </c>
      <c r="I65" s="2753">
        <f t="shared" si="18"/>
        <v>43344</v>
      </c>
      <c r="J65" s="2753">
        <f t="shared" si="18"/>
        <v>43252</v>
      </c>
      <c r="K65" s="2753">
        <f t="shared" si="18"/>
        <v>43160</v>
      </c>
      <c r="L65" s="2753">
        <f t="shared" si="18"/>
        <v>43070</v>
      </c>
      <c r="M65" s="2753">
        <f t="shared" si="18"/>
        <v>42979</v>
      </c>
      <c r="N65" s="2753">
        <f t="shared" si="18"/>
        <v>42887</v>
      </c>
      <c r="O65" s="2129"/>
      <c r="P65" s="2129"/>
      <c r="Q65" s="2129"/>
      <c r="R65" s="2129"/>
      <c r="S65" s="2129"/>
      <c r="T65" s="2129"/>
      <c r="U65" s="2129"/>
      <c r="V65" s="2129"/>
      <c r="W65" s="2129"/>
      <c r="X65" s="2129"/>
      <c r="Y65" s="2129"/>
      <c r="Z65" s="2129"/>
      <c r="AA65" s="2129"/>
      <c r="AB65" s="2129"/>
      <c r="AC65" s="2129"/>
    </row>
    <row r="66" spans="1:29" ht="22.2"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2529</v>
      </c>
      <c r="B67" s="646"/>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2644</v>
      </c>
      <c r="B68" s="479" t="str">
        <f>"北京市平均增长率"&amp;TEXT(基准地价!P24,"0.00%")</f>
        <v>北京市平均增长率1.33%</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2421</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2422</v>
      </c>
      <c r="D1" s="1508">
        <f>SUM(D29:D30,D33:D39)</f>
        <v>0</v>
      </c>
      <c r="E1" s="1402" t="s">
        <v>2423</v>
      </c>
      <c r="F1" s="2415"/>
      <c r="G1" s="1397"/>
      <c r="H1" s="1397"/>
      <c r="I1" s="1397"/>
      <c r="J1" s="1397"/>
      <c r="K1" s="1397"/>
      <c r="L1" s="1866" t="s">
        <v>2234</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2235</v>
      </c>
      <c r="M2" s="1870">
        <f>SUMPRODUCT((区片价!B10:B28=I2)*(区片价!C3:F3=E2)*(区片价!C10:F28))</f>
        <v>0</v>
      </c>
      <c r="N2" s="1871">
        <f>SUMPRODUCT((因素修正幅度!B10:B28=I2)*(因素修正幅度!C3:F3=E2)*(因素修正幅度!C10:F28))</f>
        <v>0</v>
      </c>
      <c r="O2" s="1406"/>
      <c r="P2" s="1397"/>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69" t="s">
        <v>2236</v>
      </c>
      <c r="M3" s="1870">
        <f>SUMPRODUCT((区片价!B29:B48=I2)*(区片价!C3:F3=E2)*(区片价!C29:F48))</f>
        <v>0</v>
      </c>
      <c r="N3" s="1871">
        <f>SUMPRODUCT((因素修正幅度!B29:B48=I2)*(因素修正幅度!C3:F3=E2)*(因素修正幅度!C29:F48))</f>
        <v>0</v>
      </c>
      <c r="O3" s="1406"/>
      <c r="P3" s="1397"/>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2276</v>
      </c>
      <c r="B4" s="2416" t="e">
        <f>ROUND(B2*10000/F1,0)</f>
        <v>#DIV/0!</v>
      </c>
      <c r="C4" s="1878" t="s">
        <v>2250</v>
      </c>
      <c r="D4" s="1878" t="e">
        <f>ROUND(B2/(F1/666.67),0)</f>
        <v>#DIV/0!</v>
      </c>
      <c r="E4" s="1878" t="s">
        <v>2251</v>
      </c>
      <c r="F4" s="1876"/>
      <c r="G4" s="1876"/>
      <c r="H4" s="1876"/>
      <c r="I4" s="1876"/>
      <c r="J4" s="1877"/>
      <c r="K4" s="3147"/>
      <c r="L4" s="1869" t="s">
        <v>2237</v>
      </c>
      <c r="M4" s="1870">
        <f>SUMPRODUCT((区片价!B49:B75=I2)*(区片价!C3:F3=E2)*(区片价!C49:F75))</f>
        <v>0</v>
      </c>
      <c r="N4" s="1871">
        <f>SUMPRODUCT((因素修正幅度!B49:B75=I2)*(因素修正幅度!C3:F3=E2)*(因素修正幅度!C49:F75))</f>
        <v>0</v>
      </c>
      <c r="O4" s="3147"/>
      <c r="P4" s="1397"/>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7" customFormat="1" ht="15.6" thickBot="1">
      <c r="A5" s="1623" t="s">
        <v>1823</v>
      </c>
      <c r="B5" s="1411" t="s">
        <v>931</v>
      </c>
      <c r="C5" s="1040" t="e">
        <f>ROUND(IF(E2="商业",C6*C7+C16,(IF(E2="住宅",C6*C12+C16,C6+C16))),0)</f>
        <v>#DIV/0!</v>
      </c>
      <c r="D5" s="3071" t="e">
        <f>ROUND(C6+C16,0)</f>
        <v>#DIV/0!</v>
      </c>
      <c r="E5" s="3071"/>
      <c r="F5" s="1412"/>
      <c r="G5" s="1413"/>
      <c r="H5" s="1413"/>
      <c r="I5" s="1413"/>
      <c r="J5" s="1414"/>
      <c r="K5" s="3148"/>
      <c r="L5" s="1869" t="s">
        <v>2238</v>
      </c>
      <c r="M5" s="1870">
        <f>SUMPRODUCT((区片价!B76:B109=I2)*(区片价!C3:F3=E2)*(区片价!C76:F109))</f>
        <v>0</v>
      </c>
      <c r="N5" s="1871">
        <f>SUMPRODUCT((因素修正幅度!B76:B109=I2)*(因素修正幅度!C3:F3=E2)*(因素修正幅度!C76:F109))</f>
        <v>0</v>
      </c>
      <c r="O5" s="3148"/>
      <c r="P5" s="1580"/>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69" t="s">
        <v>2239</v>
      </c>
      <c r="M6" s="1870">
        <f>SUMPRODUCT((区片价!B110:B157=I2)*(区片价!C3:F3=E2)*(区片价!C110:F157))</f>
        <v>0</v>
      </c>
      <c r="N6" s="1871">
        <f>SUMPRODUCT((因素修正幅度!B110:B157=I2)*(因素修正幅度!C3:F3=E2)*(因素修正幅度!C110:F157))</f>
        <v>0</v>
      </c>
      <c r="O6" s="1452"/>
      <c r="P6" s="1581"/>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08" t="str">
        <f>IF(E2="商业",IF(C8="不临58条商业街","",2),"")</f>
        <v/>
      </c>
      <c r="B7" s="1423" t="s">
        <v>932</v>
      </c>
      <c r="C7" s="1042" t="e">
        <f>IF(C8="不临58条商业街",1,ROUND(1+(1.6*E8+1.2*E9+0.8*E10+0.4*E11)*C9,4))</f>
        <v>#DIV/0!</v>
      </c>
      <c r="D7" s="1424" t="s">
        <v>933</v>
      </c>
      <c r="E7" s="1043"/>
      <c r="F7" s="1425"/>
      <c r="G7" s="1426"/>
      <c r="H7" s="1426"/>
      <c r="I7" s="1426"/>
      <c r="J7" s="1427"/>
      <c r="K7" s="1452"/>
      <c r="L7" s="1869" t="s">
        <v>2240</v>
      </c>
      <c r="M7" s="1870">
        <f>SUMPRODUCT((区片价!B158:B205=I2)*(区片价!C3:F3=E2)*(区片价!C158:F205))</f>
        <v>0</v>
      </c>
      <c r="N7" s="1871">
        <f>SUMPRODUCT((因素修正幅度!B158:B205=I2)*(因素修正幅度!C3:F3=E2)*(因素修正幅度!C158:F205))</f>
        <v>0</v>
      </c>
      <c r="O7" s="1452"/>
      <c r="P7" s="1581"/>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2760</v>
      </c>
      <c r="X7" s="2881">
        <f>G2</f>
        <v>0</v>
      </c>
      <c r="Y7" s="2881" t="s">
        <v>2761</v>
      </c>
      <c r="Z7" s="2882">
        <f>G3</f>
        <v>4</v>
      </c>
      <c r="AA7" s="2176"/>
      <c r="AB7" s="2176"/>
      <c r="AC7" s="2177"/>
      <c r="AD7" s="2883"/>
      <c r="AE7" s="2883"/>
      <c r="AF7" s="2883"/>
      <c r="AG7" s="2883"/>
      <c r="AH7" s="2883"/>
      <c r="AI7" s="2883"/>
      <c r="AJ7" s="2884"/>
    </row>
    <row r="8" spans="1:39" ht="15">
      <c r="A8" s="3409"/>
      <c r="B8" s="1410" t="s">
        <v>934</v>
      </c>
      <c r="C8" s="1516"/>
      <c r="D8" s="1044" t="s">
        <v>935</v>
      </c>
      <c r="E8" s="1045" t="e">
        <f>ROUND(C11/E7,4)</f>
        <v>#DIV/0!</v>
      </c>
      <c r="F8" s="1428" t="s">
        <v>936</v>
      </c>
      <c r="G8" s="1429"/>
      <c r="H8" s="1429"/>
      <c r="I8" s="1429"/>
      <c r="J8" s="1430"/>
      <c r="K8" s="1452"/>
      <c r="L8" s="1869" t="s">
        <v>2241</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398" t="s">
        <v>2778</v>
      </c>
      <c r="X8" s="3399"/>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09"/>
      <c r="B9" s="1410" t="s">
        <v>937</v>
      </c>
      <c r="C9" s="1046">
        <f>SUMIF(修正!C59:C119,C8,修正!E59:E119)</f>
        <v>0</v>
      </c>
      <c r="D9" s="1047" t="s">
        <v>938</v>
      </c>
      <c r="E9" s="1047" t="e">
        <f>ROUND(C11/E7,4)</f>
        <v>#DIV/0!</v>
      </c>
      <c r="F9" s="1428" t="s">
        <v>939</v>
      </c>
      <c r="G9" s="1429"/>
      <c r="H9" s="1429"/>
      <c r="I9" s="1429"/>
      <c r="J9" s="1430"/>
      <c r="K9" s="1452"/>
      <c r="L9" s="1869" t="s">
        <v>2242</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397"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09"/>
      <c r="B10" s="1410" t="s">
        <v>940</v>
      </c>
      <c r="C10" s="1047">
        <f>SUMIF(修正!C59:C119,C8,修正!F59:F119)</f>
        <v>0</v>
      </c>
      <c r="D10" s="1047" t="s">
        <v>941</v>
      </c>
      <c r="E10" s="1047" t="e">
        <f>ROUND(C11/E7,4)</f>
        <v>#DIV/0!</v>
      </c>
      <c r="F10" s="1428" t="s">
        <v>942</v>
      </c>
      <c r="G10" s="1429"/>
      <c r="H10" s="1429"/>
      <c r="I10" s="1429"/>
      <c r="J10" s="1430"/>
      <c r="K10" s="1452"/>
      <c r="L10" s="1869" t="s">
        <v>2243</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39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09"/>
      <c r="B11" s="1431" t="s">
        <v>943</v>
      </c>
      <c r="C11" s="1048">
        <f>C10/4</f>
        <v>0</v>
      </c>
      <c r="D11" s="1048" t="s">
        <v>944</v>
      </c>
      <c r="E11" s="1048" t="e">
        <f>ROUND(C11/E7,4)</f>
        <v>#DIV/0!</v>
      </c>
      <c r="F11" s="1432" t="s">
        <v>945</v>
      </c>
      <c r="G11" s="1433"/>
      <c r="H11" s="1433"/>
      <c r="I11" s="1433"/>
      <c r="J11" s="1434"/>
      <c r="K11" s="1452"/>
      <c r="L11" s="1869" t="s">
        <v>2244</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397" t="s">
        <v>2776</v>
      </c>
      <c r="X11" s="1047" t="s">
        <v>2761</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08" t="s">
        <v>1871</v>
      </c>
      <c r="B12" s="1435" t="s">
        <v>946</v>
      </c>
      <c r="C12" s="1042">
        <f>ROUND(C15*D15*E15*F15*G15*H15*I15*J15,4)</f>
        <v>1</v>
      </c>
      <c r="D12" s="1436" t="s">
        <v>947</v>
      </c>
      <c r="E12" s="1437"/>
      <c r="F12" s="1437"/>
      <c r="G12" s="1438"/>
      <c r="H12" s="1438"/>
      <c r="I12" s="1438"/>
      <c r="J12" s="1439"/>
      <c r="K12" s="1452"/>
      <c r="L12" s="1872" t="s">
        <v>2245</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397"/>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0"/>
      <c r="B13" s="1440" t="s">
        <v>1696</v>
      </c>
      <c r="C13" s="1441" t="s">
        <v>1697</v>
      </c>
      <c r="D13" s="1084" t="s">
        <v>1698</v>
      </c>
      <c r="E13" s="1084" t="s">
        <v>1699</v>
      </c>
      <c r="F13" s="1442" t="s">
        <v>948</v>
      </c>
      <c r="G13" s="1443" t="s">
        <v>1642</v>
      </c>
      <c r="H13" s="1444" t="s">
        <v>1642</v>
      </c>
      <c r="I13" s="1445" t="s">
        <v>1642</v>
      </c>
      <c r="J13" s="1446" t="s">
        <v>1642</v>
      </c>
      <c r="K13" s="3163"/>
      <c r="L13" s="3163"/>
      <c r="M13" s="3163"/>
      <c r="N13" s="3163"/>
      <c r="O13" s="3163"/>
      <c r="P13" s="1397"/>
      <c r="Q13" s="2173"/>
      <c r="R13" s="2891">
        <v>12</v>
      </c>
      <c r="S13" s="2880"/>
      <c r="T13" s="2891" t="e">
        <f t="shared" si="0"/>
        <v>#DIV/0!</v>
      </c>
      <c r="U13" s="2880"/>
      <c r="V13" s="2891" t="e">
        <f t="shared" si="1"/>
        <v>#DIV/0!</v>
      </c>
      <c r="W13" s="3397"/>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10"/>
      <c r="B14" s="1447"/>
      <c r="C14" s="1448"/>
      <c r="D14" s="1449"/>
      <c r="E14" s="1449"/>
      <c r="F14" s="1450"/>
      <c r="G14" s="1451" t="s">
        <v>949</v>
      </c>
      <c r="H14" s="1452"/>
      <c r="I14" s="1453"/>
      <c r="J14" s="1454"/>
      <c r="K14" s="3149"/>
      <c r="L14" s="3149"/>
      <c r="M14" s="3149"/>
      <c r="N14" s="3149"/>
      <c r="O14" s="3149"/>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1"/>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08" t="s">
        <v>1838</v>
      </c>
      <c r="B16" s="1423" t="s">
        <v>950</v>
      </c>
      <c r="C16" s="1051" t="e">
        <f>ROUND(IF(F17="与级别开发程度一致",0,(G17-E17)/C17),0)</f>
        <v>#DIV/0!</v>
      </c>
      <c r="D16" s="3405" t="s">
        <v>954</v>
      </c>
      <c r="E16" s="3406"/>
      <c r="F16" s="3405" t="s">
        <v>951</v>
      </c>
      <c r="G16" s="3406"/>
      <c r="H16" s="1455"/>
      <c r="I16" s="1455"/>
      <c r="J16" s="1455"/>
      <c r="K16" s="1455"/>
      <c r="L16" s="1455"/>
      <c r="M16" s="1455"/>
      <c r="N16" s="1455"/>
      <c r="O16" s="3173"/>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12"/>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43895</v>
      </c>
      <c r="H19" s="1463" t="s">
        <v>2987</v>
      </c>
      <c r="I19" s="2739" t="str">
        <f>IF(H19="季度增幅（自定义）",SUMIF(N21:N24,E2,O21:O24),"")</f>
        <v/>
      </c>
      <c r="J19" s="1459"/>
      <c r="K19" s="3148"/>
      <c r="L19" s="2991" t="s">
        <v>2836</v>
      </c>
      <c r="M19" s="2992">
        <f>ROUND(SUMIF(地价!B2:F2,E2,地价!B29:F29),0)</f>
        <v>0</v>
      </c>
      <c r="N19" s="2741" t="s">
        <v>1676</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2837</v>
      </c>
      <c r="M20" s="3157">
        <f>ROUND(SUMPRODUCT((地价!A4:A29=YEAR(G19)&amp;"-"&amp;ROUNDUP(MONTH(G19)/3,0))*(地价!B2:F2=E2)*(地价!B4:F29)),0)</f>
        <v>0</v>
      </c>
      <c r="N20" s="2744" t="s">
        <v>2640</v>
      </c>
      <c r="O20" s="2742" t="s">
        <v>2639</v>
      </c>
      <c r="P20" s="2743" t="s">
        <v>2645</v>
      </c>
      <c r="Q20" s="2879"/>
      <c r="R20" s="2179"/>
      <c r="S20" s="2179"/>
      <c r="T20" s="2179"/>
      <c r="U20" s="2179"/>
      <c r="V20" s="2179"/>
      <c r="W20" s="2179"/>
      <c r="X20" s="2179"/>
      <c r="Y20" s="1460"/>
      <c r="Z20" s="1460"/>
      <c r="AA20" s="1460"/>
      <c r="AB20" s="1460"/>
      <c r="AC20" s="1460"/>
      <c r="AD20" s="1460"/>
    </row>
    <row r="21" spans="1:40" s="1417" customFormat="1" ht="14.4">
      <c r="A21" s="1627" t="s">
        <v>1837</v>
      </c>
      <c r="B21" s="1468" t="s">
        <v>2756</v>
      </c>
      <c r="C21" s="1153">
        <f>IF(B21="容积率修正",IF(G3&lt;=10,D22,J22),C23)</f>
        <v>0</v>
      </c>
      <c r="D21" s="1469"/>
      <c r="E21" s="1469"/>
      <c r="F21" s="1469"/>
      <c r="G21" s="1469"/>
      <c r="H21" s="1469"/>
      <c r="I21" s="1469"/>
      <c r="J21" s="1470"/>
      <c r="K21" s="3148"/>
      <c r="L21" s="1469"/>
      <c r="M21" s="1469"/>
      <c r="N21" s="1466" t="s">
        <v>975</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9"/>
      <c r="M22" s="1469"/>
      <c r="N22" s="1466" t="s">
        <v>978</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2"/>
      <c r="L24" s="1469"/>
      <c r="M24" s="1469"/>
      <c r="N24" s="1466" t="s">
        <v>981</v>
      </c>
      <c r="O24" s="3156"/>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9"/>
      <c r="M25" s="2179"/>
      <c r="N25" s="3158" t="s">
        <v>2643</v>
      </c>
      <c r="O25" s="3159"/>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993</v>
      </c>
      <c r="C29" s="1058" t="e">
        <f>ROUND(C5*C18*C19*C20*C21*C24,0)</f>
        <v>#DIV/0!</v>
      </c>
      <c r="D29" s="1491"/>
      <c r="E29" s="1833" t="e">
        <f>ROUND(C29*D29/10000,0)</f>
        <v>#DIV/0!</v>
      </c>
      <c r="F29" s="1492" t="s">
        <v>1701</v>
      </c>
      <c r="G29" s="1493"/>
      <c r="H29" s="1493"/>
      <c r="I29" s="1493"/>
      <c r="J29" s="1494"/>
      <c r="K29" s="3153"/>
      <c r="L29" s="3153"/>
      <c r="M29" s="3153"/>
      <c r="N29" s="3153"/>
      <c r="O29" s="3153"/>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994</v>
      </c>
      <c r="C30" s="1050"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15"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16"/>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16"/>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17"/>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6" t="s">
        <v>2981</v>
      </c>
      <c r="C41" s="839" t="e">
        <f>ROUND(POWER(1+E41,H41-G41)*(POWER(1+E41,G41)-1)/(POWER(1+E41,H41)-1),4)</f>
        <v>#DIV/0!</v>
      </c>
      <c r="D41" s="378" t="s">
        <v>2979</v>
      </c>
      <c r="E41" s="3145">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1008</v>
      </c>
      <c r="B46" s="2371" t="s">
        <v>1009</v>
      </c>
      <c r="C46" s="2393" t="s">
        <v>1010</v>
      </c>
      <c r="D46" s="2394" t="s">
        <v>1011</v>
      </c>
      <c r="E46" s="2395" t="s">
        <v>1013</v>
      </c>
      <c r="F46" s="2396" t="s">
        <v>2246</v>
      </c>
      <c r="G46" s="2394" t="s">
        <v>1014</v>
      </c>
      <c r="H46" s="2377" t="s">
        <v>2414</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1023</v>
      </c>
      <c r="B50" s="3048"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1025</v>
      </c>
      <c r="B52" s="3047"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1008</v>
      </c>
      <c r="B57" s="2371"/>
      <c r="C57" s="2393" t="s">
        <v>1010</v>
      </c>
      <c r="D57" s="2394" t="s">
        <v>1011</v>
      </c>
      <c r="E57" s="2395" t="s">
        <v>1013</v>
      </c>
      <c r="F57" s="2396" t="s">
        <v>2247</v>
      </c>
      <c r="G57" s="2394" t="s">
        <v>1014</v>
      </c>
      <c r="H57" s="2377" t="s">
        <v>2414</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1023</v>
      </c>
      <c r="B61" s="3048"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1025</v>
      </c>
      <c r="B63" s="3047"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1008</v>
      </c>
      <c r="B68" s="2371"/>
      <c r="C68" s="2393" t="s">
        <v>1010</v>
      </c>
      <c r="D68" s="2394" t="s">
        <v>1011</v>
      </c>
      <c r="E68" s="2395" t="s">
        <v>1013</v>
      </c>
      <c r="F68" s="2396" t="s">
        <v>2248</v>
      </c>
      <c r="G68" s="2394" t="s">
        <v>1014</v>
      </c>
      <c r="H68" s="2377" t="s">
        <v>2414</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60">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1025</v>
      </c>
      <c r="B75" s="3047"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1"/>
      <c r="C79" s="2393" t="s">
        <v>1010</v>
      </c>
      <c r="D79" s="2394" t="s">
        <v>1011</v>
      </c>
      <c r="E79" s="2395" t="s">
        <v>1013</v>
      </c>
      <c r="F79" s="2396" t="s">
        <v>2249</v>
      </c>
      <c r="G79" s="2394" t="s">
        <v>1014</v>
      </c>
      <c r="H79" s="2377" t="s">
        <v>2414</v>
      </c>
      <c r="I79" s="2394" t="s">
        <v>1012</v>
      </c>
      <c r="J79" s="2397" t="s">
        <v>1015</v>
      </c>
      <c r="K79" s="2397" t="s">
        <v>1016</v>
      </c>
      <c r="L79" s="2397" t="s">
        <v>1017</v>
      </c>
      <c r="M79" s="2397" t="s">
        <v>1018</v>
      </c>
      <c r="N79" s="2397" t="s">
        <v>1019</v>
      </c>
      <c r="AC79" s="1401"/>
      <c r="AD79" s="1400"/>
      <c r="AJ79" s="1399"/>
      <c r="AN79" s="1400"/>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1025</v>
      </c>
      <c r="B86" s="3047"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13" t="s">
        <v>1633</v>
      </c>
      <c r="B90" s="3413"/>
      <c r="C90" s="3413"/>
      <c r="D90" s="3413"/>
      <c r="E90" s="3413"/>
      <c r="F90" s="3413"/>
      <c r="G90" s="3413"/>
      <c r="H90" s="3413"/>
      <c r="I90" s="3413"/>
      <c r="J90" s="3413"/>
      <c r="K90" s="2413"/>
      <c r="L90" s="2413"/>
      <c r="M90" s="2413"/>
      <c r="N90" s="2413"/>
    </row>
    <row r="91" spans="1:40">
      <c r="A91" s="3414" t="s">
        <v>1443</v>
      </c>
      <c r="B91" s="3414" t="s">
        <v>1634</v>
      </c>
      <c r="C91" s="1135" t="s">
        <v>1635</v>
      </c>
      <c r="D91" s="1136"/>
      <c r="E91" s="1136"/>
      <c r="F91" s="1136"/>
      <c r="G91" s="1136"/>
      <c r="H91" s="1136"/>
      <c r="I91" s="1136"/>
      <c r="J91" s="1137"/>
      <c r="K91" s="1129"/>
      <c r="L91" s="1129"/>
      <c r="M91" s="1129"/>
      <c r="N91" s="1129"/>
    </row>
    <row r="92" spans="1:40">
      <c r="A92" s="3414"/>
      <c r="B92" s="341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00"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0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0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0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0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0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01"/>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0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00"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01"/>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01"/>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01"/>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01"/>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01"/>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01"/>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01"/>
      <c r="B108" s="3403"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02"/>
      <c r="B109" s="3404"/>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07" t="s">
        <v>1639</v>
      </c>
      <c r="B110" s="3407"/>
      <c r="C110" s="3407"/>
      <c r="D110" s="3407"/>
      <c r="E110" s="3407"/>
      <c r="F110" s="3407"/>
      <c r="G110" s="3407"/>
      <c r="H110" s="3407"/>
      <c r="I110" s="3407"/>
      <c r="J110" s="3407"/>
      <c r="K110" s="2411"/>
      <c r="L110" s="2411"/>
      <c r="M110" s="2411"/>
      <c r="N110" s="2411"/>
    </row>
    <row r="112" spans="1:14" ht="12.6" thickBot="1"/>
    <row r="113" spans="1:13" ht="25.8"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2984</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14" t="s">
        <v>1007</v>
      </c>
      <c r="B18" s="1149" t="s">
        <v>1446</v>
      </c>
      <c r="C18" s="1126" t="s">
        <v>1447</v>
      </c>
      <c r="D18" s="1127"/>
      <c r="E18" s="1149">
        <v>1</v>
      </c>
      <c r="F18" s="1128" t="s">
        <v>1448</v>
      </c>
      <c r="G18" s="1129"/>
      <c r="H18" s="1100"/>
      <c r="I18" s="1100"/>
    </row>
    <row r="19" spans="1:9" s="1584" customFormat="1" ht="19.5" customHeight="1">
      <c r="A19" s="3414"/>
      <c r="B19" s="3414" t="s">
        <v>1449</v>
      </c>
      <c r="C19" s="1126" t="s">
        <v>1450</v>
      </c>
      <c r="D19" s="1127"/>
      <c r="E19" s="1149">
        <v>0.9</v>
      </c>
      <c r="F19" s="1128" t="s">
        <v>1451</v>
      </c>
      <c r="G19" s="1129"/>
      <c r="H19" s="1100"/>
      <c r="I19" s="1100"/>
    </row>
    <row r="20" spans="1:9" s="1584" customFormat="1" ht="19.5" customHeight="1">
      <c r="A20" s="3414"/>
      <c r="B20" s="3414"/>
      <c r="C20" s="1126" t="s">
        <v>1452</v>
      </c>
      <c r="D20" s="1127"/>
      <c r="E20" s="1149">
        <v>1.1000000000000001</v>
      </c>
      <c r="F20" s="1128" t="s">
        <v>1453</v>
      </c>
      <c r="G20" s="1129"/>
      <c r="H20" s="1100"/>
      <c r="I20" s="1100"/>
    </row>
    <row r="21" spans="1:9" s="1584" customFormat="1" ht="19.5" customHeight="1">
      <c r="A21" s="3414"/>
      <c r="B21" s="3414"/>
      <c r="C21" s="1126" t="s">
        <v>1454</v>
      </c>
      <c r="D21" s="1127"/>
      <c r="E21" s="1149">
        <v>0.8</v>
      </c>
      <c r="F21" s="1128" t="s">
        <v>1455</v>
      </c>
      <c r="G21" s="1129"/>
      <c r="H21" s="1100"/>
      <c r="I21" s="1100"/>
    </row>
    <row r="22" spans="1:9" s="1584" customFormat="1" ht="19.5" customHeight="1">
      <c r="A22" s="3414"/>
      <c r="B22" s="3414"/>
      <c r="C22" s="1126" t="s">
        <v>1456</v>
      </c>
      <c r="D22" s="1127"/>
      <c r="E22" s="1149">
        <v>0.5</v>
      </c>
      <c r="F22" s="1128"/>
      <c r="G22" s="1129"/>
      <c r="H22" s="1100"/>
      <c r="I22" s="1100"/>
    </row>
    <row r="23" spans="1:9" s="1584" customFormat="1" ht="19.5" customHeight="1">
      <c r="A23" s="3414" t="s">
        <v>1029</v>
      </c>
      <c r="B23" s="1149" t="s">
        <v>1446</v>
      </c>
      <c r="C23" s="1126" t="s">
        <v>1457</v>
      </c>
      <c r="D23" s="1127"/>
      <c r="E23" s="1149">
        <v>1</v>
      </c>
      <c r="F23" s="1128" t="s">
        <v>1458</v>
      </c>
      <c r="G23" s="1129"/>
      <c r="H23" s="1100"/>
      <c r="I23" s="1100"/>
    </row>
    <row r="24" spans="1:9" s="1584" customFormat="1" ht="19.5" customHeight="1">
      <c r="A24" s="3414"/>
      <c r="B24" s="3414" t="s">
        <v>1449</v>
      </c>
      <c r="C24" s="1126" t="s">
        <v>1459</v>
      </c>
      <c r="D24" s="1127"/>
      <c r="E24" s="1149">
        <v>0.5</v>
      </c>
      <c r="F24" s="1128"/>
      <c r="G24" s="1129"/>
      <c r="H24" s="1100"/>
      <c r="I24" s="1100"/>
    </row>
    <row r="25" spans="1:9" s="1584" customFormat="1" ht="19.5" customHeight="1">
      <c r="A25" s="3414"/>
      <c r="B25" s="3414"/>
      <c r="C25" s="1126" t="s">
        <v>1460</v>
      </c>
      <c r="D25" s="1127"/>
      <c r="E25" s="1149">
        <v>1.1000000000000001</v>
      </c>
      <c r="F25" s="1128"/>
      <c r="G25" s="1129"/>
      <c r="H25" s="1100"/>
      <c r="I25" s="1100"/>
    </row>
    <row r="26" spans="1:9" s="1584" customFormat="1" ht="19.5" customHeight="1">
      <c r="A26" s="3414"/>
      <c r="B26" s="3414"/>
      <c r="C26" s="1126" t="s">
        <v>1461</v>
      </c>
      <c r="D26" s="1127"/>
      <c r="E26" s="1149">
        <v>1.1000000000000001</v>
      </c>
      <c r="F26" s="1128"/>
      <c r="G26" s="1129"/>
      <c r="H26" s="1100"/>
      <c r="I26" s="1100"/>
    </row>
    <row r="27" spans="1:9" s="1584" customFormat="1" ht="19.5" customHeight="1">
      <c r="A27" s="3414"/>
      <c r="B27" s="3414"/>
      <c r="C27" s="1126" t="s">
        <v>1462</v>
      </c>
      <c r="D27" s="1127"/>
      <c r="E27" s="1149">
        <v>0.9</v>
      </c>
      <c r="F27" s="1128" t="s">
        <v>1463</v>
      </c>
      <c r="G27" s="1129"/>
      <c r="H27" s="1100"/>
      <c r="I27" s="1100"/>
    </row>
    <row r="28" spans="1:9" s="1584" customFormat="1" ht="19.5" customHeight="1">
      <c r="A28" s="3414"/>
      <c r="B28" s="3414"/>
      <c r="C28" s="1126" t="s">
        <v>1464</v>
      </c>
      <c r="D28" s="1127"/>
      <c r="E28" s="1149">
        <v>0.9</v>
      </c>
      <c r="F28" s="1128" t="s">
        <v>1465</v>
      </c>
      <c r="G28" s="1129"/>
      <c r="H28" s="1100"/>
      <c r="I28" s="1100"/>
    </row>
    <row r="29" spans="1:9" s="1584" customFormat="1" ht="19.5" customHeight="1">
      <c r="A29" s="3414"/>
      <c r="B29" s="3414"/>
      <c r="C29" s="1126" t="s">
        <v>1466</v>
      </c>
      <c r="D29" s="1127"/>
      <c r="E29" s="1149">
        <v>0.9</v>
      </c>
      <c r="F29" s="1128" t="s">
        <v>1467</v>
      </c>
      <c r="G29" s="1129"/>
      <c r="H29" s="1100"/>
      <c r="I29" s="1100"/>
    </row>
    <row r="30" spans="1:9" s="1584" customFormat="1" ht="19.5" customHeight="1">
      <c r="A30" s="3414"/>
      <c r="B30" s="3414"/>
      <c r="C30" s="1126" t="s">
        <v>1468</v>
      </c>
      <c r="D30" s="1127"/>
      <c r="E30" s="1149">
        <v>0.9</v>
      </c>
      <c r="F30" s="1128" t="s">
        <v>1469</v>
      </c>
      <c r="G30" s="1129"/>
      <c r="H30" s="1100"/>
      <c r="I30" s="1100"/>
    </row>
    <row r="31" spans="1:9" s="1584" customFormat="1" ht="19.5" customHeight="1">
      <c r="A31" s="3414"/>
      <c r="B31" s="3414"/>
      <c r="C31" s="1126" t="s">
        <v>1470</v>
      </c>
      <c r="D31" s="1127"/>
      <c r="E31" s="1149">
        <v>0.8</v>
      </c>
      <c r="F31" s="1128" t="s">
        <v>1471</v>
      </c>
      <c r="G31" s="1129"/>
      <c r="H31" s="1100"/>
      <c r="I31" s="1100"/>
    </row>
    <row r="32" spans="1:9" s="1584" customFormat="1" ht="19.5" customHeight="1">
      <c r="A32" s="3414"/>
      <c r="B32" s="3414"/>
      <c r="C32" s="1126" t="s">
        <v>1472</v>
      </c>
      <c r="D32" s="1127"/>
      <c r="E32" s="1149">
        <v>0.8</v>
      </c>
      <c r="F32" s="1128" t="s">
        <v>1473</v>
      </c>
      <c r="G32" s="1129"/>
      <c r="H32" s="1100"/>
      <c r="I32" s="1100"/>
    </row>
    <row r="33" spans="1:9" s="1584" customFormat="1" ht="19.5" customHeight="1">
      <c r="A33" s="3414" t="s">
        <v>1474</v>
      </c>
      <c r="B33" s="1149" t="s">
        <v>1446</v>
      </c>
      <c r="C33" s="1126" t="s">
        <v>1475</v>
      </c>
      <c r="D33" s="1127"/>
      <c r="E33" s="1149">
        <v>1</v>
      </c>
      <c r="F33" s="1128" t="s">
        <v>1476</v>
      </c>
      <c r="G33" s="1129"/>
      <c r="H33" s="1100"/>
      <c r="I33" s="1100"/>
    </row>
    <row r="34" spans="1:9" s="1584" customFormat="1" ht="19.5" customHeight="1">
      <c r="A34" s="3414"/>
      <c r="B34" s="1149" t="s">
        <v>1449</v>
      </c>
      <c r="C34" s="1126" t="s">
        <v>1477</v>
      </c>
      <c r="D34" s="1127"/>
      <c r="E34" s="1149">
        <v>1.5</v>
      </c>
      <c r="F34" s="1128" t="s">
        <v>1478</v>
      </c>
      <c r="G34" s="1129"/>
      <c r="H34" s="1100"/>
      <c r="I34" s="1100"/>
    </row>
    <row r="35" spans="1:9" s="1584" customFormat="1" ht="19.5" customHeight="1">
      <c r="A35" s="3414" t="s">
        <v>1432</v>
      </c>
      <c r="B35" s="1149" t="s">
        <v>1446</v>
      </c>
      <c r="C35" s="1126" t="s">
        <v>1479</v>
      </c>
      <c r="D35" s="1127"/>
      <c r="E35" s="1149">
        <v>1</v>
      </c>
      <c r="F35" s="1128" t="s">
        <v>1480</v>
      </c>
      <c r="G35" s="1129"/>
      <c r="H35" s="1100"/>
      <c r="I35" s="1100"/>
    </row>
    <row r="36" spans="1:9" s="1584" customFormat="1" ht="19.5" customHeight="1">
      <c r="A36" s="3414"/>
      <c r="B36" s="3414" t="s">
        <v>1449</v>
      </c>
      <c r="C36" s="1126" t="s">
        <v>1481</v>
      </c>
      <c r="D36" s="1127"/>
      <c r="E36" s="1149">
        <v>1</v>
      </c>
      <c r="F36" s="1128" t="s">
        <v>1482</v>
      </c>
      <c r="G36" s="1129"/>
      <c r="H36" s="1100"/>
      <c r="I36" s="1100"/>
    </row>
    <row r="37" spans="1:9" s="1584" customFormat="1" ht="19.5" customHeight="1">
      <c r="A37" s="3414"/>
      <c r="B37" s="3414"/>
      <c r="C37" s="1126" t="s">
        <v>1483</v>
      </c>
      <c r="D37" s="1127"/>
      <c r="E37" s="1149">
        <v>1.5</v>
      </c>
      <c r="F37" s="1128" t="s">
        <v>1484</v>
      </c>
      <c r="G37" s="1129"/>
      <c r="H37" s="1100"/>
      <c r="I37" s="1100"/>
    </row>
    <row r="38" spans="1:9" s="1584" customFormat="1" ht="19.5" customHeight="1">
      <c r="A38" s="3414"/>
      <c r="B38" s="3414"/>
      <c r="C38" s="1126" t="s">
        <v>1485</v>
      </c>
      <c r="D38" s="1127"/>
      <c r="E38" s="1149">
        <v>1</v>
      </c>
      <c r="F38" s="1128" t="s">
        <v>1486</v>
      </c>
      <c r="G38" s="1129"/>
      <c r="H38" s="1100"/>
      <c r="I38" s="1100"/>
    </row>
    <row r="39" spans="1:9" s="1584" customFormat="1" ht="19.5" customHeight="1">
      <c r="A39" s="3414"/>
      <c r="B39" s="341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14" t="s">
        <v>1501</v>
      </c>
      <c r="C61" s="1063" t="s">
        <v>1502</v>
      </c>
      <c r="D61" s="1063" t="s">
        <v>1503</v>
      </c>
      <c r="E61" s="1134">
        <v>0.5</v>
      </c>
      <c r="F61" s="1149">
        <v>80</v>
      </c>
      <c r="H61" s="1100">
        <f>SUMIF(C59:C119,基准地价!C8,E59:E119)</f>
        <v>0</v>
      </c>
    </row>
    <row r="62" spans="1:8" s="1100" customFormat="1" ht="36">
      <c r="A62" s="1149">
        <v>2</v>
      </c>
      <c r="B62" s="3414"/>
      <c r="C62" s="1063" t="s">
        <v>1504</v>
      </c>
      <c r="D62" s="1063" t="s">
        <v>1505</v>
      </c>
      <c r="E62" s="1134">
        <v>0.5</v>
      </c>
      <c r="F62" s="1149">
        <v>80</v>
      </c>
    </row>
    <row r="63" spans="1:8" s="1100" customFormat="1" ht="48">
      <c r="A63" s="1149">
        <v>3</v>
      </c>
      <c r="B63" s="3414"/>
      <c r="C63" s="1063" t="s">
        <v>1506</v>
      </c>
      <c r="D63" s="1063" t="s">
        <v>1507</v>
      </c>
      <c r="E63" s="1134">
        <v>0.5</v>
      </c>
      <c r="F63" s="1149">
        <v>80</v>
      </c>
    </row>
    <row r="64" spans="1:8" s="1100" customFormat="1" ht="48">
      <c r="A64" s="1149">
        <v>4</v>
      </c>
      <c r="B64" s="3414"/>
      <c r="C64" s="1063" t="s">
        <v>1508</v>
      </c>
      <c r="D64" s="1063" t="s">
        <v>1509</v>
      </c>
      <c r="E64" s="1134">
        <v>0.4</v>
      </c>
      <c r="F64" s="1149">
        <v>60</v>
      </c>
    </row>
    <row r="65" spans="1:6" s="1100" customFormat="1" ht="48">
      <c r="A65" s="1149">
        <v>5</v>
      </c>
      <c r="B65" s="3414"/>
      <c r="C65" s="1063" t="s">
        <v>1510</v>
      </c>
      <c r="D65" s="1063" t="s">
        <v>1511</v>
      </c>
      <c r="E65" s="1134">
        <v>0.2</v>
      </c>
      <c r="F65" s="1149">
        <v>30</v>
      </c>
    </row>
    <row r="66" spans="1:6" s="1100" customFormat="1" ht="48">
      <c r="A66" s="1149">
        <v>6</v>
      </c>
      <c r="B66" s="3414"/>
      <c r="C66" s="1063" t="s">
        <v>1512</v>
      </c>
      <c r="D66" s="1063" t="s">
        <v>1513</v>
      </c>
      <c r="E66" s="1134">
        <v>0.3</v>
      </c>
      <c r="F66" s="1149">
        <v>50</v>
      </c>
    </row>
    <row r="67" spans="1:6" s="1100" customFormat="1" ht="48">
      <c r="A67" s="1149">
        <v>7</v>
      </c>
      <c r="B67" s="3414"/>
      <c r="C67" s="1063" t="s">
        <v>1514</v>
      </c>
      <c r="D67" s="1063" t="s">
        <v>1515</v>
      </c>
      <c r="E67" s="1134">
        <v>0.2</v>
      </c>
      <c r="F67" s="1149">
        <v>30</v>
      </c>
    </row>
    <row r="68" spans="1:6" s="1100" customFormat="1" ht="48">
      <c r="A68" s="1149">
        <v>8</v>
      </c>
      <c r="B68" s="3414"/>
      <c r="C68" s="1063" t="s">
        <v>1516</v>
      </c>
      <c r="D68" s="1063" t="s">
        <v>1517</v>
      </c>
      <c r="E68" s="1134">
        <v>0.2</v>
      </c>
      <c r="F68" s="1149">
        <v>30</v>
      </c>
    </row>
    <row r="69" spans="1:6" s="1100" customFormat="1" ht="48">
      <c r="A69" s="1149">
        <v>9</v>
      </c>
      <c r="B69" s="3414"/>
      <c r="C69" s="1063" t="s">
        <v>1518</v>
      </c>
      <c r="D69" s="1063" t="s">
        <v>1519</v>
      </c>
      <c r="E69" s="1134">
        <v>0.2</v>
      </c>
      <c r="F69" s="1149">
        <v>30</v>
      </c>
    </row>
    <row r="70" spans="1:6" s="1100" customFormat="1" ht="60">
      <c r="A70" s="1149">
        <v>10</v>
      </c>
      <c r="B70" s="3414"/>
      <c r="C70" s="1063" t="s">
        <v>1520</v>
      </c>
      <c r="D70" s="1063" t="s">
        <v>1521</v>
      </c>
      <c r="E70" s="1134">
        <v>0.2</v>
      </c>
      <c r="F70" s="1149">
        <v>30</v>
      </c>
    </row>
    <row r="71" spans="1:6" s="1100" customFormat="1" ht="60">
      <c r="A71" s="1149">
        <v>11</v>
      </c>
      <c r="B71" s="3414"/>
      <c r="C71" s="1063" t="s">
        <v>1522</v>
      </c>
      <c r="D71" s="1063" t="s">
        <v>1523</v>
      </c>
      <c r="E71" s="1134">
        <v>0.2</v>
      </c>
      <c r="F71" s="1149">
        <v>30</v>
      </c>
    </row>
    <row r="72" spans="1:6" s="1100" customFormat="1" ht="36">
      <c r="A72" s="1149">
        <v>12</v>
      </c>
      <c r="B72" s="3414"/>
      <c r="C72" s="1063" t="s">
        <v>1524</v>
      </c>
      <c r="D72" s="1063" t="s">
        <v>1525</v>
      </c>
      <c r="E72" s="1134">
        <v>0.5</v>
      </c>
      <c r="F72" s="1149">
        <v>80</v>
      </c>
    </row>
    <row r="73" spans="1:6" s="1100" customFormat="1" ht="36">
      <c r="A73" s="1149">
        <v>13</v>
      </c>
      <c r="B73" s="3414"/>
      <c r="C73" s="1063" t="s">
        <v>1526</v>
      </c>
      <c r="D73" s="1063" t="s">
        <v>1527</v>
      </c>
      <c r="E73" s="1134">
        <v>0.4</v>
      </c>
      <c r="F73" s="1149">
        <v>60</v>
      </c>
    </row>
    <row r="74" spans="1:6" s="1100" customFormat="1" ht="36">
      <c r="A74" s="1149">
        <v>14</v>
      </c>
      <c r="B74" s="3414"/>
      <c r="C74" s="1063" t="s">
        <v>1528</v>
      </c>
      <c r="D74" s="1063" t="s">
        <v>1529</v>
      </c>
      <c r="E74" s="1134">
        <v>0.2</v>
      </c>
      <c r="F74" s="1149">
        <v>30</v>
      </c>
    </row>
    <row r="75" spans="1:6" s="1100" customFormat="1" ht="36">
      <c r="A75" s="1149">
        <v>15</v>
      </c>
      <c r="B75" s="3414"/>
      <c r="C75" s="1063" t="s">
        <v>1530</v>
      </c>
      <c r="D75" s="1063" t="s">
        <v>1531</v>
      </c>
      <c r="E75" s="1134">
        <v>0.2</v>
      </c>
      <c r="F75" s="1149">
        <v>30</v>
      </c>
    </row>
    <row r="76" spans="1:6" s="1100" customFormat="1" ht="36">
      <c r="A76" s="1149">
        <v>16</v>
      </c>
      <c r="B76" s="3414" t="s">
        <v>1532</v>
      </c>
      <c r="C76" s="1063" t="s">
        <v>1533</v>
      </c>
      <c r="D76" s="1063" t="s">
        <v>1534</v>
      </c>
      <c r="E76" s="1134">
        <v>0.5</v>
      </c>
      <c r="F76" s="1149">
        <v>80</v>
      </c>
    </row>
    <row r="77" spans="1:6" s="1100" customFormat="1" ht="36">
      <c r="A77" s="1149">
        <v>17</v>
      </c>
      <c r="B77" s="3414"/>
      <c r="C77" s="1063" t="s">
        <v>1535</v>
      </c>
      <c r="D77" s="1063" t="s">
        <v>1536</v>
      </c>
      <c r="E77" s="1134">
        <v>0.5</v>
      </c>
      <c r="F77" s="1149">
        <v>80</v>
      </c>
    </row>
    <row r="78" spans="1:6" s="1100" customFormat="1" ht="36">
      <c r="A78" s="1149">
        <v>18</v>
      </c>
      <c r="B78" s="3414"/>
      <c r="C78" s="1063" t="s">
        <v>1537</v>
      </c>
      <c r="D78" s="1063" t="s">
        <v>1538</v>
      </c>
      <c r="E78" s="1134">
        <v>0.2</v>
      </c>
      <c r="F78" s="1149">
        <v>30</v>
      </c>
    </row>
    <row r="79" spans="1:6" s="1100" customFormat="1" ht="36">
      <c r="A79" s="1149">
        <v>19</v>
      </c>
      <c r="B79" s="3414"/>
      <c r="C79" s="1063" t="s">
        <v>1539</v>
      </c>
      <c r="D79" s="1063" t="s">
        <v>1540</v>
      </c>
      <c r="E79" s="1134">
        <v>0.5</v>
      </c>
      <c r="F79" s="1149">
        <v>80</v>
      </c>
    </row>
    <row r="80" spans="1:6" s="1100" customFormat="1" ht="36">
      <c r="A80" s="1149">
        <v>20</v>
      </c>
      <c r="B80" s="3414"/>
      <c r="C80" s="1063" t="s">
        <v>1541</v>
      </c>
      <c r="D80" s="1063" t="s">
        <v>1542</v>
      </c>
      <c r="E80" s="1134">
        <v>0.2</v>
      </c>
      <c r="F80" s="1149">
        <v>30</v>
      </c>
    </row>
    <row r="81" spans="1:6" s="1100" customFormat="1" ht="36">
      <c r="A81" s="1149">
        <v>21</v>
      </c>
      <c r="B81" s="3414"/>
      <c r="C81" s="1063" t="s">
        <v>1543</v>
      </c>
      <c r="D81" s="1063" t="s">
        <v>1544</v>
      </c>
      <c r="E81" s="1134">
        <v>0.2</v>
      </c>
      <c r="F81" s="1149">
        <v>30</v>
      </c>
    </row>
    <row r="82" spans="1:6" s="1100" customFormat="1" ht="60">
      <c r="A82" s="1149">
        <v>22</v>
      </c>
      <c r="B82" s="3414"/>
      <c r="C82" s="1063" t="s">
        <v>1545</v>
      </c>
      <c r="D82" s="1063" t="s">
        <v>1546</v>
      </c>
      <c r="E82" s="1134">
        <v>0.2</v>
      </c>
      <c r="F82" s="1149">
        <v>30</v>
      </c>
    </row>
    <row r="83" spans="1:6" s="1100" customFormat="1" ht="60">
      <c r="A83" s="1149">
        <v>23</v>
      </c>
      <c r="B83" s="3414"/>
      <c r="C83" s="1063" t="s">
        <v>1547</v>
      </c>
      <c r="D83" s="1063" t="s">
        <v>1548</v>
      </c>
      <c r="E83" s="1134">
        <v>0.2</v>
      </c>
      <c r="F83" s="1149">
        <v>30</v>
      </c>
    </row>
    <row r="84" spans="1:6" s="1100" customFormat="1" ht="48">
      <c r="A84" s="1149">
        <v>24</v>
      </c>
      <c r="B84" s="3414"/>
      <c r="C84" s="1063" t="s">
        <v>1549</v>
      </c>
      <c r="D84" s="1063" t="s">
        <v>1550</v>
      </c>
      <c r="E84" s="1134">
        <v>0.2</v>
      </c>
      <c r="F84" s="1149">
        <v>30</v>
      </c>
    </row>
    <row r="85" spans="1:6" s="1100" customFormat="1" ht="36">
      <c r="A85" s="1149">
        <v>25</v>
      </c>
      <c r="B85" s="3414"/>
      <c r="C85" s="1063" t="s">
        <v>1551</v>
      </c>
      <c r="D85" s="1063" t="s">
        <v>1552</v>
      </c>
      <c r="E85" s="1134">
        <v>0.5</v>
      </c>
      <c r="F85" s="1149">
        <v>80</v>
      </c>
    </row>
    <row r="86" spans="1:6" s="1100" customFormat="1" ht="36">
      <c r="A86" s="1149">
        <v>26</v>
      </c>
      <c r="B86" s="3414"/>
      <c r="C86" s="1063" t="s">
        <v>1553</v>
      </c>
      <c r="D86" s="1063" t="s">
        <v>1554</v>
      </c>
      <c r="E86" s="1134">
        <v>0.2</v>
      </c>
      <c r="F86" s="1149">
        <v>30</v>
      </c>
    </row>
    <row r="87" spans="1:6" s="1100" customFormat="1" ht="36">
      <c r="A87" s="1149">
        <v>27</v>
      </c>
      <c r="B87" s="3414"/>
      <c r="C87" s="1063" t="s">
        <v>1555</v>
      </c>
      <c r="D87" s="1063" t="s">
        <v>1556</v>
      </c>
      <c r="E87" s="1134">
        <v>0.2</v>
      </c>
      <c r="F87" s="1149">
        <v>30</v>
      </c>
    </row>
    <row r="88" spans="1:6" s="1100" customFormat="1" ht="36">
      <c r="A88" s="1149">
        <v>28</v>
      </c>
      <c r="B88" s="3414"/>
      <c r="C88" s="1063" t="s">
        <v>1557</v>
      </c>
      <c r="D88" s="1063" t="s">
        <v>1558</v>
      </c>
      <c r="E88" s="1134">
        <v>0.2</v>
      </c>
      <c r="F88" s="1149">
        <v>30</v>
      </c>
    </row>
    <row r="89" spans="1:6" s="1100" customFormat="1" ht="36">
      <c r="A89" s="1149">
        <v>29</v>
      </c>
      <c r="B89" s="3414"/>
      <c r="C89" s="1063" t="s">
        <v>1559</v>
      </c>
      <c r="D89" s="1063" t="s">
        <v>1560</v>
      </c>
      <c r="E89" s="1134">
        <v>0.2</v>
      </c>
      <c r="F89" s="1149">
        <v>30</v>
      </c>
    </row>
    <row r="90" spans="1:6" s="1100" customFormat="1" ht="36">
      <c r="A90" s="1149">
        <v>30</v>
      </c>
      <c r="B90" s="3414"/>
      <c r="C90" s="1063" t="s">
        <v>1561</v>
      </c>
      <c r="D90" s="1063" t="s">
        <v>1562</v>
      </c>
      <c r="E90" s="1134">
        <v>0.2</v>
      </c>
      <c r="F90" s="1149">
        <v>30</v>
      </c>
    </row>
    <row r="91" spans="1:6" s="1100" customFormat="1" ht="48">
      <c r="A91" s="1149">
        <v>31</v>
      </c>
      <c r="B91" s="3414"/>
      <c r="C91" s="1063" t="s">
        <v>1563</v>
      </c>
      <c r="D91" s="1063" t="s">
        <v>1564</v>
      </c>
      <c r="E91" s="1134">
        <v>0.2</v>
      </c>
      <c r="F91" s="1149">
        <v>30</v>
      </c>
    </row>
    <row r="92" spans="1:6" s="1100" customFormat="1" ht="36">
      <c r="A92" s="1149">
        <v>32</v>
      </c>
      <c r="B92" s="3414" t="s">
        <v>1565</v>
      </c>
      <c r="C92" s="1149" t="s">
        <v>1566</v>
      </c>
      <c r="D92" s="1063" t="s">
        <v>1567</v>
      </c>
      <c r="E92" s="1134">
        <v>0.2</v>
      </c>
      <c r="F92" s="1149">
        <v>30</v>
      </c>
    </row>
    <row r="93" spans="1:6" s="1100" customFormat="1" ht="36">
      <c r="A93" s="1149">
        <v>33</v>
      </c>
      <c r="B93" s="3414"/>
      <c r="C93" s="1149" t="s">
        <v>1568</v>
      </c>
      <c r="D93" s="1063" t="s">
        <v>1569</v>
      </c>
      <c r="E93" s="1134">
        <v>0.2</v>
      </c>
      <c r="F93" s="1149">
        <v>30</v>
      </c>
    </row>
    <row r="94" spans="1:6" s="1100" customFormat="1" ht="60">
      <c r="A94" s="1149">
        <v>34</v>
      </c>
      <c r="B94" s="3414"/>
      <c r="C94" s="1149" t="s">
        <v>1570</v>
      </c>
      <c r="D94" s="1063" t="s">
        <v>1571</v>
      </c>
      <c r="E94" s="1134">
        <v>0.2</v>
      </c>
      <c r="F94" s="1149">
        <v>30</v>
      </c>
    </row>
    <row r="95" spans="1:6" s="1100" customFormat="1" ht="48">
      <c r="A95" s="1149">
        <v>35</v>
      </c>
      <c r="B95" s="3414"/>
      <c r="C95" s="1149" t="s">
        <v>1572</v>
      </c>
      <c r="D95" s="1063" t="s">
        <v>1573</v>
      </c>
      <c r="E95" s="1134">
        <v>0.2</v>
      </c>
      <c r="F95" s="1149">
        <v>30</v>
      </c>
    </row>
    <row r="96" spans="1:6" s="1100" customFormat="1" ht="72">
      <c r="A96" s="1149">
        <v>36</v>
      </c>
      <c r="B96" s="3414"/>
      <c r="C96" s="1063" t="s">
        <v>1574</v>
      </c>
      <c r="D96" s="1063" t="s">
        <v>1575</v>
      </c>
      <c r="E96" s="1134">
        <v>0.2</v>
      </c>
      <c r="F96" s="1149">
        <v>30</v>
      </c>
    </row>
    <row r="97" spans="1:6" s="1100" customFormat="1" ht="36">
      <c r="A97" s="1149">
        <v>37</v>
      </c>
      <c r="B97" s="3414"/>
      <c r="C97" s="1149" t="s">
        <v>1576</v>
      </c>
      <c r="D97" s="1063" t="s">
        <v>1577</v>
      </c>
      <c r="E97" s="1134">
        <v>0.2</v>
      </c>
      <c r="F97" s="1149">
        <v>30</v>
      </c>
    </row>
    <row r="98" spans="1:6" s="1100" customFormat="1" ht="36">
      <c r="A98" s="1149">
        <v>38</v>
      </c>
      <c r="B98" s="3414"/>
      <c r="C98" s="1149" t="s">
        <v>1578</v>
      </c>
      <c r="D98" s="1063" t="s">
        <v>1579</v>
      </c>
      <c r="E98" s="1134">
        <v>0.2</v>
      </c>
      <c r="F98" s="1149">
        <v>30</v>
      </c>
    </row>
    <row r="99" spans="1:6" s="1100" customFormat="1" ht="36">
      <c r="A99" s="1149">
        <v>39</v>
      </c>
      <c r="B99" s="3414" t="s">
        <v>1580</v>
      </c>
      <c r="C99" s="1149" t="s">
        <v>1581</v>
      </c>
      <c r="D99" s="1063" t="s">
        <v>1582</v>
      </c>
      <c r="E99" s="1134">
        <v>0.3</v>
      </c>
      <c r="F99" s="1149">
        <v>50</v>
      </c>
    </row>
    <row r="100" spans="1:6" s="1100" customFormat="1" ht="36">
      <c r="A100" s="1149">
        <v>40</v>
      </c>
      <c r="B100" s="3414"/>
      <c r="C100" s="1149" t="s">
        <v>1583</v>
      </c>
      <c r="D100" s="1063" t="s">
        <v>1584</v>
      </c>
      <c r="E100" s="1134">
        <v>0.2</v>
      </c>
      <c r="F100" s="1149">
        <v>30</v>
      </c>
    </row>
    <row r="101" spans="1:6" s="1100" customFormat="1" ht="36">
      <c r="A101" s="1149">
        <v>41</v>
      </c>
      <c r="B101" s="3414"/>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14" t="s">
        <v>1595</v>
      </c>
      <c r="C105" s="1149" t="s">
        <v>1596</v>
      </c>
      <c r="D105" s="1063" t="s">
        <v>1597</v>
      </c>
      <c r="E105" s="1134">
        <v>0.2</v>
      </c>
      <c r="F105" s="1149">
        <v>30</v>
      </c>
    </row>
    <row r="106" spans="1:6" s="1100" customFormat="1" ht="48">
      <c r="A106" s="1149">
        <v>46</v>
      </c>
      <c r="B106" s="3414"/>
      <c r="C106" s="1149" t="s">
        <v>1598</v>
      </c>
      <c r="D106" s="1063" t="s">
        <v>1599</v>
      </c>
      <c r="E106" s="1134">
        <v>0.2</v>
      </c>
      <c r="F106" s="1149">
        <v>30</v>
      </c>
    </row>
    <row r="107" spans="1:6" s="1100" customFormat="1" ht="36">
      <c r="A107" s="1149">
        <v>47</v>
      </c>
      <c r="B107" s="3414" t="s">
        <v>1600</v>
      </c>
      <c r="C107" s="1149" t="s">
        <v>1601</v>
      </c>
      <c r="D107" s="1063" t="s">
        <v>1602</v>
      </c>
      <c r="E107" s="1134">
        <v>0.3</v>
      </c>
      <c r="F107" s="1149">
        <v>50</v>
      </c>
    </row>
    <row r="108" spans="1:6" s="1100" customFormat="1" ht="48">
      <c r="A108" s="1149">
        <v>48</v>
      </c>
      <c r="B108" s="341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14" t="s">
        <v>1611</v>
      </c>
      <c r="C111" s="1149" t="s">
        <v>1612</v>
      </c>
      <c r="D111" s="1063" t="s">
        <v>1613</v>
      </c>
      <c r="E111" s="1134">
        <v>0.2</v>
      </c>
      <c r="F111" s="1149">
        <v>30</v>
      </c>
    </row>
    <row r="112" spans="1:6" s="1100" customFormat="1" ht="36">
      <c r="A112" s="1149">
        <v>52</v>
      </c>
      <c r="B112" s="3414"/>
      <c r="C112" s="1149" t="s">
        <v>1614</v>
      </c>
      <c r="D112" s="1063" t="s">
        <v>1615</v>
      </c>
      <c r="E112" s="1134">
        <v>0.2</v>
      </c>
      <c r="F112" s="1149">
        <v>30</v>
      </c>
    </row>
    <row r="113" spans="1:14" s="1100" customFormat="1" ht="36">
      <c r="A113" s="1149">
        <v>53</v>
      </c>
      <c r="B113" s="3414"/>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14" t="s">
        <v>1624</v>
      </c>
      <c r="C116" s="1149" t="s">
        <v>1625</v>
      </c>
      <c r="D116" s="1063" t="s">
        <v>1626</v>
      </c>
      <c r="E116" s="1134">
        <v>0.2</v>
      </c>
      <c r="F116" s="1149">
        <v>30</v>
      </c>
    </row>
    <row r="117" spans="1:14" ht="36">
      <c r="A117" s="1149">
        <v>57</v>
      </c>
      <c r="B117" s="341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13" t="s">
        <v>1633</v>
      </c>
      <c r="B121" s="3413"/>
      <c r="C121" s="3413"/>
      <c r="D121" s="3413"/>
      <c r="E121" s="3413"/>
      <c r="F121" s="3413"/>
      <c r="G121" s="3413"/>
      <c r="H121" s="3413"/>
      <c r="I121" s="3413"/>
      <c r="J121" s="341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18" t="s">
        <v>1039</v>
      </c>
      <c r="B1" s="3418"/>
      <c r="C1" s="3418"/>
      <c r="D1" s="3418"/>
      <c r="E1" s="3418"/>
      <c r="F1" s="341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19" t="s">
        <v>1052</v>
      </c>
      <c r="B2" s="3419"/>
      <c r="C2" s="3419"/>
      <c r="D2" s="3419"/>
      <c r="E2" s="3419"/>
      <c r="F2" s="341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2418</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2419</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22" t="s">
        <v>2075</v>
      </c>
      <c r="B1" s="3422"/>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1096</v>
      </c>
      <c r="B6" s="1843" t="s">
        <v>2084</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2085</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2086</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2087</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2088</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2089</v>
      </c>
      <c r="C72" s="1853"/>
      <c r="D72" s="1853"/>
      <c r="E72" s="1853"/>
      <c r="F72" s="1845">
        <v>0.05</v>
      </c>
    </row>
    <row r="73" spans="1:6" ht="24.6" thickBot="1">
      <c r="A73" s="1839" t="s">
        <v>925</v>
      </c>
      <c r="B73" s="1843" t="s">
        <v>2090</v>
      </c>
      <c r="C73" s="1853"/>
      <c r="D73" s="1853"/>
      <c r="E73" s="1853"/>
      <c r="F73" s="1845">
        <v>0.05</v>
      </c>
    </row>
    <row r="74" spans="1:6" ht="24.6" thickBot="1">
      <c r="A74" s="1839" t="s">
        <v>925</v>
      </c>
      <c r="B74" s="1843" t="s">
        <v>2091</v>
      </c>
      <c r="C74" s="1853"/>
      <c r="D74" s="1853"/>
      <c r="E74" s="1853"/>
      <c r="F74" s="1845">
        <v>0.05</v>
      </c>
    </row>
    <row r="75" spans="1:6" ht="24.6" thickBot="1">
      <c r="A75" s="1847" t="s">
        <v>925</v>
      </c>
      <c r="B75" s="1854" t="s">
        <v>2092</v>
      </c>
      <c r="C75" s="1850"/>
      <c r="D75" s="1850"/>
      <c r="E75" s="1850"/>
      <c r="F75" s="1855">
        <v>0.05</v>
      </c>
    </row>
    <row r="76" spans="1:6" ht="15" thickBot="1">
      <c r="A76" s="1839" t="s">
        <v>1407</v>
      </c>
      <c r="B76" s="1840" t="s">
        <v>2093</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2094</v>
      </c>
      <c r="C102" s="1853"/>
      <c r="D102" s="1853"/>
      <c r="E102" s="1853"/>
      <c r="F102" s="1845">
        <v>0.05</v>
      </c>
    </row>
    <row r="103" spans="1:6" ht="24.6" thickBot="1">
      <c r="A103" s="1839" t="s">
        <v>1407</v>
      </c>
      <c r="B103" s="1843" t="s">
        <v>2095</v>
      </c>
      <c r="C103" s="1853"/>
      <c r="D103" s="1853"/>
      <c r="E103" s="1853"/>
      <c r="F103" s="1845">
        <v>0.05</v>
      </c>
    </row>
    <row r="104" spans="1:6" ht="15" thickBot="1">
      <c r="A104" s="1839" t="s">
        <v>1407</v>
      </c>
      <c r="B104" s="1843" t="s">
        <v>2096</v>
      </c>
      <c r="C104" s="1853"/>
      <c r="D104" s="1853"/>
      <c r="E104" s="1853"/>
      <c r="F104" s="1845">
        <v>0.05</v>
      </c>
    </row>
    <row r="105" spans="1:6" ht="24.6" thickBot="1">
      <c r="A105" s="1839" t="s">
        <v>1407</v>
      </c>
      <c r="B105" s="1843" t="s">
        <v>2097</v>
      </c>
      <c r="C105" s="1853"/>
      <c r="D105" s="1853"/>
      <c r="E105" s="1853"/>
      <c r="F105" s="1845">
        <v>0.05</v>
      </c>
    </row>
    <row r="106" spans="1:6" ht="24.6" thickBot="1">
      <c r="A106" s="1839" t="s">
        <v>1407</v>
      </c>
      <c r="B106" s="1843" t="s">
        <v>2098</v>
      </c>
      <c r="C106" s="1853"/>
      <c r="D106" s="1853"/>
      <c r="E106" s="1853"/>
      <c r="F106" s="1845">
        <v>0.05</v>
      </c>
    </row>
    <row r="107" spans="1:6" ht="24.6" thickBot="1">
      <c r="A107" s="1839" t="s">
        <v>1407</v>
      </c>
      <c r="B107" s="1843" t="s">
        <v>2099</v>
      </c>
      <c r="C107" s="1853"/>
      <c r="D107" s="1853"/>
      <c r="E107" s="1853"/>
      <c r="F107" s="1845">
        <v>0.05</v>
      </c>
    </row>
    <row r="108" spans="1:6" ht="24.6" thickBot="1">
      <c r="A108" s="1839" t="s">
        <v>1407</v>
      </c>
      <c r="B108" s="1843" t="s">
        <v>2100</v>
      </c>
      <c r="C108" s="1853"/>
      <c r="D108" s="1853"/>
      <c r="E108" s="1853"/>
      <c r="F108" s="1845">
        <v>0.05</v>
      </c>
    </row>
    <row r="109" spans="1:6" ht="24.6" thickBot="1">
      <c r="A109" s="1847" t="s">
        <v>1407</v>
      </c>
      <c r="B109" s="1854" t="s">
        <v>2101</v>
      </c>
      <c r="C109" s="1850"/>
      <c r="D109" s="1850"/>
      <c r="E109" s="1850"/>
      <c r="F109" s="1855">
        <v>0.05</v>
      </c>
    </row>
    <row r="110" spans="1:6" ht="15" thickBot="1">
      <c r="A110" s="1839" t="s">
        <v>1409</v>
      </c>
      <c r="B110" s="1840" t="s">
        <v>2102</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2103</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2104</v>
      </c>
      <c r="C138" s="1844">
        <v>0.105</v>
      </c>
      <c r="D138" s="1844">
        <v>0.125</v>
      </c>
      <c r="E138" s="1844">
        <v>0.112</v>
      </c>
      <c r="F138" s="1852"/>
    </row>
    <row r="139" spans="1:6" ht="15" thickBot="1">
      <c r="A139" s="1839" t="s">
        <v>1409</v>
      </c>
      <c r="B139" s="1843" t="s">
        <v>2105</v>
      </c>
      <c r="C139" s="1844">
        <v>0.127</v>
      </c>
      <c r="D139" s="1844">
        <v>0.127</v>
      </c>
      <c r="E139" s="1844">
        <v>0.122</v>
      </c>
      <c r="F139" s="1845">
        <v>0.13</v>
      </c>
    </row>
    <row r="140" spans="1:6" ht="15" thickBot="1">
      <c r="A140" s="1839" t="s">
        <v>1409</v>
      </c>
      <c r="B140" s="1843" t="s">
        <v>2106</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2107</v>
      </c>
      <c r="C144" s="1857">
        <v>0.126</v>
      </c>
      <c r="D144" s="1857">
        <v>0.126</v>
      </c>
      <c r="E144" s="1857">
        <v>0.121</v>
      </c>
      <c r="F144" s="1852"/>
    </row>
    <row r="145" spans="1:6" ht="15" thickBot="1">
      <c r="A145" s="1847" t="s">
        <v>1409</v>
      </c>
      <c r="B145" s="1858" t="s">
        <v>2108</v>
      </c>
      <c r="C145" s="1859"/>
      <c r="D145" s="1859"/>
      <c r="E145" s="1859"/>
      <c r="F145" s="1860">
        <v>0.05</v>
      </c>
    </row>
    <row r="146" spans="1:6" ht="24.6" thickBot="1">
      <c r="A146" s="1861" t="s">
        <v>1409</v>
      </c>
      <c r="B146" s="1846" t="s">
        <v>2109</v>
      </c>
      <c r="C146" s="1853"/>
      <c r="D146" s="1853"/>
      <c r="E146" s="1853"/>
      <c r="F146" s="1862">
        <v>0.05</v>
      </c>
    </row>
    <row r="147" spans="1:6" ht="24.6" thickBot="1">
      <c r="A147" s="1839" t="s">
        <v>1409</v>
      </c>
      <c r="B147" s="1843" t="s">
        <v>2110</v>
      </c>
      <c r="C147" s="1853"/>
      <c r="D147" s="1853"/>
      <c r="E147" s="1853"/>
      <c r="F147" s="1845">
        <v>0.05</v>
      </c>
    </row>
    <row r="148" spans="1:6" ht="24.6" thickBot="1">
      <c r="A148" s="1839" t="s">
        <v>1409</v>
      </c>
      <c r="B148" s="1843" t="s">
        <v>2111</v>
      </c>
      <c r="C148" s="1853"/>
      <c r="D148" s="1853"/>
      <c r="E148" s="1853"/>
      <c r="F148" s="1845">
        <v>0.05</v>
      </c>
    </row>
    <row r="149" spans="1:6" ht="24.6" thickBot="1">
      <c r="A149" s="1839" t="s">
        <v>1409</v>
      </c>
      <c r="B149" s="1843" t="s">
        <v>2112</v>
      </c>
      <c r="C149" s="1853"/>
      <c r="D149" s="1853"/>
      <c r="E149" s="1853"/>
      <c r="F149" s="1845">
        <v>0.05</v>
      </c>
    </row>
    <row r="150" spans="1:6" ht="24.6" thickBot="1">
      <c r="A150" s="1839" t="s">
        <v>1409</v>
      </c>
      <c r="B150" s="1843" t="s">
        <v>2113</v>
      </c>
      <c r="C150" s="1853"/>
      <c r="D150" s="1853"/>
      <c r="E150" s="1853"/>
      <c r="F150" s="1845">
        <v>0.05</v>
      </c>
    </row>
    <row r="151" spans="1:6" ht="24.6" thickBot="1">
      <c r="A151" s="1839" t="s">
        <v>1409</v>
      </c>
      <c r="B151" s="1843" t="s">
        <v>2114</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2115</v>
      </c>
      <c r="C153" s="1853"/>
      <c r="D153" s="1853"/>
      <c r="E153" s="1853"/>
      <c r="F153" s="1845">
        <v>0.05</v>
      </c>
    </row>
    <row r="154" spans="1:6" ht="15" thickBot="1">
      <c r="A154" s="1839" t="s">
        <v>1409</v>
      </c>
      <c r="B154" s="1843" t="s">
        <v>2116</v>
      </c>
      <c r="C154" s="1853"/>
      <c r="D154" s="1853"/>
      <c r="E154" s="1853"/>
      <c r="F154" s="1845">
        <v>0.05</v>
      </c>
    </row>
    <row r="155" spans="1:6" ht="24.6" thickBot="1">
      <c r="A155" s="1839" t="s">
        <v>1409</v>
      </c>
      <c r="B155" s="1843" t="s">
        <v>2117</v>
      </c>
      <c r="C155" s="1853"/>
      <c r="D155" s="1853"/>
      <c r="E155" s="1853"/>
      <c r="F155" s="1845">
        <v>0.05</v>
      </c>
    </row>
    <row r="156" spans="1:6" ht="24.6" thickBot="1">
      <c r="A156" s="1839" t="s">
        <v>1409</v>
      </c>
      <c r="B156" s="1843" t="s">
        <v>2118</v>
      </c>
      <c r="C156" s="1853"/>
      <c r="D156" s="1853"/>
      <c r="E156" s="1853"/>
      <c r="F156" s="1845">
        <v>0.05</v>
      </c>
    </row>
    <row r="157" spans="1:6" ht="24.6" thickBot="1">
      <c r="A157" s="1847" t="s">
        <v>1409</v>
      </c>
      <c r="B157" s="1854" t="s">
        <v>2119</v>
      </c>
      <c r="C157" s="1850"/>
      <c r="D157" s="1850"/>
      <c r="E157" s="1850"/>
      <c r="F157" s="1855">
        <v>0.05</v>
      </c>
    </row>
    <row r="158" spans="1:6" ht="15" thickBot="1">
      <c r="A158" s="1839" t="s">
        <v>1411</v>
      </c>
      <c r="B158" s="1840" t="s">
        <v>2120</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2121</v>
      </c>
      <c r="C171" s="1844">
        <v>0.127</v>
      </c>
      <c r="D171" s="1844">
        <v>0.126</v>
      </c>
      <c r="E171" s="1844">
        <v>0.126</v>
      </c>
      <c r="F171" s="1845">
        <v>0.11799999999999999</v>
      </c>
    </row>
    <row r="172" spans="1:6" ht="15" thickBot="1">
      <c r="A172" s="1839" t="s">
        <v>1411</v>
      </c>
      <c r="B172" s="1843" t="s">
        <v>2122</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2123</v>
      </c>
      <c r="C174" s="1844">
        <v>0.13</v>
      </c>
      <c r="D174" s="1844">
        <v>0.13</v>
      </c>
      <c r="E174" s="1844">
        <v>0.13</v>
      </c>
      <c r="F174" s="1845">
        <v>0.13</v>
      </c>
    </row>
    <row r="175" spans="1:6" ht="15" thickBot="1">
      <c r="A175" s="1839" t="s">
        <v>1411</v>
      </c>
      <c r="B175" s="1843" t="s">
        <v>2124</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2125</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2126</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2127</v>
      </c>
      <c r="C185" s="1844">
        <v>0.127</v>
      </c>
      <c r="D185" s="1844">
        <v>0.127</v>
      </c>
      <c r="E185" s="1844">
        <v>0.128</v>
      </c>
      <c r="F185" s="1845">
        <v>0.13</v>
      </c>
    </row>
    <row r="186" spans="1:6" ht="24.6" thickBot="1">
      <c r="A186" s="1839" t="s">
        <v>1411</v>
      </c>
      <c r="B186" s="1843" t="s">
        <v>2128</v>
      </c>
      <c r="C186" s="1853"/>
      <c r="D186" s="1853"/>
      <c r="E186" s="1853"/>
      <c r="F186" s="1845">
        <v>0.05</v>
      </c>
    </row>
    <row r="187" spans="1:6" ht="15" thickBot="1">
      <c r="A187" s="1839" t="s">
        <v>1411</v>
      </c>
      <c r="B187" s="1843" t="s">
        <v>2129</v>
      </c>
      <c r="C187" s="1853"/>
      <c r="D187" s="1853"/>
      <c r="E187" s="1853"/>
      <c r="F187" s="1845">
        <v>0.05</v>
      </c>
    </row>
    <row r="188" spans="1:6" ht="24.6" thickBot="1">
      <c r="A188" s="1839" t="s">
        <v>1411</v>
      </c>
      <c r="B188" s="1843" t="s">
        <v>2130</v>
      </c>
      <c r="C188" s="1853"/>
      <c r="D188" s="1853"/>
      <c r="E188" s="1853"/>
      <c r="F188" s="1845">
        <v>0.05</v>
      </c>
    </row>
    <row r="189" spans="1:6" ht="24.6" thickBot="1">
      <c r="A189" s="1839" t="s">
        <v>1411</v>
      </c>
      <c r="B189" s="1843" t="s">
        <v>2131</v>
      </c>
      <c r="C189" s="1853"/>
      <c r="D189" s="1853"/>
      <c r="E189" s="1853"/>
      <c r="F189" s="1845">
        <v>0.05</v>
      </c>
    </row>
    <row r="190" spans="1:6" ht="24.6" thickBot="1">
      <c r="A190" s="1839" t="s">
        <v>1411</v>
      </c>
      <c r="B190" s="1843" t="s">
        <v>2132</v>
      </c>
      <c r="C190" s="1853"/>
      <c r="D190" s="1853"/>
      <c r="E190" s="1853"/>
      <c r="F190" s="1845">
        <v>0.05</v>
      </c>
    </row>
    <row r="191" spans="1:6" ht="24.6" thickBot="1">
      <c r="A191" s="1839" t="s">
        <v>1411</v>
      </c>
      <c r="B191" s="1843" t="s">
        <v>2133</v>
      </c>
      <c r="C191" s="1853"/>
      <c r="D191" s="1853"/>
      <c r="E191" s="1853"/>
      <c r="F191" s="1845">
        <v>0.05</v>
      </c>
    </row>
    <row r="192" spans="1:6" ht="24.6" thickBot="1">
      <c r="A192" s="1839" t="s">
        <v>1411</v>
      </c>
      <c r="B192" s="1843" t="s">
        <v>2134</v>
      </c>
      <c r="C192" s="1853"/>
      <c r="D192" s="1853"/>
      <c r="E192" s="1853"/>
      <c r="F192" s="1845">
        <v>0.05</v>
      </c>
    </row>
    <row r="193" spans="1:6" ht="24.6" thickBot="1">
      <c r="A193" s="1839" t="s">
        <v>1411</v>
      </c>
      <c r="B193" s="1843" t="s">
        <v>2135</v>
      </c>
      <c r="C193" s="1853"/>
      <c r="D193" s="1853"/>
      <c r="E193" s="1853"/>
      <c r="F193" s="1845">
        <v>0.05</v>
      </c>
    </row>
    <row r="194" spans="1:6" ht="24.6" thickBot="1">
      <c r="A194" s="1839" t="s">
        <v>1411</v>
      </c>
      <c r="B194" s="1843" t="s">
        <v>2136</v>
      </c>
      <c r="C194" s="1853"/>
      <c r="D194" s="1853"/>
      <c r="E194" s="1853"/>
      <c r="F194" s="1845">
        <v>0.05</v>
      </c>
    </row>
    <row r="195" spans="1:6" ht="15" thickBot="1">
      <c r="A195" s="1839" t="s">
        <v>1411</v>
      </c>
      <c r="B195" s="1843" t="s">
        <v>2137</v>
      </c>
      <c r="C195" s="1853"/>
      <c r="D195" s="1853"/>
      <c r="E195" s="1853"/>
      <c r="F195" s="1845">
        <v>0.05</v>
      </c>
    </row>
    <row r="196" spans="1:6" ht="24.6" thickBot="1">
      <c r="A196" s="1839" t="s">
        <v>1411</v>
      </c>
      <c r="B196" s="1843" t="s">
        <v>2138</v>
      </c>
      <c r="C196" s="1853"/>
      <c r="D196" s="1853"/>
      <c r="E196" s="1853"/>
      <c r="F196" s="1845">
        <v>0.05</v>
      </c>
    </row>
    <row r="197" spans="1:6" ht="24.6" thickBot="1">
      <c r="A197" s="1839" t="s">
        <v>1411</v>
      </c>
      <c r="B197" s="1843" t="s">
        <v>2139</v>
      </c>
      <c r="C197" s="1853"/>
      <c r="D197" s="1853"/>
      <c r="E197" s="1853"/>
      <c r="F197" s="1845">
        <v>0.05</v>
      </c>
    </row>
    <row r="198" spans="1:6" ht="24.6" thickBot="1">
      <c r="A198" s="1839" t="s">
        <v>1411</v>
      </c>
      <c r="B198" s="1843" t="s">
        <v>2140</v>
      </c>
      <c r="C198" s="1853"/>
      <c r="D198" s="1853"/>
      <c r="E198" s="1853"/>
      <c r="F198" s="1845">
        <v>0.05</v>
      </c>
    </row>
    <row r="199" spans="1:6" ht="24.6" thickBot="1">
      <c r="A199" s="1839" t="s">
        <v>1411</v>
      </c>
      <c r="B199" s="1843" t="s">
        <v>2141</v>
      </c>
      <c r="C199" s="1853"/>
      <c r="D199" s="1853"/>
      <c r="E199" s="1853"/>
      <c r="F199" s="1845">
        <v>0.05</v>
      </c>
    </row>
    <row r="200" spans="1:6" ht="24.6" thickBot="1">
      <c r="A200" s="1839" t="s">
        <v>1411</v>
      </c>
      <c r="B200" s="1843" t="s">
        <v>2142</v>
      </c>
      <c r="C200" s="1853"/>
      <c r="D200" s="1853"/>
      <c r="E200" s="1853"/>
      <c r="F200" s="1845">
        <v>0.05</v>
      </c>
    </row>
    <row r="201" spans="1:6" ht="24.6" thickBot="1">
      <c r="A201" s="1839" t="s">
        <v>1411</v>
      </c>
      <c r="B201" s="1843" t="s">
        <v>2143</v>
      </c>
      <c r="C201" s="1853"/>
      <c r="D201" s="1853"/>
      <c r="E201" s="1853"/>
      <c r="F201" s="1845">
        <v>0.05</v>
      </c>
    </row>
    <row r="202" spans="1:6" ht="24.6" thickBot="1">
      <c r="A202" s="1839" t="s">
        <v>1411</v>
      </c>
      <c r="B202" s="1843" t="s">
        <v>2144</v>
      </c>
      <c r="C202" s="1853"/>
      <c r="D202" s="1853"/>
      <c r="E202" s="1853"/>
      <c r="F202" s="1845">
        <v>0.05</v>
      </c>
    </row>
    <row r="203" spans="1:6" ht="24.6" thickBot="1">
      <c r="A203" s="1839" t="s">
        <v>1411</v>
      </c>
      <c r="B203" s="1843" t="s">
        <v>2145</v>
      </c>
      <c r="C203" s="1853"/>
      <c r="D203" s="1853"/>
      <c r="E203" s="1853"/>
      <c r="F203" s="1845">
        <v>0.05</v>
      </c>
    </row>
    <row r="204" spans="1:6" ht="15" thickBot="1">
      <c r="A204" s="1839" t="s">
        <v>1411</v>
      </c>
      <c r="B204" s="1843" t="s">
        <v>2146</v>
      </c>
      <c r="C204" s="1853"/>
      <c r="D204" s="1853"/>
      <c r="E204" s="1853"/>
      <c r="F204" s="1845">
        <v>0.05</v>
      </c>
    </row>
    <row r="205" spans="1:6" ht="15" thickBot="1">
      <c r="A205" s="1847" t="s">
        <v>1411</v>
      </c>
      <c r="B205" s="1854" t="s">
        <v>2147</v>
      </c>
      <c r="C205" s="1850"/>
      <c r="D205" s="1850"/>
      <c r="E205" s="1850"/>
      <c r="F205" s="1855">
        <v>0.05</v>
      </c>
    </row>
    <row r="206" spans="1:6" ht="15" thickBot="1">
      <c r="A206" s="1839" t="s">
        <v>1413</v>
      </c>
      <c r="B206" s="1840" t="s">
        <v>2148</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2149</v>
      </c>
      <c r="C210" s="1844">
        <v>0.15</v>
      </c>
      <c r="D210" s="1844">
        <v>0.15</v>
      </c>
      <c r="E210" s="1844">
        <v>0.15</v>
      </c>
      <c r="F210" s="1845">
        <v>0.13800000000000001</v>
      </c>
    </row>
    <row r="211" spans="1:6" ht="15" thickBot="1">
      <c r="A211" s="1839" t="s">
        <v>1413</v>
      </c>
      <c r="B211" s="1843" t="s">
        <v>2150</v>
      </c>
      <c r="C211" s="1844">
        <v>0.13700000000000001</v>
      </c>
      <c r="D211" s="1844">
        <v>0.13500000000000001</v>
      </c>
      <c r="E211" s="1844">
        <v>0.13600000000000001</v>
      </c>
      <c r="F211" s="1845">
        <v>0.1</v>
      </c>
    </row>
    <row r="212" spans="1:6" ht="15" thickBot="1">
      <c r="A212" s="1839" t="s">
        <v>1413</v>
      </c>
      <c r="B212" s="1843" t="s">
        <v>2151</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2152</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2153</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2154</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2155</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2156</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2157</v>
      </c>
      <c r="C231" s="1844">
        <v>0.128</v>
      </c>
      <c r="D231" s="1844">
        <v>0.125</v>
      </c>
      <c r="E231" s="1844">
        <v>0.13200000000000001</v>
      </c>
      <c r="F231" s="1852"/>
    </row>
    <row r="232" spans="1:6" ht="15" thickBot="1">
      <c r="A232" s="1839" t="s">
        <v>1413</v>
      </c>
      <c r="B232" s="1843" t="s">
        <v>2158</v>
      </c>
      <c r="C232" s="1844">
        <v>0.14499999999999999</v>
      </c>
      <c r="D232" s="1844">
        <v>0.14399999999999999</v>
      </c>
      <c r="E232" s="1844">
        <v>0.14599999999999999</v>
      </c>
      <c r="F232" s="1845">
        <v>0.13800000000000001</v>
      </c>
    </row>
    <row r="233" spans="1:6" ht="15" thickBot="1">
      <c r="A233" s="1839" t="s">
        <v>1413</v>
      </c>
      <c r="B233" s="1843" t="s">
        <v>2159</v>
      </c>
      <c r="C233" s="1844">
        <v>0.14499999999999999</v>
      </c>
      <c r="D233" s="1844">
        <v>0.14299999999999999</v>
      </c>
      <c r="E233" s="1844">
        <v>0.14199999999999999</v>
      </c>
      <c r="F233" s="1852"/>
    </row>
    <row r="234" spans="1:6" ht="15" thickBot="1">
      <c r="A234" s="1839" t="s">
        <v>1413</v>
      </c>
      <c r="B234" s="1843" t="s">
        <v>2160</v>
      </c>
      <c r="C234" s="1844">
        <v>0.14000000000000001</v>
      </c>
      <c r="D234" s="1844">
        <v>0.14000000000000001</v>
      </c>
      <c r="E234" s="1844">
        <v>0.14399999999999999</v>
      </c>
      <c r="F234" s="1852"/>
    </row>
    <row r="235" spans="1:6" ht="15" thickBot="1">
      <c r="A235" s="1839" t="s">
        <v>1413</v>
      </c>
      <c r="B235" s="1843" t="s">
        <v>2161</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2162</v>
      </c>
      <c r="C237" s="1853"/>
      <c r="D237" s="1853"/>
      <c r="E237" s="1853"/>
      <c r="F237" s="1845">
        <v>0.05</v>
      </c>
    </row>
    <row r="238" spans="1:6" ht="24.6" thickBot="1">
      <c r="A238" s="1839" t="s">
        <v>1413</v>
      </c>
      <c r="B238" s="1843" t="s">
        <v>2163</v>
      </c>
      <c r="C238" s="1853"/>
      <c r="D238" s="1853"/>
      <c r="E238" s="1853"/>
      <c r="F238" s="1845">
        <v>0.05</v>
      </c>
    </row>
    <row r="239" spans="1:6" ht="24.6" thickBot="1">
      <c r="A239" s="1839" t="s">
        <v>1413</v>
      </c>
      <c r="B239" s="1843" t="s">
        <v>2164</v>
      </c>
      <c r="C239" s="1853"/>
      <c r="D239" s="1853"/>
      <c r="E239" s="1853"/>
      <c r="F239" s="1845">
        <v>0.05</v>
      </c>
    </row>
    <row r="240" spans="1:6" ht="24.6" thickBot="1">
      <c r="A240" s="1839" t="s">
        <v>1413</v>
      </c>
      <c r="B240" s="1843" t="s">
        <v>2165</v>
      </c>
      <c r="C240" s="1853"/>
      <c r="D240" s="1853"/>
      <c r="E240" s="1853"/>
      <c r="F240" s="1845">
        <v>0.05</v>
      </c>
    </row>
    <row r="241" spans="1:6" ht="24.6" thickBot="1">
      <c r="A241" s="1839" t="s">
        <v>1413</v>
      </c>
      <c r="B241" s="1843" t="s">
        <v>2166</v>
      </c>
      <c r="C241" s="1853"/>
      <c r="D241" s="1853"/>
      <c r="E241" s="1853"/>
      <c r="F241" s="1845">
        <v>0.05</v>
      </c>
    </row>
    <row r="242" spans="1:6" ht="24.6" thickBot="1">
      <c r="A242" s="1839" t="s">
        <v>1413</v>
      </c>
      <c r="B242" s="1843" t="s">
        <v>2167</v>
      </c>
      <c r="C242" s="1853"/>
      <c r="D242" s="1853"/>
      <c r="E242" s="1853"/>
      <c r="F242" s="1845">
        <v>0.05</v>
      </c>
    </row>
    <row r="243" spans="1:6" ht="24.6" thickBot="1">
      <c r="A243" s="1839" t="s">
        <v>1413</v>
      </c>
      <c r="B243" s="1843" t="s">
        <v>2168</v>
      </c>
      <c r="C243" s="1853"/>
      <c r="D243" s="1853"/>
      <c r="E243" s="1853"/>
      <c r="F243" s="1845">
        <v>0.05</v>
      </c>
    </row>
    <row r="244" spans="1:6" ht="24.6" thickBot="1">
      <c r="A244" s="1847" t="s">
        <v>1413</v>
      </c>
      <c r="B244" s="1854" t="s">
        <v>2169</v>
      </c>
      <c r="C244" s="1850"/>
      <c r="D244" s="1850"/>
      <c r="E244" s="1850"/>
      <c r="F244" s="1855">
        <v>0.05</v>
      </c>
    </row>
    <row r="245" spans="1:6" ht="15" thickBot="1">
      <c r="A245" s="1839" t="s">
        <v>1415</v>
      </c>
      <c r="B245" s="1840" t="s">
        <v>2170</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2171</v>
      </c>
      <c r="C247" s="1844">
        <v>0.15</v>
      </c>
      <c r="D247" s="1844">
        <v>0.15</v>
      </c>
      <c r="E247" s="1844">
        <v>0.15</v>
      </c>
      <c r="F247" s="1845">
        <v>0.15</v>
      </c>
    </row>
    <row r="248" spans="1:6" ht="15" thickBot="1">
      <c r="A248" s="1839" t="s">
        <v>1415</v>
      </c>
      <c r="B248" s="1843" t="s">
        <v>2172</v>
      </c>
      <c r="C248" s="1844">
        <v>0.15</v>
      </c>
      <c r="D248" s="1844">
        <v>0.15</v>
      </c>
      <c r="E248" s="1844">
        <v>0.15</v>
      </c>
      <c r="F248" s="1845">
        <v>0.14000000000000001</v>
      </c>
    </row>
    <row r="249" spans="1:6" ht="15" thickBot="1">
      <c r="A249" s="1839" t="s">
        <v>1415</v>
      </c>
      <c r="B249" s="1843" t="s">
        <v>2173</v>
      </c>
      <c r="C249" s="1844">
        <v>0.15</v>
      </c>
      <c r="D249" s="1844">
        <v>0.14899999999999999</v>
      </c>
      <c r="E249" s="1844">
        <v>0.15</v>
      </c>
      <c r="F249" s="1845">
        <v>0.1</v>
      </c>
    </row>
    <row r="250" spans="1:6" ht="15" thickBot="1">
      <c r="A250" s="1839" t="s">
        <v>1415</v>
      </c>
      <c r="B250" s="1843" t="s">
        <v>2174</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2175</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2176</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2177</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2178</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2179</v>
      </c>
      <c r="C273" s="1844">
        <v>0.14199999999999999</v>
      </c>
      <c r="D273" s="1844">
        <v>0.14299999999999999</v>
      </c>
      <c r="E273" s="1844">
        <v>0.15</v>
      </c>
      <c r="F273" s="1845">
        <v>0.1</v>
      </c>
    </row>
    <row r="274" spans="1:6" ht="15" thickBot="1">
      <c r="A274" s="1839" t="s">
        <v>1415</v>
      </c>
      <c r="B274" s="1843" t="s">
        <v>2180</v>
      </c>
      <c r="C274" s="1844">
        <v>0.14799999999999999</v>
      </c>
      <c r="D274" s="1844">
        <v>0.14799999999999999</v>
      </c>
      <c r="E274" s="1844">
        <v>0.15</v>
      </c>
      <c r="F274" s="1845">
        <v>6.7000000000000004E-2</v>
      </c>
    </row>
    <row r="275" spans="1:6" ht="15" thickBot="1">
      <c r="A275" s="1839" t="s">
        <v>1415</v>
      </c>
      <c r="B275" s="1843" t="s">
        <v>2181</v>
      </c>
      <c r="C275" s="1844">
        <v>0.15</v>
      </c>
      <c r="D275" s="1844">
        <v>0.15</v>
      </c>
      <c r="E275" s="1844">
        <v>0.15</v>
      </c>
      <c r="F275" s="1845">
        <v>0.15</v>
      </c>
    </row>
    <row r="276" spans="1:6" ht="15" thickBot="1">
      <c r="A276" s="1839" t="s">
        <v>1415</v>
      </c>
      <c r="B276" s="1843" t="s">
        <v>2182</v>
      </c>
      <c r="C276" s="1844">
        <v>0.14499999999999999</v>
      </c>
      <c r="D276" s="1844">
        <v>0.14299999999999999</v>
      </c>
      <c r="E276" s="1844">
        <v>0.15</v>
      </c>
      <c r="F276" s="1845">
        <v>5.8999999999999997E-2</v>
      </c>
    </row>
    <row r="277" spans="1:6" ht="15" thickBot="1">
      <c r="A277" s="1839" t="s">
        <v>1415</v>
      </c>
      <c r="B277" s="1843" t="s">
        <v>2183</v>
      </c>
      <c r="C277" s="1844">
        <v>0.15</v>
      </c>
      <c r="D277" s="1844">
        <v>0.15</v>
      </c>
      <c r="E277" s="1844">
        <v>0.15</v>
      </c>
      <c r="F277" s="1845">
        <v>0.121</v>
      </c>
    </row>
    <row r="278" spans="1:6" ht="15" thickBot="1">
      <c r="A278" s="1839" t="s">
        <v>1415</v>
      </c>
      <c r="B278" s="1843" t="s">
        <v>2184</v>
      </c>
      <c r="C278" s="1844">
        <v>0.15</v>
      </c>
      <c r="D278" s="1844">
        <v>0.15</v>
      </c>
      <c r="E278" s="1844">
        <v>0.15</v>
      </c>
      <c r="F278" s="1845">
        <v>0.13800000000000001</v>
      </c>
    </row>
    <row r="279" spans="1:6" ht="24.6" thickBot="1">
      <c r="A279" s="1839" t="s">
        <v>1415</v>
      </c>
      <c r="B279" s="1843" t="s">
        <v>2185</v>
      </c>
      <c r="C279" s="1853"/>
      <c r="D279" s="1853"/>
      <c r="E279" s="1853"/>
      <c r="F279" s="1845">
        <v>0.05</v>
      </c>
    </row>
    <row r="280" spans="1:6" ht="24.6" thickBot="1">
      <c r="A280" s="1839" t="s">
        <v>1415</v>
      </c>
      <c r="B280" s="1843" t="s">
        <v>2186</v>
      </c>
      <c r="C280" s="1853"/>
      <c r="D280" s="1853"/>
      <c r="E280" s="1853"/>
      <c r="F280" s="1845">
        <v>0.05</v>
      </c>
    </row>
    <row r="281" spans="1:6" ht="24.6" thickBot="1">
      <c r="A281" s="1839" t="s">
        <v>1415</v>
      </c>
      <c r="B281" s="1843" t="s">
        <v>2187</v>
      </c>
      <c r="C281" s="1853"/>
      <c r="D281" s="1853"/>
      <c r="E281" s="1853"/>
      <c r="F281" s="1845">
        <v>0.05</v>
      </c>
    </row>
    <row r="282" spans="1:6" ht="24.6" thickBot="1">
      <c r="A282" s="1839" t="s">
        <v>1415</v>
      </c>
      <c r="B282" s="1843" t="s">
        <v>2188</v>
      </c>
      <c r="C282" s="1853"/>
      <c r="D282" s="1853"/>
      <c r="E282" s="1853"/>
      <c r="F282" s="1845">
        <v>0.05</v>
      </c>
    </row>
    <row r="283" spans="1:6" ht="24.6" thickBot="1">
      <c r="A283" s="1839" t="s">
        <v>1415</v>
      </c>
      <c r="B283" s="1843" t="s">
        <v>2189</v>
      </c>
      <c r="C283" s="1853"/>
      <c r="D283" s="1853"/>
      <c r="E283" s="1853"/>
      <c r="F283" s="1845">
        <v>0.05</v>
      </c>
    </row>
    <row r="284" spans="1:6" ht="24.6" thickBot="1">
      <c r="A284" s="1839" t="s">
        <v>1415</v>
      </c>
      <c r="B284" s="1843" t="s">
        <v>2190</v>
      </c>
      <c r="C284" s="1853"/>
      <c r="D284" s="1853"/>
      <c r="E284" s="1853"/>
      <c r="F284" s="1845">
        <v>0.05</v>
      </c>
    </row>
    <row r="285" spans="1:6" ht="24.6" thickBot="1">
      <c r="A285" s="1839" t="s">
        <v>1415</v>
      </c>
      <c r="B285" s="1843" t="s">
        <v>2191</v>
      </c>
      <c r="C285" s="1853"/>
      <c r="D285" s="1853"/>
      <c r="E285" s="1853"/>
      <c r="F285" s="1845">
        <v>0.05</v>
      </c>
    </row>
    <row r="286" spans="1:6" ht="24.6" thickBot="1">
      <c r="A286" s="1839" t="s">
        <v>1415</v>
      </c>
      <c r="B286" s="1843" t="s">
        <v>2192</v>
      </c>
      <c r="C286" s="1853"/>
      <c r="D286" s="1853"/>
      <c r="E286" s="1853"/>
      <c r="F286" s="1845">
        <v>0.05</v>
      </c>
    </row>
    <row r="287" spans="1:6" ht="24.6" thickBot="1">
      <c r="A287" s="1839" t="s">
        <v>1415</v>
      </c>
      <c r="B287" s="1843" t="s">
        <v>2193</v>
      </c>
      <c r="C287" s="1853"/>
      <c r="D287" s="1853"/>
      <c r="E287" s="1853"/>
      <c r="F287" s="1845">
        <v>0.05</v>
      </c>
    </row>
    <row r="288" spans="1:6" ht="24.6" thickBot="1">
      <c r="A288" s="1839" t="s">
        <v>1415</v>
      </c>
      <c r="B288" s="1843" t="s">
        <v>2194</v>
      </c>
      <c r="C288" s="1853"/>
      <c r="D288" s="1853"/>
      <c r="E288" s="1853"/>
      <c r="F288" s="1845">
        <v>0.05</v>
      </c>
    </row>
    <row r="289" spans="1:6" ht="24.6" thickBot="1">
      <c r="A289" s="1847" t="s">
        <v>1415</v>
      </c>
      <c r="B289" s="1854" t="s">
        <v>2195</v>
      </c>
      <c r="C289" s="1850"/>
      <c r="D289" s="1850"/>
      <c r="E289" s="1850"/>
      <c r="F289" s="1855">
        <v>0.05</v>
      </c>
    </row>
    <row r="290" spans="1:6" ht="15" thickBot="1">
      <c r="A290" s="1839" t="s">
        <v>1419</v>
      </c>
      <c r="B290" s="1840" t="s">
        <v>2196</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2197</v>
      </c>
      <c r="C292" s="1844">
        <v>0.15</v>
      </c>
      <c r="D292" s="1844">
        <v>0.15</v>
      </c>
      <c r="E292" s="1844">
        <v>0.15</v>
      </c>
      <c r="F292" s="1845">
        <v>0.14699999999999999</v>
      </c>
    </row>
    <row r="293" spans="1:6" ht="15" thickBot="1">
      <c r="A293" s="1839" t="s">
        <v>1419</v>
      </c>
      <c r="B293" s="1843" t="s">
        <v>2198</v>
      </c>
      <c r="C293" s="1853"/>
      <c r="D293" s="1853"/>
      <c r="E293" s="1853"/>
      <c r="F293" s="1845">
        <v>0.1</v>
      </c>
    </row>
    <row r="294" spans="1:6" ht="15" thickBot="1">
      <c r="A294" s="1839" t="s">
        <v>1419</v>
      </c>
      <c r="B294" s="1843" t="s">
        <v>2199</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2200</v>
      </c>
      <c r="C296" s="1844">
        <v>0.15</v>
      </c>
      <c r="D296" s="1844">
        <v>0.15</v>
      </c>
      <c r="E296" s="1844">
        <v>0.15</v>
      </c>
      <c r="F296" s="1845">
        <v>0.15</v>
      </c>
    </row>
    <row r="297" spans="1:6" ht="15" thickBot="1">
      <c r="A297" s="1839" t="s">
        <v>1419</v>
      </c>
      <c r="B297" s="1843" t="s">
        <v>2201</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2202</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2203</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2204</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2205</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2206</v>
      </c>
      <c r="C310" s="1844">
        <v>0.15</v>
      </c>
      <c r="D310" s="1844">
        <v>0.15</v>
      </c>
      <c r="E310" s="1844">
        <v>0.15</v>
      </c>
      <c r="F310" s="1845">
        <v>0.13700000000000001</v>
      </c>
    </row>
    <row r="311" spans="1:6" ht="15" thickBot="1">
      <c r="A311" s="1839" t="s">
        <v>1419</v>
      </c>
      <c r="B311" s="1843" t="s">
        <v>2207</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2208</v>
      </c>
      <c r="C313" s="1844">
        <v>0.15</v>
      </c>
      <c r="D313" s="1844">
        <v>0.15</v>
      </c>
      <c r="E313" s="1844">
        <v>0.15</v>
      </c>
      <c r="F313" s="1845">
        <v>0.15</v>
      </c>
    </row>
    <row r="314" spans="1:6" ht="24.6" thickBot="1">
      <c r="A314" s="1839" t="s">
        <v>1419</v>
      </c>
      <c r="B314" s="1843" t="s">
        <v>2209</v>
      </c>
      <c r="C314" s="1853"/>
      <c r="D314" s="1853"/>
      <c r="E314" s="1853"/>
      <c r="F314" s="1845">
        <v>0.05</v>
      </c>
    </row>
    <row r="315" spans="1:6" ht="24.6" thickBot="1">
      <c r="A315" s="1839" t="s">
        <v>1419</v>
      </c>
      <c r="B315" s="1843" t="s">
        <v>2210</v>
      </c>
      <c r="C315" s="1853"/>
      <c r="D315" s="1853"/>
      <c r="E315" s="1853"/>
      <c r="F315" s="1845">
        <v>0.05</v>
      </c>
    </row>
    <row r="316" spans="1:6" ht="24.6" thickBot="1">
      <c r="A316" s="1847" t="s">
        <v>1419</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1107</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1176</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1196</v>
      </c>
      <c r="C328" s="1844">
        <v>0.15</v>
      </c>
      <c r="D328" s="1844">
        <v>0.15</v>
      </c>
      <c r="E328" s="1844">
        <v>0.15</v>
      </c>
      <c r="F328" s="1845">
        <v>0.14099999999999999</v>
      </c>
    </row>
    <row r="329" spans="1:6" ht="15" thickBot="1">
      <c r="A329" s="1839" t="s">
        <v>2212</v>
      </c>
      <c r="B329" s="1843" t="s">
        <v>1206</v>
      </c>
      <c r="C329" s="1844">
        <v>0.15</v>
      </c>
      <c r="D329" s="1844">
        <v>0.15</v>
      </c>
      <c r="E329" s="1844">
        <v>0.15</v>
      </c>
      <c r="F329" s="1845">
        <v>0.15</v>
      </c>
    </row>
    <row r="330" spans="1:6" ht="15" thickBot="1">
      <c r="A330" s="1839" t="s">
        <v>2212</v>
      </c>
      <c r="B330" s="1843" t="s">
        <v>1216</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1236</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1256</v>
      </c>
      <c r="C334" s="1844">
        <v>0.15</v>
      </c>
      <c r="D334" s="1844">
        <v>0.15</v>
      </c>
      <c r="E334" s="1844">
        <v>0.15</v>
      </c>
      <c r="F334" s="1845">
        <v>0.15</v>
      </c>
    </row>
    <row r="335" spans="1:6" ht="15" thickBot="1">
      <c r="A335" s="1839" t="s">
        <v>2212</v>
      </c>
      <c r="B335" s="1843" t="s">
        <v>1266</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1284</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30" t="s">
        <v>2571</v>
      </c>
      <c r="C1" s="3430"/>
      <c r="D1" s="3430"/>
      <c r="E1" s="3430"/>
      <c r="F1" s="3430"/>
      <c r="G1" s="3429" t="s">
        <v>2572</v>
      </c>
      <c r="H1" s="3429"/>
      <c r="I1" s="3429"/>
      <c r="J1" s="3429"/>
      <c r="K1" s="3429"/>
      <c r="L1" s="3429"/>
      <c r="N1" s="3429" t="s">
        <v>2573</v>
      </c>
      <c r="O1" s="3429"/>
      <c r="P1" s="3429"/>
      <c r="Q1" s="3429"/>
      <c r="R1" s="2617"/>
      <c r="S1" s="3429" t="s">
        <v>2574</v>
      </c>
      <c r="T1" s="3429"/>
      <c r="U1" s="3429"/>
      <c r="V1" s="3429"/>
      <c r="X1" s="3428" t="s">
        <v>2634</v>
      </c>
      <c r="Y1" s="3429"/>
      <c r="Z1" s="3429"/>
      <c r="AA1" s="3429"/>
      <c r="AB1" s="3429"/>
      <c r="AD1" s="3428" t="s">
        <v>2638</v>
      </c>
      <c r="AE1" s="3429"/>
      <c r="AF1" s="3429"/>
      <c r="AG1" s="3429"/>
      <c r="AH1" s="3429"/>
    </row>
    <row r="2" spans="1:34" s="2718" customFormat="1" ht="15" thickBot="1">
      <c r="B2" s="2726" t="s">
        <v>2575</v>
      </c>
      <c r="C2" s="2726" t="s">
        <v>2636</v>
      </c>
      <c r="D2" s="2719" t="s">
        <v>1644</v>
      </c>
      <c r="E2" s="2719" t="s">
        <v>1947</v>
      </c>
      <c r="F2" s="2726" t="s">
        <v>2637</v>
      </c>
      <c r="G2" s="2722"/>
      <c r="H2" s="2721"/>
      <c r="I2" s="2726" t="s">
        <v>2952</v>
      </c>
      <c r="J2" s="2719" t="s">
        <v>2954</v>
      </c>
      <c r="K2" s="2719" t="s">
        <v>2955</v>
      </c>
      <c r="L2" s="2726" t="s">
        <v>2956</v>
      </c>
      <c r="N2" s="2726" t="s">
        <v>2575</v>
      </c>
      <c r="O2" s="2719" t="s">
        <v>2953</v>
      </c>
      <c r="P2" s="2719" t="s">
        <v>1947</v>
      </c>
      <c r="Q2" s="2726" t="s">
        <v>2637</v>
      </c>
      <c r="R2" s="2720"/>
      <c r="S2" s="2726" t="s">
        <v>2575</v>
      </c>
      <c r="T2" s="2719" t="s">
        <v>2953</v>
      </c>
      <c r="U2" s="2719" t="s">
        <v>1947</v>
      </c>
      <c r="V2" s="2726" t="s">
        <v>2637</v>
      </c>
      <c r="X2" s="2726" t="s">
        <v>2575</v>
      </c>
      <c r="Y2" s="2726" t="s">
        <v>2636</v>
      </c>
      <c r="Z2" s="2719" t="s">
        <v>1644</v>
      </c>
      <c r="AA2" s="2719" t="s">
        <v>1947</v>
      </c>
      <c r="AB2" s="2726" t="s">
        <v>2637</v>
      </c>
      <c r="AD2" s="2726" t="s">
        <v>2575</v>
      </c>
      <c r="AE2" s="2726" t="s">
        <v>2636</v>
      </c>
      <c r="AF2" s="2719" t="s">
        <v>1644</v>
      </c>
      <c r="AG2" s="2719" t="s">
        <v>1947</v>
      </c>
      <c r="AH2" s="2726" t="s">
        <v>2637</v>
      </c>
    </row>
    <row r="3" spans="1:34" s="3082" customFormat="1" ht="14.4">
      <c r="A3" s="3094" t="s">
        <v>2965</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2966</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2990</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2989</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2986</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2985</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2982</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24">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2975</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24"/>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2976</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24"/>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2972</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25"/>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2963</v>
      </c>
      <c r="B14" s="3096">
        <v>439</v>
      </c>
      <c r="C14" s="3096">
        <v>327</v>
      </c>
      <c r="D14" s="3096">
        <f t="shared" si="87"/>
        <v>327</v>
      </c>
      <c r="E14" s="3096">
        <v>627</v>
      </c>
      <c r="F14" s="3097">
        <v>283</v>
      </c>
      <c r="G14" s="342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2967</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24"/>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2576</v>
      </c>
      <c r="B16" s="2631">
        <f t="shared" si="99"/>
        <v>419.31181600000002</v>
      </c>
      <c r="C16" s="2631">
        <f t="shared" si="99"/>
        <v>313.95436800000004</v>
      </c>
      <c r="D16" s="2631">
        <f t="shared" si="87"/>
        <v>313.95436800000004</v>
      </c>
      <c r="E16" s="2631">
        <f t="shared" si="100"/>
        <v>596.63028431999999</v>
      </c>
      <c r="F16" s="2631">
        <f t="shared" si="100"/>
        <v>274.74220703999998</v>
      </c>
      <c r="G16" s="3424"/>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2577</v>
      </c>
      <c r="B17" s="2631">
        <f t="shared" si="99"/>
        <v>405.524</v>
      </c>
      <c r="C17" s="2631">
        <f t="shared" si="99"/>
        <v>307.79840000000002</v>
      </c>
      <c r="D17" s="2631">
        <f t="shared" si="87"/>
        <v>307.79840000000002</v>
      </c>
      <c r="E17" s="2631">
        <f t="shared" si="100"/>
        <v>574.67759999999998</v>
      </c>
      <c r="F17" s="2631">
        <f t="shared" si="100"/>
        <v>270.20280000000002</v>
      </c>
      <c r="G17" s="3425"/>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2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24"/>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24"/>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27"/>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26">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24"/>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24"/>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27"/>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26">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24"/>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24"/>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27"/>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2635</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2578</v>
      </c>
      <c r="B30" s="2623">
        <v>299</v>
      </c>
      <c r="C30" s="2623">
        <v>252</v>
      </c>
      <c r="D30" s="2623">
        <f t="shared" si="109"/>
        <v>252</v>
      </c>
      <c r="E30" s="2623">
        <v>409</v>
      </c>
      <c r="F30" s="2624">
        <v>227</v>
      </c>
      <c r="G30" s="3431">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2579</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32"/>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2580</v>
      </c>
      <c r="B32" s="2631">
        <f t="shared" si="118"/>
        <v>288.2649053828776</v>
      </c>
      <c r="C32" s="2631">
        <f t="shared" si="118"/>
        <v>243.64564425013293</v>
      </c>
      <c r="D32" s="2631">
        <f t="shared" si="109"/>
        <v>243.64564425013293</v>
      </c>
      <c r="E32" s="2631">
        <f t="shared" si="119"/>
        <v>393.31080825986544</v>
      </c>
      <c r="F32" s="2631">
        <f t="shared" si="119"/>
        <v>223.07903790551154</v>
      </c>
      <c r="G32" s="3432"/>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2581</v>
      </c>
      <c r="B33" s="2631">
        <f t="shared" si="118"/>
        <v>282.50186729015837</v>
      </c>
      <c r="C33" s="2631">
        <f t="shared" si="118"/>
        <v>238.09796174155468</v>
      </c>
      <c r="D33" s="2631">
        <f t="shared" si="109"/>
        <v>238.09796174155468</v>
      </c>
      <c r="E33" s="2631">
        <f t="shared" si="119"/>
        <v>385.33438646014054</v>
      </c>
      <c r="F33" s="2631">
        <f t="shared" si="119"/>
        <v>221.55034055567739</v>
      </c>
      <c r="G33" s="3433"/>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2582</v>
      </c>
      <c r="B34" s="2661">
        <v>278</v>
      </c>
      <c r="C34" s="2661">
        <v>234</v>
      </c>
      <c r="D34" s="2661">
        <f t="shared" si="109"/>
        <v>234</v>
      </c>
      <c r="E34" s="2661">
        <v>379</v>
      </c>
      <c r="F34" s="2662">
        <v>220</v>
      </c>
      <c r="G34" s="3426">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2583</v>
      </c>
      <c r="B35" s="2631">
        <f>B34/(1+N34)</f>
        <v>275.49301357645425</v>
      </c>
      <c r="C35" s="2631">
        <f>C34/(1+O34)</f>
        <v>232.41954707985698</v>
      </c>
      <c r="D35" s="2631">
        <f t="shared" si="109"/>
        <v>232.41954707985698</v>
      </c>
      <c r="E35" s="2631">
        <f t="shared" ref="E35:F37" si="120">E34/(1+P34)</f>
        <v>375.32184591008121</v>
      </c>
      <c r="F35" s="2631">
        <f t="shared" si="120"/>
        <v>218.03766105054513</v>
      </c>
      <c r="G35" s="3424"/>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2584</v>
      </c>
      <c r="B36" s="2631">
        <f>B35/(1+N35)</f>
        <v>275.24529281292263</v>
      </c>
      <c r="C36" s="2631">
        <f>C35/(1+O35)</f>
        <v>231.74747938962707</v>
      </c>
      <c r="D36" s="2631">
        <f t="shared" si="109"/>
        <v>231.74747938962707</v>
      </c>
      <c r="E36" s="2631">
        <f t="shared" si="120"/>
        <v>375.35938184826603</v>
      </c>
      <c r="F36" s="2631">
        <f t="shared" si="120"/>
        <v>216.78033510692495</v>
      </c>
      <c r="G36" s="3424"/>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2585</v>
      </c>
      <c r="B37" s="2631">
        <f>B36/(1+N36)</f>
        <v>275.19025476197027</v>
      </c>
      <c r="C37" s="2663">
        <v>232</v>
      </c>
      <c r="D37" s="2663">
        <f t="shared" si="109"/>
        <v>232</v>
      </c>
      <c r="E37" s="2631">
        <f t="shared" si="120"/>
        <v>375.65990977608692</v>
      </c>
      <c r="F37" s="2631">
        <f t="shared" si="120"/>
        <v>214.12518283971252</v>
      </c>
      <c r="G37" s="3427"/>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2586</v>
      </c>
      <c r="B38" s="2623">
        <v>275</v>
      </c>
      <c r="C38" s="2623">
        <v>232</v>
      </c>
      <c r="D38" s="2623">
        <f t="shared" si="109"/>
        <v>232</v>
      </c>
      <c r="E38" s="2623">
        <v>376</v>
      </c>
      <c r="F38" s="2624">
        <v>213</v>
      </c>
      <c r="G38" s="3426">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2587</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24">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2588</v>
      </c>
      <c r="B40" s="2631">
        <f t="shared" si="121"/>
        <v>275.19335084830601</v>
      </c>
      <c r="C40" s="2631">
        <f t="shared" si="121"/>
        <v>230.18088050139744</v>
      </c>
      <c r="D40" s="2631">
        <f t="shared" si="109"/>
        <v>230.18088050139744</v>
      </c>
      <c r="E40" s="2631">
        <f t="shared" si="122"/>
        <v>377.58482925212331</v>
      </c>
      <c r="F40" s="2631">
        <f t="shared" si="122"/>
        <v>210.90687997847917</v>
      </c>
      <c r="G40" s="3424">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2589</v>
      </c>
      <c r="B41" s="2631">
        <f t="shared" si="121"/>
        <v>276.29854502841971</v>
      </c>
      <c r="C41" s="2631">
        <f t="shared" si="121"/>
        <v>229.79023709833027</v>
      </c>
      <c r="D41" s="2631">
        <f t="shared" si="109"/>
        <v>229.79023709833027</v>
      </c>
      <c r="E41" s="2631">
        <f t="shared" si="122"/>
        <v>379.78759731655936</v>
      </c>
      <c r="F41" s="2631">
        <f t="shared" si="122"/>
        <v>211.32953905659235</v>
      </c>
      <c r="G41" s="3427">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2590</v>
      </c>
      <c r="B42" s="2623">
        <v>269</v>
      </c>
      <c r="C42" s="2623">
        <v>221</v>
      </c>
      <c r="D42" s="2623">
        <f t="shared" si="109"/>
        <v>221</v>
      </c>
      <c r="E42" s="2623">
        <v>373</v>
      </c>
      <c r="F42" s="2624">
        <v>196</v>
      </c>
      <c r="G42" s="3426">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2591</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24">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2592</v>
      </c>
      <c r="B44" s="2631">
        <f t="shared" si="123"/>
        <v>242.95398227588385</v>
      </c>
      <c r="C44" s="2631">
        <f t="shared" si="123"/>
        <v>199.59137053614126</v>
      </c>
      <c r="D44" s="2631">
        <f t="shared" si="109"/>
        <v>199.59137053614126</v>
      </c>
      <c r="E44" s="2631">
        <f t="shared" si="124"/>
        <v>335.92189522342125</v>
      </c>
      <c r="F44" s="2631">
        <f t="shared" si="124"/>
        <v>183.10139991109489</v>
      </c>
      <c r="G44" s="3424">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2593</v>
      </c>
      <c r="B45" s="2631">
        <f t="shared" si="123"/>
        <v>232.06990378821649</v>
      </c>
      <c r="C45" s="2631">
        <f t="shared" si="123"/>
        <v>192.74878854286936</v>
      </c>
      <c r="D45" s="2631">
        <f t="shared" si="109"/>
        <v>192.74878854286936</v>
      </c>
      <c r="E45" s="2631">
        <f t="shared" si="124"/>
        <v>319.71247284992984</v>
      </c>
      <c r="F45" s="2631">
        <f t="shared" si="124"/>
        <v>175.67053622862409</v>
      </c>
      <c r="G45" s="3427">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2594</v>
      </c>
      <c r="B46" s="2623">
        <v>220</v>
      </c>
      <c r="C46" s="2623">
        <v>187</v>
      </c>
      <c r="D46" s="2623">
        <f t="shared" si="109"/>
        <v>187</v>
      </c>
      <c r="E46" s="2623">
        <v>301</v>
      </c>
      <c r="F46" s="2624">
        <v>168</v>
      </c>
      <c r="G46" s="3426">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2595</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24">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2596</v>
      </c>
      <c r="B48" s="2631">
        <f t="shared" si="125"/>
        <v>210.630522469011</v>
      </c>
      <c r="C48" s="2631">
        <f t="shared" si="125"/>
        <v>181.69567812247232</v>
      </c>
      <c r="D48" s="2631">
        <f t="shared" si="109"/>
        <v>181.69567812247232</v>
      </c>
      <c r="E48" s="2631">
        <f t="shared" si="126"/>
        <v>286.13517466736738</v>
      </c>
      <c r="F48" s="2631">
        <f t="shared" si="126"/>
        <v>165.47535084591149</v>
      </c>
      <c r="G48" s="3424">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2597</v>
      </c>
      <c r="B49" s="2631">
        <f t="shared" si="125"/>
        <v>208.83454537875372</v>
      </c>
      <c r="C49" s="2631">
        <f t="shared" si="125"/>
        <v>183.77230517090351</v>
      </c>
      <c r="D49" s="2631">
        <f t="shared" si="109"/>
        <v>183.77230517090351</v>
      </c>
      <c r="E49" s="2631">
        <f t="shared" si="126"/>
        <v>281.10342338870947</v>
      </c>
      <c r="F49" s="2631">
        <f t="shared" si="126"/>
        <v>168.97309388942256</v>
      </c>
      <c r="G49" s="3427">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2598</v>
      </c>
      <c r="B50" s="2661">
        <v>214</v>
      </c>
      <c r="C50" s="2661">
        <v>188</v>
      </c>
      <c r="D50" s="2661">
        <f t="shared" si="109"/>
        <v>188</v>
      </c>
      <c r="E50" s="2661">
        <v>289</v>
      </c>
      <c r="F50" s="2662">
        <v>166</v>
      </c>
      <c r="G50" s="3426">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2599</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24">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2600</v>
      </c>
      <c r="B52" s="2631">
        <f t="shared" si="127"/>
        <v>206.31694671589116</v>
      </c>
      <c r="C52" s="2631">
        <f t="shared" si="127"/>
        <v>183.61041121036101</v>
      </c>
      <c r="D52" s="2631">
        <f t="shared" si="109"/>
        <v>183.61041121036101</v>
      </c>
      <c r="E52" s="2631">
        <f t="shared" si="128"/>
        <v>276.66850301795557</v>
      </c>
      <c r="F52" s="2631">
        <f t="shared" si="128"/>
        <v>165.1360938278614</v>
      </c>
      <c r="G52" s="3424">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2601</v>
      </c>
      <c r="B53" s="2664">
        <f t="shared" si="127"/>
        <v>196.62341248059772</v>
      </c>
      <c r="C53" s="2664">
        <f t="shared" si="127"/>
        <v>170.99125648199012</v>
      </c>
      <c r="D53" s="2664">
        <f t="shared" si="109"/>
        <v>170.99125648199012</v>
      </c>
      <c r="E53" s="2664">
        <f t="shared" si="128"/>
        <v>266.07857570490052</v>
      </c>
      <c r="F53" s="2664">
        <f t="shared" si="128"/>
        <v>154.53499328828505</v>
      </c>
      <c r="G53" s="3427">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2602</v>
      </c>
      <c r="B54" s="2623">
        <v>188</v>
      </c>
      <c r="C54" s="2623">
        <v>165</v>
      </c>
      <c r="D54" s="2623">
        <f t="shared" si="109"/>
        <v>165</v>
      </c>
      <c r="E54" s="2623">
        <v>254</v>
      </c>
      <c r="F54" s="2624">
        <v>148</v>
      </c>
      <c r="G54" s="3426">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2603</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24">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2604</v>
      </c>
      <c r="B56" s="2631">
        <f t="shared" si="131"/>
        <v>168.82017748715555</v>
      </c>
      <c r="C56" s="2631">
        <f t="shared" si="131"/>
        <v>148.06267029972753</v>
      </c>
      <c r="D56" s="2631">
        <f t="shared" si="109"/>
        <v>148.06267029972753</v>
      </c>
      <c r="E56" s="2631">
        <f t="shared" si="132"/>
        <v>216.46288379323747</v>
      </c>
      <c r="F56" s="2631">
        <f t="shared" si="132"/>
        <v>134.23529411764704</v>
      </c>
      <c r="G56" s="3424">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2605</v>
      </c>
      <c r="B57" s="2631">
        <f t="shared" si="131"/>
        <v>163.84913591779542</v>
      </c>
      <c r="C57" s="2631">
        <f t="shared" si="131"/>
        <v>145.0283378746594</v>
      </c>
      <c r="D57" s="2631">
        <f t="shared" si="109"/>
        <v>145.0283378746594</v>
      </c>
      <c r="E57" s="2631">
        <f t="shared" si="132"/>
        <v>204.95180722891567</v>
      </c>
      <c r="F57" s="2631">
        <f t="shared" si="132"/>
        <v>125.95920303605313</v>
      </c>
      <c r="G57" s="3427">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2606</v>
      </c>
      <c r="B58" s="2645">
        <v>159</v>
      </c>
      <c r="C58" s="2645">
        <v>141</v>
      </c>
      <c r="D58" s="2645">
        <f t="shared" si="109"/>
        <v>141</v>
      </c>
      <c r="E58" s="2645">
        <v>195</v>
      </c>
      <c r="F58" s="2646">
        <v>122</v>
      </c>
      <c r="G58" s="3426">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2607</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24">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2608</v>
      </c>
      <c r="B60" s="2631">
        <f t="shared" si="135"/>
        <v>146.57412060301507</v>
      </c>
      <c r="C60" s="2631">
        <f t="shared" si="135"/>
        <v>136.46831955922866</v>
      </c>
      <c r="D60" s="2631">
        <f t="shared" si="109"/>
        <v>136.46831955922866</v>
      </c>
      <c r="E60" s="2631">
        <f t="shared" si="136"/>
        <v>166.73864894795128</v>
      </c>
      <c r="F60" s="2631">
        <f t="shared" si="136"/>
        <v>115.05882352941177</v>
      </c>
      <c r="G60" s="3424">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2609</v>
      </c>
      <c r="B61" s="2631">
        <f t="shared" si="135"/>
        <v>144.04145728643215</v>
      </c>
      <c r="C61" s="2631">
        <f t="shared" si="135"/>
        <v>136.12396694214877</v>
      </c>
      <c r="D61" s="2631">
        <f t="shared" si="109"/>
        <v>136.12396694214877</v>
      </c>
      <c r="E61" s="2631">
        <f t="shared" si="136"/>
        <v>158.32225913621264</v>
      </c>
      <c r="F61" s="2631">
        <f t="shared" si="136"/>
        <v>114.04278074866311</v>
      </c>
      <c r="G61" s="3427">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2610</v>
      </c>
      <c r="B62" s="2645">
        <v>138</v>
      </c>
      <c r="C62" s="2645">
        <v>131</v>
      </c>
      <c r="D62" s="2645">
        <f t="shared" si="109"/>
        <v>131</v>
      </c>
      <c r="E62" s="2645">
        <v>155</v>
      </c>
      <c r="F62" s="2646">
        <v>114</v>
      </c>
      <c r="G62" s="3426">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2611</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24">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2612</v>
      </c>
      <c r="B64" s="2631">
        <f t="shared" si="139"/>
        <v>124.29032258064517</v>
      </c>
      <c r="C64" s="2631">
        <f t="shared" si="139"/>
        <v>123.8968609865471</v>
      </c>
      <c r="D64" s="2631">
        <f t="shared" si="109"/>
        <v>123.8968609865471</v>
      </c>
      <c r="E64" s="2631">
        <f t="shared" si="140"/>
        <v>138.00507614213197</v>
      </c>
      <c r="F64" s="2631">
        <f t="shared" si="140"/>
        <v>107.96106557377048</v>
      </c>
      <c r="G64" s="3424">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2613</v>
      </c>
      <c r="B65" s="2631">
        <f t="shared" si="139"/>
        <v>122.57204301075269</v>
      </c>
      <c r="C65" s="2631">
        <f t="shared" si="139"/>
        <v>123.4932735426009</v>
      </c>
      <c r="D65" s="2631">
        <f t="shared" si="109"/>
        <v>123.4932735426009</v>
      </c>
      <c r="E65" s="2631">
        <f t="shared" si="140"/>
        <v>129.82233502538071</v>
      </c>
      <c r="F65" s="2631">
        <f t="shared" si="140"/>
        <v>107.39446721311475</v>
      </c>
      <c r="G65" s="3427">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2614</v>
      </c>
      <c r="B66" s="2661">
        <v>121</v>
      </c>
      <c r="C66" s="2661">
        <v>122</v>
      </c>
      <c r="D66" s="2661">
        <f t="shared" si="109"/>
        <v>122</v>
      </c>
      <c r="E66" s="2661">
        <v>124</v>
      </c>
      <c r="F66" s="2662">
        <v>107</v>
      </c>
      <c r="G66" s="3426">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2615</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24">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2616</v>
      </c>
      <c r="B68" s="2631">
        <f t="shared" si="143"/>
        <v>116.99099099099099</v>
      </c>
      <c r="C68" s="2631">
        <f t="shared" si="143"/>
        <v>118.84848484848486</v>
      </c>
      <c r="D68" s="2631">
        <f t="shared" si="109"/>
        <v>118.84848484848486</v>
      </c>
      <c r="E68" s="2631">
        <f t="shared" si="144"/>
        <v>117.60960960960961</v>
      </c>
      <c r="F68" s="2631">
        <f t="shared" si="144"/>
        <v>104</v>
      </c>
      <c r="G68" s="3424">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2617</v>
      </c>
      <c r="B69" s="2664">
        <f t="shared" si="143"/>
        <v>112.48648648648648</v>
      </c>
      <c r="C69" s="2664">
        <f t="shared" si="143"/>
        <v>115.21212121212122</v>
      </c>
      <c r="D69" s="2664">
        <f t="shared" si="109"/>
        <v>115.21212121212122</v>
      </c>
      <c r="E69" s="2664">
        <f t="shared" si="144"/>
        <v>110.4024024024024</v>
      </c>
      <c r="F69" s="2664">
        <f t="shared" si="144"/>
        <v>104</v>
      </c>
      <c r="G69" s="3427">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2618</v>
      </c>
      <c r="B70" s="2682">
        <v>111</v>
      </c>
      <c r="C70" s="2682">
        <v>114</v>
      </c>
      <c r="D70" s="2682">
        <f t="shared" si="109"/>
        <v>114</v>
      </c>
      <c r="E70" s="2682">
        <v>108</v>
      </c>
      <c r="F70" s="2683">
        <v>104</v>
      </c>
      <c r="G70" s="3426">
        <v>2003</v>
      </c>
      <c r="H70" s="2672">
        <v>4</v>
      </c>
      <c r="I70" s="2684"/>
      <c r="J70" s="2684"/>
      <c r="K70" s="2684"/>
      <c r="L70" s="2684"/>
      <c r="N70" s="2685"/>
      <c r="O70" s="2684"/>
      <c r="P70" s="2684"/>
      <c r="Q70" s="2684"/>
      <c r="S70" s="2685"/>
      <c r="T70" s="2684"/>
      <c r="U70" s="2684"/>
      <c r="V70" s="2684"/>
      <c r="X70" s="2676"/>
      <c r="Y70" s="2676"/>
      <c r="Z70" s="2676"/>
    </row>
    <row r="71" spans="1:26">
      <c r="A71" s="2618" t="s">
        <v>2619</v>
      </c>
      <c r="B71" s="2686">
        <f t="shared" ref="B71:C73" si="145">B72+(B$70-B$74)/4</f>
        <v>109.75</v>
      </c>
      <c r="C71" s="2686">
        <f t="shared" si="145"/>
        <v>112.25</v>
      </c>
      <c r="D71" s="2686">
        <f t="shared" si="109"/>
        <v>112.25</v>
      </c>
      <c r="E71" s="2686">
        <f t="shared" ref="E71:F73" si="146">E72+(E$70-E$74)/4</f>
        <v>107.25</v>
      </c>
      <c r="F71" s="2686">
        <f t="shared" si="146"/>
        <v>103.5</v>
      </c>
      <c r="G71" s="3424">
        <v>2003</v>
      </c>
      <c r="H71" s="2642">
        <v>3</v>
      </c>
      <c r="I71" s="2684"/>
      <c r="J71" s="2684"/>
      <c r="K71" s="2684"/>
      <c r="L71" s="2684"/>
      <c r="X71" s="2676"/>
      <c r="Y71" s="2676"/>
      <c r="Z71" s="2676"/>
    </row>
    <row r="72" spans="1:26">
      <c r="A72" s="2618" t="s">
        <v>2620</v>
      </c>
      <c r="B72" s="2686">
        <f t="shared" si="145"/>
        <v>108.5</v>
      </c>
      <c r="C72" s="2686">
        <f t="shared" si="145"/>
        <v>110.5</v>
      </c>
      <c r="D72" s="2686">
        <f t="shared" si="109"/>
        <v>110.5</v>
      </c>
      <c r="E72" s="2686">
        <f t="shared" si="146"/>
        <v>106.5</v>
      </c>
      <c r="F72" s="2686">
        <f t="shared" si="146"/>
        <v>103</v>
      </c>
      <c r="G72" s="3424">
        <v>2003</v>
      </c>
      <c r="H72" s="2622">
        <v>2</v>
      </c>
      <c r="I72" s="2684"/>
      <c r="J72" s="2684"/>
      <c r="K72" s="2684"/>
      <c r="L72" s="2684"/>
      <c r="X72" s="2676"/>
      <c r="Y72" s="2676"/>
      <c r="Z72" s="2676"/>
    </row>
    <row r="73" spans="1:26" ht="13.8" thickBot="1">
      <c r="A73" s="2618" t="s">
        <v>2621</v>
      </c>
      <c r="B73" s="2686">
        <f t="shared" si="145"/>
        <v>107.25</v>
      </c>
      <c r="C73" s="2686">
        <f t="shared" si="145"/>
        <v>108.75</v>
      </c>
      <c r="D73" s="2686">
        <f t="shared" si="109"/>
        <v>108.75</v>
      </c>
      <c r="E73" s="2686">
        <f t="shared" si="146"/>
        <v>105.75</v>
      </c>
      <c r="F73" s="2686">
        <f t="shared" si="146"/>
        <v>102.5</v>
      </c>
      <c r="G73" s="3427">
        <v>2003</v>
      </c>
      <c r="H73" s="2687">
        <v>1</v>
      </c>
      <c r="I73" s="2684"/>
      <c r="J73" s="2684"/>
      <c r="K73" s="2684"/>
      <c r="L73" s="2684"/>
      <c r="S73" s="2626"/>
      <c r="T73" s="2627"/>
      <c r="U73" s="2627"/>
      <c r="X73" s="2676"/>
      <c r="Y73" s="2676"/>
      <c r="Z73" s="2676"/>
    </row>
    <row r="74" spans="1:26" ht="13.8" thickBot="1">
      <c r="A74" s="2618" t="s">
        <v>2622</v>
      </c>
      <c r="B74" s="2688">
        <v>106</v>
      </c>
      <c r="C74" s="2688">
        <v>107</v>
      </c>
      <c r="D74" s="2688">
        <f t="shared" si="109"/>
        <v>107</v>
      </c>
      <c r="E74" s="2688">
        <v>105</v>
      </c>
      <c r="F74" s="2689">
        <v>102</v>
      </c>
      <c r="G74" s="3426">
        <v>2002</v>
      </c>
      <c r="H74" s="2637">
        <v>4</v>
      </c>
      <c r="I74" s="2684"/>
      <c r="J74" s="2684"/>
      <c r="K74" s="2684"/>
      <c r="L74" s="2684"/>
      <c r="N74" s="2685"/>
      <c r="O74" s="2684"/>
      <c r="P74" s="2684"/>
      <c r="Q74" s="2684"/>
      <c r="S74" s="2685"/>
      <c r="T74" s="2684"/>
      <c r="U74" s="2684"/>
      <c r="V74" s="2684"/>
      <c r="X74" s="2676"/>
      <c r="Y74" s="2676"/>
      <c r="Z74" s="2676"/>
    </row>
    <row r="75" spans="1:26">
      <c r="A75" s="2618" t="s">
        <v>2623</v>
      </c>
      <c r="B75" s="2686">
        <f t="shared" ref="B75:C77" si="147">B76+(B$74-B$78)/4</f>
        <v>105</v>
      </c>
      <c r="C75" s="2686">
        <f t="shared" si="147"/>
        <v>106</v>
      </c>
      <c r="D75" s="2686">
        <f t="shared" si="109"/>
        <v>106</v>
      </c>
      <c r="E75" s="2686">
        <f t="shared" ref="E75:F77" si="148">E76+(E$74-E$78)/4</f>
        <v>104.5</v>
      </c>
      <c r="F75" s="2686">
        <f t="shared" si="148"/>
        <v>101.5</v>
      </c>
      <c r="G75" s="3424">
        <v>2002</v>
      </c>
      <c r="H75" s="2642">
        <v>3</v>
      </c>
      <c r="I75" s="2684"/>
      <c r="J75" s="2684"/>
      <c r="K75" s="2684"/>
      <c r="L75" s="2684"/>
      <c r="X75" s="2676"/>
      <c r="Y75" s="2676"/>
      <c r="Z75" s="2676"/>
    </row>
    <row r="76" spans="1:26">
      <c r="A76" s="2618" t="s">
        <v>2624</v>
      </c>
      <c r="B76" s="2686">
        <f t="shared" si="147"/>
        <v>104</v>
      </c>
      <c r="C76" s="2686">
        <f t="shared" si="147"/>
        <v>105</v>
      </c>
      <c r="D76" s="2686">
        <f t="shared" si="109"/>
        <v>105</v>
      </c>
      <c r="E76" s="2686">
        <f t="shared" si="148"/>
        <v>104</v>
      </c>
      <c r="F76" s="2686">
        <f t="shared" si="148"/>
        <v>101</v>
      </c>
      <c r="G76" s="3424">
        <v>2002</v>
      </c>
      <c r="H76" s="2622">
        <v>2</v>
      </c>
      <c r="I76" s="2684"/>
      <c r="J76" s="2684"/>
      <c r="K76" s="2684"/>
      <c r="L76" s="2684"/>
      <c r="X76" s="2676"/>
      <c r="Y76" s="2676"/>
      <c r="Z76" s="2676"/>
    </row>
    <row r="77" spans="1:26" s="2653" customFormat="1" ht="13.8" thickBot="1">
      <c r="A77" s="2649" t="s">
        <v>2625</v>
      </c>
      <c r="B77" s="2690">
        <f t="shared" si="147"/>
        <v>103</v>
      </c>
      <c r="C77" s="2690">
        <f t="shared" si="147"/>
        <v>104</v>
      </c>
      <c r="D77" s="2690">
        <f t="shared" si="109"/>
        <v>104</v>
      </c>
      <c r="E77" s="2690">
        <f t="shared" si="148"/>
        <v>103.5</v>
      </c>
      <c r="F77" s="2690">
        <f t="shared" si="148"/>
        <v>100.5</v>
      </c>
      <c r="G77" s="3427">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2626</v>
      </c>
      <c r="G80" s="2700"/>
      <c r="N80" s="2700"/>
      <c r="S80" s="2700"/>
    </row>
    <row r="81" spans="1:22" s="2699" customFormat="1">
      <c r="A81" s="2699" t="s">
        <v>2627</v>
      </c>
      <c r="G81" s="2700"/>
      <c r="N81" s="2700"/>
      <c r="S81" s="2700"/>
    </row>
    <row r="82" spans="1:22" s="2699" customFormat="1">
      <c r="A82" s="2699" t="s">
        <v>2628</v>
      </c>
      <c r="G82" s="2700"/>
      <c r="I82" s="2701"/>
      <c r="J82" s="2701"/>
      <c r="K82" s="2701"/>
      <c r="L82" s="2701"/>
      <c r="N82" s="2702"/>
      <c r="O82" s="2701"/>
      <c r="P82" s="2701"/>
      <c r="Q82" s="2701"/>
      <c r="S82" s="2702"/>
      <c r="T82" s="2701"/>
      <c r="U82" s="2701"/>
      <c r="V82" s="2701"/>
    </row>
    <row r="83" spans="1:22" s="2699" customFormat="1">
      <c r="A83" s="2699" t="s">
        <v>2629</v>
      </c>
      <c r="G83" s="2700"/>
      <c r="N83" s="2700"/>
      <c r="S83" s="2700"/>
    </row>
    <row r="90" spans="1:22" ht="13.8" thickBot="1"/>
    <row r="91" spans="1:22">
      <c r="G91" s="2625"/>
      <c r="S91" s="2703" t="s">
        <v>2630</v>
      </c>
      <c r="T91" s="2704" t="s">
        <v>2631</v>
      </c>
      <c r="U91" s="2704" t="s">
        <v>2632</v>
      </c>
      <c r="V91" s="2704" t="s">
        <v>2633</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2945</v>
      </c>
      <c r="B1" s="3056"/>
      <c r="C1" s="3056"/>
      <c r="D1" s="3056"/>
      <c r="E1" s="3056"/>
      <c r="F1" s="3056"/>
    </row>
    <row r="2" spans="1:6" ht="15.6">
      <c r="A2" s="3057" t="s">
        <v>2940</v>
      </c>
      <c r="B2" s="3058" t="e">
        <f ca="1">SUMIF(B7:B14,"&lt;&gt;#ref!",B7:B14)</f>
        <v>#DIV/0!</v>
      </c>
      <c r="C2" s="3057" t="s">
        <v>2941</v>
      </c>
      <c r="D2" s="3056"/>
      <c r="E2" s="3056"/>
      <c r="F2" s="3056"/>
    </row>
    <row r="3" spans="1:6" ht="15.6">
      <c r="A3" s="3057" t="s">
        <v>2973</v>
      </c>
      <c r="B3" s="3058" t="e">
        <f ca="1">ROUND(B2*10000/E3,0)</f>
        <v>#DIV/0!</v>
      </c>
      <c r="C3" s="3057" t="s">
        <v>2074</v>
      </c>
      <c r="D3" s="3057" t="s">
        <v>2942</v>
      </c>
      <c r="E3" s="3058">
        <f ca="1">SUMIF(E7:E14,"&lt;&gt;#ref!",E7:E14)</f>
        <v>0</v>
      </c>
      <c r="F3" s="3056"/>
    </row>
    <row r="4" spans="1:6" ht="15.6">
      <c r="A4" s="3057" t="s">
        <v>2949</v>
      </c>
      <c r="B4" s="3058" t="e">
        <f ca="1">ROUND(B2*10000/E4,0)</f>
        <v>#DIV/0!</v>
      </c>
      <c r="C4" s="3057" t="s">
        <v>2074</v>
      </c>
      <c r="D4" s="3057" t="s">
        <v>2950</v>
      </c>
      <c r="E4" s="3058">
        <f ca="1">SUMIF(F7:F14,"&lt;&gt;#ref!",F7:F14)</f>
        <v>0</v>
      </c>
      <c r="F4" s="3056"/>
    </row>
    <row r="5" spans="1:6" ht="15.6">
      <c r="A5" s="3059"/>
      <c r="B5" s="1865"/>
      <c r="C5" s="1865"/>
      <c r="D5" s="1865"/>
      <c r="E5" s="1865"/>
      <c r="F5" s="3056"/>
    </row>
    <row r="6" spans="1:6" ht="31.2">
      <c r="A6" s="3060" t="s">
        <v>2946</v>
      </c>
      <c r="B6" s="3057" t="s">
        <v>2943</v>
      </c>
      <c r="C6" s="3058"/>
      <c r="D6" s="1865"/>
      <c r="E6" s="3057" t="s">
        <v>2944</v>
      </c>
      <c r="F6" s="3057" t="s">
        <v>2948</v>
      </c>
    </row>
    <row r="7" spans="1:6" ht="15.6">
      <c r="A7" s="260" t="s">
        <v>2947</v>
      </c>
      <c r="B7" s="3061" t="e">
        <f ca="1">SUMIF(INDIRECT("'"&amp;A7&amp;"'"&amp;"!A:A"),"总价",INDIRECT("'"&amp;A7&amp;"'"&amp;"!B:B"))</f>
        <v>#DIV/0!</v>
      </c>
      <c r="C7" s="3057" t="s">
        <v>2941</v>
      </c>
      <c r="D7" s="1865"/>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2941</v>
      </c>
      <c r="D8" s="1865"/>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2941</v>
      </c>
      <c r="D9" s="1865"/>
      <c r="E9" s="3062" t="e">
        <f t="shared" ca="1" si="1"/>
        <v>#REF!</v>
      </c>
      <c r="F9" s="3062" t="e">
        <f t="shared" ca="1" si="2"/>
        <v>#REF!</v>
      </c>
    </row>
    <row r="10" spans="1:6" ht="15.6">
      <c r="A10" s="260"/>
      <c r="B10" s="3061" t="e">
        <f t="shared" ca="1" si="0"/>
        <v>#REF!</v>
      </c>
      <c r="C10" s="3057" t="s">
        <v>2941</v>
      </c>
      <c r="D10" s="1865"/>
      <c r="E10" s="3062" t="e">
        <f t="shared" ca="1" si="1"/>
        <v>#REF!</v>
      </c>
      <c r="F10" s="3062" t="e">
        <f t="shared" ca="1" si="2"/>
        <v>#REF!</v>
      </c>
    </row>
    <row r="11" spans="1:6" ht="15.6">
      <c r="A11" s="260"/>
      <c r="B11" s="3061" t="e">
        <f t="shared" ca="1" si="0"/>
        <v>#REF!</v>
      </c>
      <c r="C11" s="3057" t="s">
        <v>2941</v>
      </c>
      <c r="D11" s="1865"/>
      <c r="E11" s="3062" t="e">
        <f t="shared" ca="1" si="1"/>
        <v>#REF!</v>
      </c>
      <c r="F11" s="3062" t="e">
        <f t="shared" ca="1" si="2"/>
        <v>#REF!</v>
      </c>
    </row>
    <row r="12" spans="1:6" ht="15.6">
      <c r="A12" s="260"/>
      <c r="B12" s="3061" t="e">
        <f t="shared" ca="1" si="0"/>
        <v>#REF!</v>
      </c>
      <c r="C12" s="3057" t="s">
        <v>2941</v>
      </c>
      <c r="D12" s="1865"/>
      <c r="E12" s="3062" t="e">
        <f t="shared" ca="1" si="1"/>
        <v>#REF!</v>
      </c>
      <c r="F12" s="3062" t="e">
        <f t="shared" ca="1" si="2"/>
        <v>#REF!</v>
      </c>
    </row>
    <row r="13" spans="1:6" ht="15.6">
      <c r="A13" s="260"/>
      <c r="B13" s="3061" t="e">
        <f t="shared" ca="1" si="0"/>
        <v>#REF!</v>
      </c>
      <c r="C13" s="3057" t="s">
        <v>2941</v>
      </c>
      <c r="D13" s="1865"/>
      <c r="E13" s="3062" t="e">
        <f t="shared" ca="1" si="1"/>
        <v>#REF!</v>
      </c>
      <c r="F13" s="3062" t="e">
        <f t="shared" ca="1" si="2"/>
        <v>#REF!</v>
      </c>
    </row>
    <row r="14" spans="1:6" ht="15.6">
      <c r="A14" s="3055"/>
      <c r="B14" s="3061" t="e">
        <f t="shared" ca="1" si="0"/>
        <v>#REF!</v>
      </c>
      <c r="C14" s="3057" t="s">
        <v>2941</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2370</v>
      </c>
      <c r="F1" s="2351">
        <f ca="1">J54</f>
        <v>-2</v>
      </c>
      <c r="G1" s="774">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6"/>
      <c r="D2" s="2039"/>
      <c r="E2" s="2040"/>
      <c r="F2" s="2040"/>
      <c r="G2" s="1576"/>
      <c r="H2" s="1358"/>
      <c r="I2" s="2041"/>
      <c r="J2" s="2041"/>
      <c r="K2" s="2042"/>
      <c r="L2" s="2041"/>
      <c r="M2" s="2041"/>
    </row>
    <row r="3" spans="1:25" ht="18" customHeight="1">
      <c r="A3" s="1630" t="s">
        <v>1686</v>
      </c>
      <c r="B3" s="1387">
        <f ca="1">ROUND(B2*10000/'数据-汇总表'!E3,0)</f>
        <v>0</v>
      </c>
      <c r="C3" s="1346"/>
      <c r="D3" s="2039"/>
      <c r="E3" s="2040"/>
      <c r="F3" s="2040"/>
      <c r="G3" s="1576"/>
      <c r="H3" s="776" t="s">
        <v>695</v>
      </c>
      <c r="I3" s="2041"/>
      <c r="J3" s="2041"/>
      <c r="K3" s="2042"/>
      <c r="L3" s="2041"/>
      <c r="M3" s="2041"/>
    </row>
    <row r="4" spans="1:25" ht="18" customHeight="1">
      <c r="A4" s="1631" t="s">
        <v>696</v>
      </c>
      <c r="B4" s="1347">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4" t="s">
        <v>1824</v>
      </c>
      <c r="B8" s="3435" t="s">
        <v>2459</v>
      </c>
      <c r="C8" s="1809">
        <f ca="1">ROUND(F8*F10*F9*(1-F11)/10000,0)</f>
        <v>0</v>
      </c>
      <c r="D8" s="1806" t="s">
        <v>2530</v>
      </c>
      <c r="E8" s="61" t="s">
        <v>637</v>
      </c>
      <c r="F8" s="785">
        <f ca="1">INDIRECT("'数据-取费表'!u"&amp;$G$1)</f>
        <v>0</v>
      </c>
      <c r="G8" s="1578"/>
      <c r="H8" s="2467" t="s">
        <v>1824</v>
      </c>
      <c r="I8" s="3435" t="s">
        <v>2459</v>
      </c>
      <c r="J8" s="783">
        <f ca="1">ROUND(M8*M10*M9*(1-M11)/10000,0)</f>
        <v>0</v>
      </c>
      <c r="K8" s="341" t="s">
        <v>2530</v>
      </c>
      <c r="L8" s="784" t="s">
        <v>1738</v>
      </c>
      <c r="M8" s="785">
        <f ca="1">INDIRECT("'数据-取费表'!z"&amp;$G$1)</f>
        <v>0</v>
      </c>
    </row>
    <row r="9" spans="1:25" ht="18" customHeight="1">
      <c r="A9" s="2463"/>
      <c r="B9" s="3436"/>
      <c r="C9" s="1810"/>
      <c r="D9" s="1807"/>
      <c r="E9" s="61" t="s">
        <v>638</v>
      </c>
      <c r="F9" s="785">
        <f ca="1">IF(INDIRECT("'数据-取费表'!ah"&amp;$G$1)="",INDIRECT("'数据-取费表'!k"&amp;$G$1),INDIRECT("'数据-取费表'!ah"&amp;$G$1))</f>
        <v>0</v>
      </c>
      <c r="G9" s="1578"/>
      <c r="H9" s="2452"/>
      <c r="I9" s="3436"/>
      <c r="J9" s="788"/>
      <c r="K9" s="789"/>
      <c r="L9" s="784" t="s">
        <v>1739</v>
      </c>
      <c r="M9" s="785">
        <f ca="1">F9</f>
        <v>0</v>
      </c>
    </row>
    <row r="10" spans="1:25" ht="18" customHeight="1">
      <c r="A10" s="2456"/>
      <c r="B10" s="3437"/>
      <c r="C10" s="1810"/>
      <c r="D10" s="1807"/>
      <c r="E10" s="61" t="s">
        <v>639</v>
      </c>
      <c r="F10" s="785">
        <f ca="1">INDIRECT("'数据-取费表'!ai"&amp;$G$1)</f>
        <v>0</v>
      </c>
      <c r="G10" s="1578"/>
      <c r="H10" s="2452"/>
      <c r="I10" s="3437"/>
      <c r="J10" s="788"/>
      <c r="K10" s="789"/>
      <c r="L10" s="784" t="s">
        <v>1740</v>
      </c>
      <c r="M10" s="785">
        <f ca="1">INDIRECT("'数据-取费表'!ai"&amp;$G$1)</f>
        <v>0</v>
      </c>
    </row>
    <row r="11" spans="1:25" ht="18" customHeight="1">
      <c r="A11" s="786"/>
      <c r="B11" s="3438"/>
      <c r="C11" s="1810"/>
      <c r="D11" s="1807"/>
      <c r="E11" s="61" t="s">
        <v>640</v>
      </c>
      <c r="F11" s="794">
        <f ca="1">INDIRECT("'数据-取费表'!w"&amp;$G$1)</f>
        <v>0</v>
      </c>
      <c r="G11" s="1578"/>
      <c r="H11" s="2468"/>
      <c r="I11" s="3437"/>
      <c r="J11" s="788"/>
      <c r="K11" s="789"/>
      <c r="L11" s="795" t="s">
        <v>1741</v>
      </c>
      <c r="M11" s="796">
        <f ca="1">INDIRECT("'数据-取费表'!ab"&amp;$G$1)</f>
        <v>0</v>
      </c>
    </row>
    <row r="12" spans="1:25" ht="18" customHeight="1">
      <c r="A12" s="1814" t="s">
        <v>1825</v>
      </c>
      <c r="B12" s="2457" t="s">
        <v>2455</v>
      </c>
      <c r="C12" s="799">
        <f ca="1">ROUND(IF(F12="押一",C8/12*F13,IF(F12="押二",C8/12*2*F13,IF(F12="押三",C8/12*3*F13,C13*F13))),0)</f>
        <v>0</v>
      </c>
      <c r="D12" s="2464" t="s">
        <v>2970</v>
      </c>
      <c r="E12" s="2461" t="s">
        <v>2460</v>
      </c>
      <c r="F12" s="2584"/>
      <c r="G12" s="1578"/>
      <c r="H12" s="2524" t="s">
        <v>1825</v>
      </c>
      <c r="I12" s="2529" t="s">
        <v>2455</v>
      </c>
      <c r="J12" s="783">
        <f ca="1">ROUND(IF(M12="押一",J8/12*M13,IF(M12="押二",J8/12*2*M13,IF(M12="押三",J8/12*3*M13,J13*M13))),0)</f>
        <v>0</v>
      </c>
      <c r="K12" s="2464" t="s">
        <v>2970</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8"/>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8"/>
      <c r="H16" s="803" t="s">
        <v>2065</v>
      </c>
      <c r="I16" s="2215" t="s">
        <v>2820</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0.04</v>
      </c>
      <c r="G17" s="1579"/>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8"/>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9"/>
      <c r="H22" s="1816" t="s">
        <v>1850</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8"/>
      <c r="H24" s="1815" t="s">
        <v>2066</v>
      </c>
      <c r="I24" s="784" t="s">
        <v>676</v>
      </c>
      <c r="J24" s="53">
        <f ca="1">ROUND(J16*M24,0)</f>
        <v>0</v>
      </c>
      <c r="K24" s="1961" t="s">
        <v>677</v>
      </c>
      <c r="L24" s="784" t="s">
        <v>649</v>
      </c>
      <c r="M24" s="817">
        <f ca="1">INDIRECT("'数据-取费表'!Ak"&amp;$G$1)</f>
        <v>0</v>
      </c>
    </row>
    <row r="25" spans="1:25" s="2048" customFormat="1" ht="18" customHeight="1">
      <c r="A25" s="803" t="s">
        <v>1875</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8"/>
      <c r="H27" s="797" t="s">
        <v>1828</v>
      </c>
      <c r="I27" s="2962" t="s">
        <v>2817</v>
      </c>
      <c r="J27" s="799">
        <f ca="1">J7-J18</f>
        <v>0</v>
      </c>
      <c r="K27" s="1963" t="s">
        <v>700</v>
      </c>
      <c r="L27" s="1965"/>
      <c r="M27" s="820"/>
    </row>
    <row r="28" spans="1:25" ht="18" customHeight="1">
      <c r="A28" s="803" t="s">
        <v>1875</v>
      </c>
      <c r="B28" s="784" t="s">
        <v>2434</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9"/>
      <c r="H31" s="823" t="s">
        <v>1872</v>
      </c>
      <c r="I31" s="2963" t="s">
        <v>2819</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4</v>
      </c>
      <c r="G36" s="2046"/>
      <c r="H36" s="2049"/>
      <c r="I36" s="3434"/>
      <c r="J36" s="2063"/>
      <c r="K36" s="2064"/>
      <c r="L36" s="2063"/>
      <c r="M36" s="2063"/>
    </row>
    <row r="37" spans="1:18" ht="18" customHeight="1">
      <c r="A37" s="815"/>
      <c r="B37" s="793"/>
      <c r="C37" s="69"/>
      <c r="D37" s="816"/>
      <c r="E37" s="784" t="s">
        <v>674</v>
      </c>
      <c r="F37" s="785">
        <f ca="1">INDIRECT("'数据-取费表'!r"&amp;$G$1)</f>
        <v>0</v>
      </c>
      <c r="G37" s="2046"/>
      <c r="H37" s="2049"/>
      <c r="I37" s="3434"/>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2958</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7" t="str">
        <f ca="1">IF(M48="住宅",0,IF(L49&gt;J52,L61,J61))</f>
        <v>0</v>
      </c>
      <c r="O47" s="2357" t="s">
        <v>2406</v>
      </c>
      <c r="P47" s="1578"/>
      <c r="Q47" s="1589"/>
      <c r="R47" s="1578"/>
    </row>
    <row r="48" spans="1:18" s="2043" customFormat="1" ht="18" customHeight="1" thickBot="1">
      <c r="A48" s="2068"/>
      <c r="C48" s="2071"/>
      <c r="D48" s="2072"/>
      <c r="E48" s="2072"/>
      <c r="F48" s="2073"/>
      <c r="G48" s="2074"/>
      <c r="I48" s="3098" t="s">
        <v>2340</v>
      </c>
      <c r="J48" s="2344"/>
      <c r="K48" s="3104" t="s">
        <v>2345</v>
      </c>
      <c r="L48" s="3108">
        <f ca="1">INDIRECT("'数据-取费表'!d"&amp;$G$1)</f>
        <v>0</v>
      </c>
      <c r="M48" s="3072"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7" t="s">
        <v>2341</v>
      </c>
      <c r="J49" s="2345"/>
      <c r="K49" s="3105"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7" t="s">
        <v>2342</v>
      </c>
      <c r="J50" s="2346"/>
      <c r="K50" s="3106"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7" t="s">
        <v>2343</v>
      </c>
      <c r="J51" s="3102">
        <f>SUMPRODUCT((I64:I66=J48)*(J63:L63=J49)*(J64:L66))</f>
        <v>0</v>
      </c>
      <c r="K51" s="3106" t="s">
        <v>2349</v>
      </c>
      <c r="L51" s="2347"/>
      <c r="O51" s="2364" t="s">
        <v>2379</v>
      </c>
      <c r="P51" s="2362" t="s">
        <v>2403</v>
      </c>
      <c r="Q51" s="2363">
        <f ca="1">C31</f>
        <v>0</v>
      </c>
      <c r="R51" s="2362" t="s">
        <v>2376</v>
      </c>
    </row>
    <row r="52" spans="1:18" s="2043" customFormat="1" ht="18" customHeight="1" thickBot="1">
      <c r="A52" s="2080"/>
      <c r="F52" s="2069"/>
      <c r="I52" s="3099" t="s">
        <v>2344</v>
      </c>
      <c r="J52" s="3103">
        <f>IF(J50="",J51,J50+J51-YEAR('数据-取费表'!B3))</f>
        <v>0</v>
      </c>
      <c r="K52" s="3077" t="s">
        <v>2350</v>
      </c>
      <c r="L52" s="3109">
        <f ca="1">ROUND(-PV(INDIRECT("'数据-取费表'!h"&amp;$G$1),L49,(C40-C14*J36),0),0)</f>
        <v>0</v>
      </c>
      <c r="O52" s="2364" t="s">
        <v>2380</v>
      </c>
      <c r="P52" s="2362" t="s">
        <v>2381</v>
      </c>
      <c r="Q52" s="2365" t="e">
        <f ca="1">J59</f>
        <v>#VALUE!</v>
      </c>
      <c r="R52" s="2366"/>
    </row>
    <row r="53" spans="1:18" s="2043" customFormat="1" ht="18" customHeight="1" thickBot="1">
      <c r="A53" s="2080"/>
      <c r="F53" s="2069"/>
      <c r="I53" s="3100" t="s">
        <v>2417</v>
      </c>
      <c r="J53" s="2348"/>
      <c r="K53" s="3100" t="s">
        <v>2416</v>
      </c>
      <c r="L53" s="2348"/>
      <c r="O53" s="2364" t="s">
        <v>2382</v>
      </c>
      <c r="P53" s="2362" t="s">
        <v>2383</v>
      </c>
      <c r="Q53" s="2365">
        <f>J53</f>
        <v>0</v>
      </c>
      <c r="R53" s="2366"/>
    </row>
    <row r="54" spans="1:18" s="2043" customFormat="1" ht="31.8" thickBot="1">
      <c r="A54" s="2080"/>
      <c r="I54" s="3101" t="s">
        <v>2974</v>
      </c>
      <c r="J54" s="3180">
        <f ca="1">IF(M48="住宅",MAX(J52,L49-'数据-取费表'!B20),MIN(J52,L49-'数据-取费表'!B20))</f>
        <v>-2</v>
      </c>
      <c r="K54" s="3439"/>
      <c r="L54" s="3440"/>
      <c r="O54" s="2364" t="s">
        <v>2384</v>
      </c>
      <c r="P54" s="2362" t="s">
        <v>2385</v>
      </c>
      <c r="Q54" s="2363">
        <f ca="1">J54</f>
        <v>-2</v>
      </c>
      <c r="R54" s="2362" t="s">
        <v>2386</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2387</v>
      </c>
      <c r="P55" s="2362" t="s">
        <v>2404</v>
      </c>
      <c r="Q55" s="2363">
        <f ca="1">Q49+Q50</f>
        <v>0</v>
      </c>
      <c r="R55" s="2366" t="s">
        <v>2388</v>
      </c>
    </row>
    <row r="56" spans="1:18" s="2043" customFormat="1" ht="16.2" thickBot="1">
      <c r="A56" s="2080"/>
      <c r="B56" s="2081"/>
      <c r="C56" s="2081"/>
      <c r="I56" s="3112" t="s">
        <v>2351</v>
      </c>
      <c r="J56" s="3052" t="e">
        <f ca="1">ROUND(IF(J48="钢混",J58/J51,1-(1-2%)*(J51-J58)/J51),3)</f>
        <v>#VALUE!</v>
      </c>
      <c r="K56" s="3113" t="s">
        <v>2352</v>
      </c>
      <c r="L56" s="2349"/>
      <c r="O56" s="2367" t="s">
        <v>2407</v>
      </c>
      <c r="P56" s="1578"/>
      <c r="Q56" s="1589"/>
      <c r="R56" s="1578"/>
    </row>
    <row r="57" spans="1:18" s="2043" customFormat="1" ht="47.4" thickBot="1">
      <c r="A57" s="2080"/>
      <c r="B57" s="2081"/>
      <c r="C57" s="2081"/>
      <c r="I57" s="3114" t="s">
        <v>2353</v>
      </c>
      <c r="J57" s="3124" t="s">
        <v>1678</v>
      </c>
      <c r="K57" s="3077" t="s">
        <v>2358</v>
      </c>
      <c r="L57" s="1892">
        <f ca="1">IF(L49&lt;J52,"——",L49-J52)</f>
        <v>0</v>
      </c>
      <c r="O57" s="2358" t="s">
        <v>2371</v>
      </c>
      <c r="P57" s="2359" t="s">
        <v>2372</v>
      </c>
      <c r="Q57" s="2360" t="s">
        <v>2373</v>
      </c>
      <c r="R57" s="2359" t="s">
        <v>2374</v>
      </c>
    </row>
    <row r="58" spans="1:18" s="2043" customFormat="1" ht="31.8" thickBot="1">
      <c r="A58" s="2080"/>
      <c r="B58" s="2081"/>
      <c r="C58" s="2081"/>
      <c r="I58" s="3115" t="s">
        <v>2354</v>
      </c>
      <c r="J58" s="3116" t="str">
        <f ca="1">IF(OR(M48="住宅",J52&lt;L49,J57="是"),"——",J52-L49)</f>
        <v>——</v>
      </c>
      <c r="K58" s="3077" t="s">
        <v>2359</v>
      </c>
      <c r="L58" s="1892">
        <f ca="1">IF(L49&lt;J52,"——",IF(L56="比较法",L50,IF(L56="基准地价",L51,L52)))</f>
        <v>0</v>
      </c>
      <c r="O58" s="2361" t="s">
        <v>2375</v>
      </c>
      <c r="P58" s="2362" t="s">
        <v>2401</v>
      </c>
      <c r="Q58" s="2363">
        <f ca="1">C41+J31</f>
        <v>0</v>
      </c>
      <c r="R58" s="2362" t="s">
        <v>2376</v>
      </c>
    </row>
    <row r="59" spans="1:18" s="2043" customFormat="1" ht="31.8" thickBot="1">
      <c r="A59" s="2080"/>
      <c r="B59" s="2081"/>
      <c r="C59" s="2081"/>
      <c r="I59" s="3115" t="s">
        <v>2355</v>
      </c>
      <c r="J59" s="3053" t="e">
        <f ca="1">IF(J56&lt;0.4,0.4,J56)</f>
        <v>#VALUE!</v>
      </c>
      <c r="K59" s="3077"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31.8" thickBot="1">
      <c r="A60" s="2080"/>
      <c r="B60" s="2081"/>
      <c r="C60" s="2081"/>
      <c r="I60" s="3115" t="s">
        <v>2356</v>
      </c>
      <c r="J60" s="3116" t="str">
        <f ca="1">IF(OR(M48="住宅",J52&lt;L49,J57="是"),"——",ROUND(C30*J59,0))</f>
        <v>——</v>
      </c>
      <c r="K60" s="3077"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6.2" thickBot="1">
      <c r="A61" s="2080"/>
      <c r="B61" s="2081"/>
      <c r="C61" s="2081"/>
      <c r="I61" s="3117" t="s">
        <v>2357</v>
      </c>
      <c r="J61" s="3118" t="str">
        <f ca="1">IF(OR(M48="住宅",J52&lt;L49,J57="是"),"0",ROUND(J60/(1+J53)^J54,0))</f>
        <v>0</v>
      </c>
      <c r="K61" s="3119" t="s">
        <v>2362</v>
      </c>
      <c r="L61" s="3118" t="e">
        <f ca="1">IF(OR(M48="住宅",L49&lt;J52),0,ROUND(L58*(L59/L60-1),0))</f>
        <v>#DIV/0!</v>
      </c>
      <c r="O61" s="2364" t="s">
        <v>2380</v>
      </c>
      <c r="P61" s="2362" t="s">
        <v>2389</v>
      </c>
      <c r="Q61" s="2365">
        <f>L53</f>
        <v>0</v>
      </c>
      <c r="R61" s="2366"/>
    </row>
    <row r="62" spans="1:18" s="2043" customFormat="1" ht="19.2" thickBot="1">
      <c r="A62" s="2080"/>
      <c r="B62" s="2081"/>
      <c r="C62" s="2081"/>
      <c r="K62" s="2070"/>
      <c r="O62" s="2364" t="s">
        <v>2382</v>
      </c>
      <c r="P62" s="2362" t="s">
        <v>2390</v>
      </c>
      <c r="Q62" s="2363">
        <f ca="1">L59</f>
        <v>0</v>
      </c>
      <c r="R62" s="2366" t="s">
        <v>2391</v>
      </c>
    </row>
    <row r="63" spans="1:18" s="2043" customFormat="1" ht="19.2" thickBot="1">
      <c r="A63" s="2080"/>
      <c r="B63" s="2081"/>
      <c r="C63" s="2081"/>
      <c r="I63" s="3120" t="s">
        <v>2363</v>
      </c>
      <c r="J63" s="3121" t="s">
        <v>2364</v>
      </c>
      <c r="K63" s="3121" t="s">
        <v>2365</v>
      </c>
      <c r="L63" s="3121" t="s">
        <v>2346</v>
      </c>
      <c r="M63" s="3122" t="s">
        <v>2939</v>
      </c>
      <c r="O63" s="2364" t="s">
        <v>2384</v>
      </c>
      <c r="P63" s="2362" t="s">
        <v>2392</v>
      </c>
      <c r="Q63" s="2363">
        <f ca="1">L60</f>
        <v>0</v>
      </c>
      <c r="R63" s="2366" t="s">
        <v>2393</v>
      </c>
    </row>
    <row r="64" spans="1:18" s="2043" customFormat="1" ht="16.2" thickBot="1">
      <c r="A64" s="2080"/>
      <c r="B64" s="2081"/>
      <c r="C64" s="2081"/>
      <c r="I64" s="3120" t="s">
        <v>2366</v>
      </c>
      <c r="J64" s="3121">
        <v>70</v>
      </c>
      <c r="K64" s="3121">
        <v>50</v>
      </c>
      <c r="L64" s="3121">
        <v>80</v>
      </c>
      <c r="M64" s="3123">
        <v>0.02</v>
      </c>
      <c r="O64" s="2361" t="s">
        <v>2387</v>
      </c>
      <c r="P64" s="2362" t="s">
        <v>2404</v>
      </c>
      <c r="Q64" s="2363" t="e">
        <f ca="1">Q58+Q59</f>
        <v>#DIV/0!</v>
      </c>
      <c r="R64" s="2366" t="s">
        <v>2388</v>
      </c>
    </row>
    <row r="65" spans="1:18" s="2043" customFormat="1" ht="16.2" thickBot="1">
      <c r="A65" s="2080"/>
      <c r="B65" s="2081"/>
      <c r="C65" s="2081"/>
      <c r="I65" s="3120" t="s">
        <v>2367</v>
      </c>
      <c r="J65" s="3121">
        <v>50</v>
      </c>
      <c r="K65" s="3121">
        <v>35</v>
      </c>
      <c r="L65" s="3121">
        <v>60</v>
      </c>
      <c r="M65" s="846">
        <v>0</v>
      </c>
      <c r="O65" s="2367" t="s">
        <v>2411</v>
      </c>
      <c r="P65" s="1578"/>
      <c r="Q65" s="1589"/>
      <c r="R65" s="1578"/>
    </row>
    <row r="66" spans="1:18" s="2043" customFormat="1" ht="16.2" thickBot="1">
      <c r="A66" s="2080"/>
      <c r="B66" s="2081"/>
      <c r="C66" s="2081"/>
      <c r="I66" s="3120" t="s">
        <v>2368</v>
      </c>
      <c r="J66" s="3121">
        <v>40</v>
      </c>
      <c r="K66" s="3121">
        <v>30</v>
      </c>
      <c r="L66" s="3121">
        <v>50</v>
      </c>
      <c r="M66" s="3123">
        <v>0.02</v>
      </c>
      <c r="O66" s="2358" t="s">
        <v>2371</v>
      </c>
      <c r="P66" s="2359" t="s">
        <v>2372</v>
      </c>
      <c r="Q66" s="2360" t="s">
        <v>2373</v>
      </c>
      <c r="R66" s="2359" t="s">
        <v>2374</v>
      </c>
    </row>
    <row r="67" spans="1:18" s="2043" customFormat="1" ht="16.2" thickBot="1">
      <c r="A67" s="2080"/>
      <c r="B67" s="2081"/>
      <c r="C67" s="2081"/>
      <c r="K67" s="2070"/>
      <c r="O67" s="2361" t="s">
        <v>2375</v>
      </c>
      <c r="P67" s="2362" t="s">
        <v>2401</v>
      </c>
      <c r="Q67" s="2363">
        <f ca="1">C41+J31</f>
        <v>0</v>
      </c>
      <c r="R67" s="2362" t="s">
        <v>2376</v>
      </c>
    </row>
    <row r="68" spans="1:18" s="2043" customFormat="1" ht="19.2" thickBot="1">
      <c r="A68" s="2080"/>
      <c r="B68" s="2081"/>
      <c r="C68" s="2081"/>
      <c r="K68" s="2070"/>
      <c r="O68" s="2361" t="s">
        <v>2377</v>
      </c>
      <c r="P68" s="2362" t="s">
        <v>2408</v>
      </c>
      <c r="Q68" s="2363" t="e">
        <f ca="1">L61</f>
        <v>#DIV/0!</v>
      </c>
      <c r="R68" s="2366" t="s">
        <v>2410</v>
      </c>
    </row>
    <row r="69" spans="1:18" s="2043" customFormat="1" ht="20.399999999999999" thickBot="1">
      <c r="A69" s="2080"/>
      <c r="B69" s="2081"/>
      <c r="C69" s="2081"/>
      <c r="K69" s="2070"/>
      <c r="O69" s="2364" t="s">
        <v>2379</v>
      </c>
      <c r="P69" s="2362" t="s">
        <v>2409</v>
      </c>
      <c r="Q69" s="2368">
        <f ca="1">L52</f>
        <v>0</v>
      </c>
      <c r="R69" s="2369" t="s">
        <v>2412</v>
      </c>
    </row>
    <row r="70" spans="1:18" s="2043" customFormat="1" ht="19.2" thickBot="1">
      <c r="A70" s="2080"/>
      <c r="B70" s="2081"/>
      <c r="C70" s="2081"/>
      <c r="K70" s="2070"/>
      <c r="O70" s="2364" t="s">
        <v>2380</v>
      </c>
      <c r="P70" s="2370" t="s">
        <v>2394</v>
      </c>
      <c r="Q70" s="2363">
        <f ca="1">ROUND(Q71-Q72*Q73,0)</f>
        <v>0</v>
      </c>
      <c r="R70" s="2366"/>
    </row>
    <row r="71" spans="1:18" s="2043" customFormat="1" ht="16.2" thickBot="1">
      <c r="A71" s="2080"/>
      <c r="B71" s="2081"/>
      <c r="C71" s="2081"/>
      <c r="K71" s="2070"/>
      <c r="O71" s="2364" t="s">
        <v>2395</v>
      </c>
      <c r="P71" s="2370" t="s">
        <v>2396</v>
      </c>
      <c r="Q71" s="2363">
        <f ca="1">C42</f>
        <v>0</v>
      </c>
      <c r="R71" s="2362" t="s">
        <v>2376</v>
      </c>
    </row>
    <row r="72" spans="1:18" s="2043" customFormat="1" ht="16.2" thickBot="1">
      <c r="A72" s="2080"/>
      <c r="B72" s="2081"/>
      <c r="C72" s="2081"/>
      <c r="K72" s="2070"/>
      <c r="O72" s="2364" t="s">
        <v>2397</v>
      </c>
      <c r="P72" s="2370" t="s">
        <v>2398</v>
      </c>
      <c r="Q72" s="2363">
        <f ca="1">C15</f>
        <v>0</v>
      </c>
      <c r="R72" s="2362" t="s">
        <v>2376</v>
      </c>
    </row>
    <row r="73" spans="1:18" s="2043" customFormat="1" ht="16.2" thickBot="1">
      <c r="A73" s="2080"/>
      <c r="B73" s="2081"/>
      <c r="C73" s="2081"/>
      <c r="K73" s="2070"/>
      <c r="O73" s="2364" t="s">
        <v>2399</v>
      </c>
      <c r="P73" s="2370" t="s">
        <v>2400</v>
      </c>
      <c r="Q73" s="2365">
        <f ca="1">F43</f>
        <v>0</v>
      </c>
      <c r="R73" s="2366"/>
    </row>
    <row r="74" spans="1:18" s="2043" customFormat="1" ht="16.2" thickBot="1">
      <c r="A74" s="2080"/>
      <c r="B74" s="2081"/>
      <c r="C74" s="2081"/>
      <c r="K74" s="2070"/>
      <c r="O74" s="2364" t="s">
        <v>2382</v>
      </c>
      <c r="P74" s="2362" t="s">
        <v>2389</v>
      </c>
      <c r="Q74" s="2365">
        <f>L53</f>
        <v>0</v>
      </c>
      <c r="R74" s="2366"/>
    </row>
    <row r="75" spans="1:18" s="2043" customFormat="1" ht="19.2" thickBot="1">
      <c r="A75" s="2080"/>
      <c r="B75" s="2081"/>
      <c r="C75" s="2081"/>
      <c r="K75" s="2070"/>
      <c r="O75" s="2364" t="s">
        <v>2384</v>
      </c>
      <c r="P75" s="2362" t="s">
        <v>2390</v>
      </c>
      <c r="Q75" s="2363">
        <f ca="1">L59</f>
        <v>0</v>
      </c>
      <c r="R75" s="2366" t="s">
        <v>2391</v>
      </c>
    </row>
    <row r="76" spans="1:18" s="2043" customFormat="1" ht="19.2" thickBot="1">
      <c r="A76" s="2080"/>
      <c r="B76" s="2081"/>
      <c r="C76" s="2081"/>
      <c r="K76" s="2070"/>
      <c r="O76" s="2364" t="s">
        <v>2413</v>
      </c>
      <c r="P76" s="2362" t="s">
        <v>2392</v>
      </c>
      <c r="Q76" s="2363">
        <f ca="1">L60</f>
        <v>0</v>
      </c>
      <c r="R76" s="2366" t="s">
        <v>2393</v>
      </c>
    </row>
    <row r="77" spans="1:18" s="2043" customFormat="1" ht="16.2"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17.399999999999999">
      <c r="A4" s="1775" t="str">
        <f>"受贵公司委托，我公司对"&amp;项目基本情况!K2&amp;项目基本情况!B9&amp;"进行了预评估。"</f>
        <v>受贵公司委托，我公司对云南省昆明市出让国有建设用地使用权抵押价格进行了预评估。</v>
      </c>
    </row>
    <row r="5" spans="1:4" ht="17.399999999999999">
      <c r="A5" s="1778" t="s">
        <v>1905</v>
      </c>
    </row>
    <row r="6" spans="1:4" ht="17.399999999999999">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出让国有建设用地使用权。根据《国有土地使用证》[]，估价对象（分摊）出让国有建设用地使用权面积为12664.48平方米。根据《建设工程规划许可证》[]、《出让合同》[]，估价对象规划建筑面积为122082.72平方米。</v>
      </c>
    </row>
    <row r="7" spans="1:4" ht="52.2">
      <c r="A7" s="1779" t="s">
        <v>2742</v>
      </c>
    </row>
    <row r="8" spans="1:4" ht="17.399999999999999">
      <c r="A8" s="1778" t="s">
        <v>1906</v>
      </c>
    </row>
    <row r="9" spans="1:4" ht="69.599999999999994">
      <c r="A9" s="1780" t="str">
        <f>IF(项目基本情况!B8="抵押",IF(项目基本情况!B5=项目基本情况!B6,定义!C51,定义!B51),定义!D51)</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2020年3月5日</v>
      </c>
    </row>
    <row r="12" spans="1:4" ht="17.399999999999999">
      <c r="A12" s="1781" t="s">
        <v>2021</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根据委托估价方介绍及评估专业人员现场勘查，本次评估估价对象实际土地开发程度为红线外市政基础设施达“七通”（即通路、通上水、通下水、平整、、、）、宗地红线内场地平整。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17.399999999999999">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根据《国有土地使用证》[]，估价对象（分摊）出让国有建设用地使用权面积为12664.48平方米。根据《建设工程规划许可证》[]、《出让合同》[]，估价对象规划建筑面积为122082.72平方米。</v>
      </c>
    </row>
    <row r="21" spans="1:1" ht="17.399999999999999">
      <c r="A21" s="1775" t="s">
        <v>2070</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本次估价对象为出让国有建设用地使用权，《国有土地使用证》[]证载土地终止日期为住宅2089年4月21日、商业2059年4月21日。截至估价期日，出让国有建设用地使用权剩余土地使用年限为。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26" spans="1:1" ht="87">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87">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L57" sqref="L5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2996</v>
      </c>
      <c r="D1" s="3076" t="s">
        <v>952</v>
      </c>
      <c r="E1" s="2350" t="s">
        <v>2370</v>
      </c>
      <c r="F1" s="2351">
        <f ca="1">J53</f>
        <v>39.15</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3290</v>
      </c>
      <c r="C2" s="2041"/>
      <c r="D2" s="2039"/>
      <c r="E2" s="2040"/>
      <c r="F2" s="2040"/>
      <c r="G2" s="1576"/>
      <c r="H2" s="2041"/>
      <c r="I2" s="2041"/>
      <c r="J2" s="2041"/>
      <c r="K2" s="2042"/>
      <c r="L2" s="2041"/>
      <c r="M2" s="2041"/>
    </row>
    <row r="3" spans="1:33" ht="18" customHeight="1" thickBot="1">
      <c r="A3" s="833" t="s">
        <v>1727</v>
      </c>
      <c r="B3" s="834">
        <f ca="1">IF(ISERROR(B2*10000/F43),0,ROUND(B2*10000/F43,0))</f>
        <v>13173</v>
      </c>
      <c r="C3" s="2041"/>
      <c r="D3" s="2039"/>
      <c r="E3" s="2040"/>
      <c r="F3" s="2040"/>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2454</v>
      </c>
      <c r="C5" s="55">
        <f ca="1">C6+C10+C12</f>
        <v>205</v>
      </c>
      <c r="D5" s="2459" t="s">
        <v>2457</v>
      </c>
      <c r="E5" s="2453"/>
      <c r="F5" s="2454"/>
      <c r="G5" s="1578"/>
      <c r="H5" s="781">
        <v>1</v>
      </c>
      <c r="I5" s="782" t="s">
        <v>2454</v>
      </c>
      <c r="J5" s="55">
        <f ca="1">J6+J10+J12</f>
        <v>0</v>
      </c>
      <c r="K5" s="2459" t="s">
        <v>2457</v>
      </c>
      <c r="L5" s="2453"/>
      <c r="M5" s="2454"/>
    </row>
    <row r="6" spans="1:33" ht="18" customHeight="1">
      <c r="A6" s="1814" t="s">
        <v>1824</v>
      </c>
      <c r="B6" s="3435" t="s">
        <v>2459</v>
      </c>
      <c r="C6" s="783">
        <f ca="1">ROUND(F6*F8*F7*(1-F9)/10000,0)</f>
        <v>205</v>
      </c>
      <c r="D6" s="2460" t="s">
        <v>2458</v>
      </c>
      <c r="E6" s="784" t="s">
        <v>1738</v>
      </c>
      <c r="F6" s="785">
        <f ca="1">INDIRECT("'数据-取费表'!u"&amp;$G$1)</f>
        <v>2.5</v>
      </c>
      <c r="G6" s="1578"/>
      <c r="H6" s="2467" t="s">
        <v>2464</v>
      </c>
      <c r="I6" s="3435" t="s">
        <v>2459</v>
      </c>
      <c r="J6" s="783">
        <f ca="1">ROUND(M6*M8*M7*(1-M9)/10000,0)</f>
        <v>0</v>
      </c>
      <c r="K6" s="341" t="s">
        <v>1737</v>
      </c>
      <c r="L6" s="784" t="s">
        <v>1738</v>
      </c>
      <c r="M6" s="785">
        <f ca="1">INDIRECT("'数据-取费表'!z"&amp;$G$1)</f>
        <v>0</v>
      </c>
    </row>
    <row r="7" spans="1:33" ht="18" customHeight="1">
      <c r="A7" s="2463"/>
      <c r="B7" s="3436"/>
      <c r="C7" s="788"/>
      <c r="D7" s="789"/>
      <c r="E7" s="784" t="s">
        <v>1739</v>
      </c>
      <c r="F7" s="785">
        <f ca="1">IF(INDIRECT("'数据-取费表'!ah"&amp;$G$1)="",INDIRECT("'数据-取费表'!k"&amp;$G$1),INDIRECT("'数据-取费表'!ah"&amp;$G$1))</f>
        <v>2497.5</v>
      </c>
      <c r="G7" s="1578"/>
      <c r="H7" s="2452"/>
      <c r="I7" s="3436"/>
      <c r="J7" s="788"/>
      <c r="K7" s="789"/>
      <c r="L7" s="784" t="s">
        <v>1739</v>
      </c>
      <c r="M7" s="785">
        <f ca="1">F7</f>
        <v>2497.5</v>
      </c>
    </row>
    <row r="8" spans="1:33" ht="18" customHeight="1">
      <c r="A8" s="2456"/>
      <c r="B8" s="3437"/>
      <c r="C8" s="788"/>
      <c r="D8" s="789"/>
      <c r="E8" s="784" t="s">
        <v>1740</v>
      </c>
      <c r="F8" s="785">
        <f ca="1">INDIRECT("'数据-取费表'!ai"&amp;$G$1)</f>
        <v>365</v>
      </c>
      <c r="G8" s="1578"/>
      <c r="H8" s="2452"/>
      <c r="I8" s="3437"/>
      <c r="J8" s="788"/>
      <c r="K8" s="789"/>
      <c r="L8" s="784" t="s">
        <v>1740</v>
      </c>
      <c r="M8" s="785">
        <f ca="1">INDIRECT("'数据-取费表'!ai"&amp;$G$1)</f>
        <v>365</v>
      </c>
    </row>
    <row r="9" spans="1:33" ht="18" customHeight="1">
      <c r="A9" s="786"/>
      <c r="B9" s="3438"/>
      <c r="C9" s="788"/>
      <c r="D9" s="789"/>
      <c r="E9" s="784" t="s">
        <v>1741</v>
      </c>
      <c r="F9" s="794">
        <f ca="1">INDIRECT("'数据-取费表'!w"&amp;$G$1)</f>
        <v>0.1</v>
      </c>
      <c r="G9" s="1578"/>
      <c r="H9" s="2468"/>
      <c r="I9" s="3437"/>
      <c r="J9" s="788"/>
      <c r="K9" s="789"/>
      <c r="L9" s="795" t="s">
        <v>1741</v>
      </c>
      <c r="M9" s="796">
        <f ca="1">INDIRECT("'数据-取费表'!ab"&amp;$G$1)</f>
        <v>0</v>
      </c>
    </row>
    <row r="10" spans="1:33" ht="18" customHeight="1">
      <c r="A10" s="1814" t="s">
        <v>2462</v>
      </c>
      <c r="B10" s="2457" t="s">
        <v>2455</v>
      </c>
      <c r="C10" s="799">
        <f ca="1">ROUND(IF(F10="押一",C6/12*F11,IF(F10="押二",C6/12*2*F11,IF(F10="押三",C6/12*3*F11,C11*F11))),0)</f>
        <v>0</v>
      </c>
      <c r="D10" s="2464" t="s">
        <v>2970</v>
      </c>
      <c r="E10" s="2461" t="s">
        <v>2460</v>
      </c>
      <c r="F10" s="2584" t="s">
        <v>3021</v>
      </c>
      <c r="G10" s="1578"/>
      <c r="H10" s="2524" t="s">
        <v>2465</v>
      </c>
      <c r="I10" s="2529" t="s">
        <v>2455</v>
      </c>
      <c r="J10" s="783">
        <f ca="1">ROUND(IF(M10="押一",J6/12*M11,IF(M10="押二",J6/12*2*M11,IF(M10="押三",J6/12*3*M11,J11*M11))),0)</f>
        <v>0</v>
      </c>
      <c r="K10" s="2464" t="s">
        <v>2970</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3">
        <v>2</v>
      </c>
      <c r="B13" s="1811" t="s">
        <v>1742</v>
      </c>
      <c r="C13" s="792">
        <f ca="1">ROUND(C29*F13,0)</f>
        <v>1395</v>
      </c>
      <c r="D13" s="1818" t="s">
        <v>2293</v>
      </c>
      <c r="E13" s="1818" t="s">
        <v>1744</v>
      </c>
      <c r="F13" s="2499">
        <f ca="1">INDIRECT("'数据-取费表'!y"&amp;$G$1)</f>
        <v>1</v>
      </c>
      <c r="G13" s="1578"/>
      <c r="H13" s="1813">
        <v>2</v>
      </c>
      <c r="I13" s="1811" t="s">
        <v>1742</v>
      </c>
      <c r="J13" s="1803">
        <f ca="1">ROUND(J14*J15,0)</f>
        <v>0</v>
      </c>
      <c r="K13" s="1805" t="s">
        <v>1743</v>
      </c>
      <c r="L13" s="2515"/>
      <c r="M13" s="2516"/>
    </row>
    <row r="14" spans="1:33" ht="18" customHeight="1">
      <c r="A14" s="1633" t="s">
        <v>1884</v>
      </c>
      <c r="B14" s="784" t="s">
        <v>645</v>
      </c>
      <c r="C14" s="804">
        <f ca="1">INDIRECT("'数据-取费表'!m"&amp;$G$1)+INDIRECT("'数据-取费表'!t"&amp;$G$1)</f>
        <v>940</v>
      </c>
      <c r="D14" s="1963" t="s">
        <v>1745</v>
      </c>
      <c r="E14" s="1964"/>
      <c r="F14" s="805"/>
      <c r="G14" s="1578"/>
      <c r="H14" s="1634" t="s">
        <v>1830</v>
      </c>
      <c r="I14" s="2215" t="s">
        <v>2821</v>
      </c>
      <c r="J14" s="53">
        <f ca="1">C29</f>
        <v>1395</v>
      </c>
      <c r="K14" s="26"/>
      <c r="L14" s="801"/>
      <c r="M14" s="802"/>
    </row>
    <row r="15" spans="1:33" s="2048" customFormat="1" ht="18" customHeight="1" thickBot="1">
      <c r="A15" s="1633" t="s">
        <v>1885</v>
      </c>
      <c r="B15" s="784" t="s">
        <v>647</v>
      </c>
      <c r="C15" s="53">
        <f ca="1">ROUND(C14*F15,0)</f>
        <v>38</v>
      </c>
      <c r="D15" s="806" t="s">
        <v>1746</v>
      </c>
      <c r="E15" s="806" t="s">
        <v>1747</v>
      </c>
      <c r="F15" s="807">
        <f>'数据-取费表'!B33</f>
        <v>0.04</v>
      </c>
      <c r="G15" s="1579"/>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3" t="s">
        <v>1748</v>
      </c>
      <c r="I16" s="1811" t="s">
        <v>1749</v>
      </c>
      <c r="J16" s="792">
        <f ca="1">ROUND(J17+J22+J23+J24,0)</f>
        <v>138</v>
      </c>
      <c r="K16" s="1805" t="s">
        <v>1750</v>
      </c>
      <c r="L16" s="2449"/>
      <c r="M16" s="2454"/>
    </row>
    <row r="17" spans="1:33" s="2048" customFormat="1" ht="18" customHeight="1">
      <c r="A17" s="1633" t="s">
        <v>1887</v>
      </c>
      <c r="B17" s="784" t="s">
        <v>653</v>
      </c>
      <c r="C17" s="53">
        <f ca="1">ROUND(F17*(F43+INDIRECT("'数据-取费表'!S"&amp;$G$1))/10000,0)</f>
        <v>63</v>
      </c>
      <c r="D17" s="784" t="s">
        <v>1751</v>
      </c>
      <c r="E17" s="784" t="s">
        <v>1752</v>
      </c>
      <c r="F17" s="56">
        <f>'数据-取费表'!B35</f>
        <v>200</v>
      </c>
      <c r="G17" s="1579"/>
      <c r="H17" s="1634" t="s">
        <v>1830</v>
      </c>
      <c r="I17" s="784" t="s">
        <v>656</v>
      </c>
      <c r="J17" s="53">
        <f ca="1">ROUND(IF(项目基本情况!B11="自然人",J6*M17/(1+'数据-取费表'!C42),J18+J19+J20),0)</f>
        <v>117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84" t="s">
        <v>659</v>
      </c>
      <c r="C18" s="53">
        <f ca="1">ROUND(C14*F18,0)</f>
        <v>14</v>
      </c>
      <c r="D18" s="784" t="s">
        <v>1746</v>
      </c>
      <c r="E18" s="784" t="s">
        <v>1747</v>
      </c>
      <c r="F18" s="809">
        <f>'数据-取费表'!B36</f>
        <v>1.4999999999999999E-2</v>
      </c>
      <c r="G18" s="1579"/>
      <c r="H18" s="1633" t="s">
        <v>1884</v>
      </c>
      <c r="I18" s="784" t="s">
        <v>1755</v>
      </c>
      <c r="J18" s="53">
        <f ca="1">ROUND(J6*M18/(1+'数据-取费表'!C42),1)</f>
        <v>0</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84" t="s">
        <v>662</v>
      </c>
      <c r="C19" s="53">
        <f ca="1">SUM(C14:C18)</f>
        <v>1055</v>
      </c>
      <c r="D19" s="261" t="s">
        <v>1757</v>
      </c>
      <c r="E19" s="1966"/>
      <c r="F19" s="56"/>
      <c r="G19" s="1578"/>
      <c r="H19" s="1633" t="s">
        <v>1885</v>
      </c>
      <c r="I19" s="784" t="s">
        <v>1758</v>
      </c>
      <c r="J19" s="53">
        <f ca="1">IF(K19="按租金收入计税",ROUND(J6*M19/(1+'数据-取费表'!C42),1),ROUND(C29*F33*0.7,1))</f>
        <v>117.2</v>
      </c>
      <c r="K19" s="811" t="s">
        <v>665</v>
      </c>
      <c r="L19" s="784" t="s">
        <v>1747</v>
      </c>
      <c r="M19" s="809">
        <f>IF(K19="按租金收入计税",'数据-取费表'!B51,'数据-取费表'!B50)</f>
        <v>1.2E-2</v>
      </c>
    </row>
    <row r="20" spans="1:33" s="2048" customFormat="1" ht="18" customHeight="1">
      <c r="A20" s="1634" t="s">
        <v>1889</v>
      </c>
      <c r="B20" s="784" t="s">
        <v>666</v>
      </c>
      <c r="C20" s="53">
        <f ca="1">ROUND(C19*F20,0)</f>
        <v>21</v>
      </c>
      <c r="D20" s="812" t="s">
        <v>1759</v>
      </c>
      <c r="E20" s="784" t="s">
        <v>1747</v>
      </c>
      <c r="F20" s="809">
        <f>'数据-取费表'!B37</f>
        <v>0.02</v>
      </c>
      <c r="G20" s="1579"/>
      <c r="H20" s="1636" t="s">
        <v>1880</v>
      </c>
      <c r="I20" s="341" t="s">
        <v>1760</v>
      </c>
      <c r="J20" s="54">
        <f ca="1">ROUND(M20*M21/10000,0)</f>
        <v>0</v>
      </c>
      <c r="K20" s="814" t="s">
        <v>1761</v>
      </c>
      <c r="L20" s="784" t="s">
        <v>1762</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84" t="s">
        <v>1763</v>
      </c>
      <c r="C21" s="53" t="s">
        <v>1764</v>
      </c>
      <c r="D21" s="812" t="s">
        <v>2294</v>
      </c>
      <c r="E21" s="784" t="s">
        <v>1765</v>
      </c>
      <c r="F21" s="809">
        <f>'数据-取费表'!B38</f>
        <v>0.02</v>
      </c>
      <c r="G21" s="1579"/>
      <c r="H21" s="2469"/>
      <c r="I21" s="793"/>
      <c r="J21" s="69"/>
      <c r="K21" s="816"/>
      <c r="L21" s="784" t="s">
        <v>1766</v>
      </c>
      <c r="M21" s="785">
        <f ca="1">INDIRECT("'数据-取费表'!r"&amp;$G$1)</f>
        <v>324.99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6"/>
      <c r="F22" s="56"/>
      <c r="G22" s="1578"/>
      <c r="H22" s="1634" t="s">
        <v>1889</v>
      </c>
      <c r="I22" s="784" t="s">
        <v>1768</v>
      </c>
      <c r="J22" s="53">
        <f ca="1">ROUND(J14*M22,0)</f>
        <v>21</v>
      </c>
      <c r="K22" s="2447" t="s">
        <v>1769</v>
      </c>
      <c r="L22" s="784" t="s">
        <v>1747</v>
      </c>
      <c r="M22" s="817">
        <f ca="1">INDIRECT("'数据-取费表'!Ak"&amp;$G$1)</f>
        <v>1.4999999999999999E-2</v>
      </c>
    </row>
    <row r="23" spans="1:33" s="2048" customFormat="1" ht="18" customHeight="1">
      <c r="A23" s="1633" t="s">
        <v>1831</v>
      </c>
      <c r="B23" s="784" t="s">
        <v>2531</v>
      </c>
      <c r="C23" s="53">
        <f ca="1">ROUND(IF('数据-取费表'!B22&lt;=1,(C19+C20)*F24*F23/2,(C19+C20)*(POWER((1+F24),F23/2)-1)),0)</f>
        <v>51</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84" t="s">
        <v>684</v>
      </c>
      <c r="C25" s="53"/>
      <c r="D25" s="261" t="s">
        <v>1775</v>
      </c>
      <c r="E25" s="1966"/>
      <c r="F25" s="56"/>
      <c r="G25" s="1578"/>
      <c r="H25" s="1813" t="s">
        <v>1776</v>
      </c>
      <c r="I25" s="2961" t="s">
        <v>2817</v>
      </c>
      <c r="J25" s="792">
        <f ca="1">J5-J16</f>
        <v>-138</v>
      </c>
      <c r="K25" s="2511" t="s">
        <v>1777</v>
      </c>
      <c r="L25" s="2512"/>
      <c r="M25" s="2513"/>
    </row>
    <row r="26" spans="1:33" ht="18" customHeight="1">
      <c r="A26" s="1633" t="s">
        <v>1831</v>
      </c>
      <c r="B26" s="784" t="s">
        <v>2434</v>
      </c>
      <c r="C26" s="53">
        <f ca="1">ROUND((C19+C20)*F26,0)</f>
        <v>161</v>
      </c>
      <c r="D26" s="812" t="s">
        <v>1778</v>
      </c>
      <c r="E26" s="795" t="s">
        <v>1779</v>
      </c>
      <c r="F26" s="794">
        <f ca="1">INDIRECT("'数据-取费表'!q"&amp;$G$1)</f>
        <v>0.15</v>
      </c>
      <c r="G26" s="1578"/>
      <c r="H26" s="2465" t="s">
        <v>1780</v>
      </c>
      <c r="I26" s="2216" t="s">
        <v>2822</v>
      </c>
      <c r="J26" s="783">
        <f ca="1">IF(J5&lt;&gt;0,ROUND(J25*(1-((1+M28)/(1+M26))^M27)/(M26-M28),0),0)</f>
        <v>0</v>
      </c>
      <c r="K26" s="814" t="s">
        <v>1781</v>
      </c>
      <c r="L26" s="784" t="s">
        <v>2415</v>
      </c>
      <c r="M26" s="794">
        <f ca="1">INDIRECT("'数据-取费表'!I"&amp;$G$1)</f>
        <v>5.5E-2</v>
      </c>
    </row>
    <row r="27" spans="1:33" ht="18" customHeight="1">
      <c r="A27" s="1633" t="s">
        <v>1832</v>
      </c>
      <c r="B27" s="784" t="s">
        <v>686</v>
      </c>
      <c r="C27" s="53">
        <f ca="1">ROUND(F21*F26,4)</f>
        <v>3.0000000000000001E-3</v>
      </c>
      <c r="D27" s="812" t="s">
        <v>1782</v>
      </c>
      <c r="E27" s="806"/>
      <c r="F27" s="807"/>
      <c r="G27" s="1578"/>
      <c r="H27" s="2466"/>
      <c r="I27" s="787"/>
      <c r="J27" s="788"/>
      <c r="K27" s="821" t="s">
        <v>1783</v>
      </c>
      <c r="L27" s="784" t="s">
        <v>1784</v>
      </c>
      <c r="M27" s="822">
        <f ca="1">INDIRECT("'数据-取费表'!ag"&amp;$G$1)</f>
        <v>0</v>
      </c>
    </row>
    <row r="28" spans="1:33" s="2048" customFormat="1" ht="18" customHeight="1">
      <c r="A28" s="1635" t="s">
        <v>1841</v>
      </c>
      <c r="B28" s="784" t="s">
        <v>687</v>
      </c>
      <c r="C28" s="53">
        <f>ROUND(F28/(1+'数据-取费表'!C42),4)</f>
        <v>5.2400000000000002E-2</v>
      </c>
      <c r="D28" s="812" t="s">
        <v>2295</v>
      </c>
      <c r="E28" s="784" t="s">
        <v>1785</v>
      </c>
      <c r="F28" s="809">
        <f>'数据-取费表'!B41</f>
        <v>5.5000000000000007E-2</v>
      </c>
      <c r="G28" s="1579"/>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2296</v>
      </c>
      <c r="C29" s="2507">
        <f ca="1">ROUND((C19+C20+C23+C26)/(1-F21-C24-C27-C28),0)</f>
        <v>1395</v>
      </c>
      <c r="D29" s="2508"/>
      <c r="E29" s="2509"/>
      <c r="F29" s="2510"/>
      <c r="G29" s="1579"/>
      <c r="H29" s="823" t="s">
        <v>1787</v>
      </c>
      <c r="I29" s="824" t="s">
        <v>1788</v>
      </c>
      <c r="J29" s="825">
        <f ca="1">ROUND(J26/(1+F40)^F41,0)</f>
        <v>0</v>
      </c>
      <c r="K29" s="826" t="s">
        <v>1789</v>
      </c>
      <c r="L29" s="827"/>
      <c r="M29" s="828">
        <f ca="1">INDIRECT("'数据-取费表'!k"&amp;$G$1)</f>
        <v>2497.5</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60</v>
      </c>
      <c r="D30" s="1805" t="s">
        <v>1791</v>
      </c>
      <c r="E30" s="2449"/>
      <c r="F30" s="2454"/>
      <c r="G30" s="2046"/>
      <c r="H30" s="2049"/>
      <c r="I30" s="2050"/>
      <c r="J30" s="2051"/>
      <c r="K30" s="2052"/>
      <c r="L30" s="2053"/>
      <c r="M30" s="2054"/>
    </row>
    <row r="31" spans="1:33" ht="18" customHeight="1">
      <c r="A31" s="1634" t="s">
        <v>1830</v>
      </c>
      <c r="B31" s="784" t="s">
        <v>656</v>
      </c>
      <c r="C31" s="53">
        <f ca="1">ROUND(IF(项目基本情况!B11="自然人",C6*F31/(1+'数据-取费表'!C42),C32+C33+C34),1)</f>
        <v>34.200000000000003</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84" t="s">
        <v>1794</v>
      </c>
      <c r="C32" s="53">
        <f ca="1">ROUND(C6*F32/(1+'数据-取费表'!C42),1)</f>
        <v>10.7</v>
      </c>
      <c r="D32" s="1961" t="s">
        <v>1795</v>
      </c>
      <c r="E32" s="784" t="s">
        <v>1796</v>
      </c>
      <c r="F32" s="809">
        <f>'数据-取费表'!B41</f>
        <v>5.5000000000000007E-2</v>
      </c>
      <c r="G32" s="2046"/>
      <c r="H32" s="2055"/>
      <c r="I32" s="2056"/>
      <c r="J32" s="2057"/>
      <c r="K32" s="2058"/>
      <c r="L32" s="2059"/>
      <c r="M32" s="2060"/>
    </row>
    <row r="33" spans="1:18" ht="18" customHeight="1">
      <c r="A33" s="1633" t="s">
        <v>1832</v>
      </c>
      <c r="B33" s="784" t="s">
        <v>1797</v>
      </c>
      <c r="C33" s="53">
        <f ca="1">IF(D33="按租金收入计税",ROUND(C6*F33/(1+'数据-取费表'!C42),1),IF(D33="按房产原值计税",ROUND(C29*F33*0.7,1),INDIRECT("'数据-取费表'!Aj"&amp;$G$1)))</f>
        <v>23.4</v>
      </c>
      <c r="D33" s="811" t="s">
        <v>3022</v>
      </c>
      <c r="E33" s="784" t="s">
        <v>1796</v>
      </c>
      <c r="F33" s="809">
        <f>IF(D33="按租金收入计税",'数据-取费表'!B51,'数据-取费表'!B50)</f>
        <v>0.12</v>
      </c>
      <c r="G33" s="2046"/>
      <c r="H33" s="2061"/>
      <c r="I33" s="2061"/>
      <c r="J33" s="2061"/>
      <c r="K33" s="2062"/>
      <c r="L33" s="2061"/>
      <c r="M33" s="2061"/>
    </row>
    <row r="34" spans="1:18" ht="18" customHeight="1">
      <c r="A34" s="1636" t="s">
        <v>1833</v>
      </c>
      <c r="B34" s="341" t="s">
        <v>1798</v>
      </c>
      <c r="C34" s="54">
        <f ca="1">ROUND(F34*F35/10000,1)</f>
        <v>0.1</v>
      </c>
      <c r="D34" s="814" t="s">
        <v>1799</v>
      </c>
      <c r="E34" s="784" t="s">
        <v>1800</v>
      </c>
      <c r="F34" s="640">
        <f>'数据-取费表'!B52</f>
        <v>4</v>
      </c>
      <c r="G34" s="2046"/>
      <c r="H34" s="2049"/>
      <c r="I34" s="835" t="s">
        <v>1813</v>
      </c>
      <c r="J34" s="836"/>
      <c r="K34" s="2064"/>
      <c r="L34" s="2063"/>
      <c r="M34" s="2063"/>
    </row>
    <row r="35" spans="1:18" ht="18" customHeight="1">
      <c r="A35" s="815"/>
      <c r="B35" s="793"/>
      <c r="C35" s="69"/>
      <c r="D35" s="816"/>
      <c r="E35" s="784" t="s">
        <v>1801</v>
      </c>
      <c r="F35" s="785">
        <f ca="1">INDIRECT("'数据-取费表'!r"&amp;$G$1)</f>
        <v>324.99</v>
      </c>
      <c r="G35" s="2046"/>
      <c r="H35" s="2049"/>
      <c r="I35" s="837" t="s">
        <v>1814</v>
      </c>
      <c r="J35" s="838">
        <f ca="1">ROUND(C13*J36,0)</f>
        <v>119</v>
      </c>
      <c r="K35" s="2062"/>
      <c r="L35" s="2061"/>
      <c r="M35" s="2061"/>
    </row>
    <row r="36" spans="1:18" ht="18" customHeight="1">
      <c r="A36" s="1634" t="s">
        <v>1889</v>
      </c>
      <c r="B36" s="784" t="s">
        <v>1802</v>
      </c>
      <c r="C36" s="53">
        <f ca="1">ROUND(C29*F36,1)</f>
        <v>20.9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4" t="s">
        <v>1890</v>
      </c>
      <c r="B37" s="784" t="s">
        <v>679</v>
      </c>
      <c r="C37" s="53">
        <f ca="1">ROUND(C13*F37,1)</f>
        <v>2.1</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3.1</v>
      </c>
      <c r="D38" s="2508" t="s">
        <v>1805</v>
      </c>
      <c r="E38" s="2509" t="s">
        <v>1796</v>
      </c>
      <c r="F38" s="2505">
        <f ca="1">INDIRECT("'数据-取费表'!Am"&amp;$G$1)</f>
        <v>1.4999999999999999E-2</v>
      </c>
      <c r="G38" s="2046"/>
      <c r="H38" s="2061"/>
      <c r="I38" s="843" t="s">
        <v>1817</v>
      </c>
      <c r="J38" s="844"/>
      <c r="K38" s="2067"/>
      <c r="L38" s="2061"/>
      <c r="M38" s="2061"/>
    </row>
    <row r="39" spans="1:18" ht="24.6" customHeight="1" thickTop="1">
      <c r="A39" s="1813" t="s">
        <v>1894</v>
      </c>
      <c r="B39" s="2961" t="s">
        <v>2817</v>
      </c>
      <c r="C39" s="792">
        <f ca="1">C5-C30</f>
        <v>145</v>
      </c>
      <c r="D39" s="2511" t="s">
        <v>1806</v>
      </c>
      <c r="E39" s="2512"/>
      <c r="F39" s="2513"/>
      <c r="G39" s="2046"/>
      <c r="H39" s="2061"/>
      <c r="I39" s="837" t="s">
        <v>1818</v>
      </c>
      <c r="J39" s="845">
        <f ca="1">ROUND(J35/C39,3)</f>
        <v>0.82099999999999995</v>
      </c>
      <c r="K39" s="2067"/>
      <c r="L39" s="2061"/>
      <c r="M39" s="2061"/>
    </row>
    <row r="40" spans="1:18" ht="18" customHeight="1">
      <c r="A40" s="781" t="s">
        <v>1895</v>
      </c>
      <c r="B40" s="2216" t="s">
        <v>2297</v>
      </c>
      <c r="C40" s="783">
        <f ca="1">ROUND(C39*(1-((1+F42)/(1+F40))^F41)/(F40-F42),0)</f>
        <v>3271</v>
      </c>
      <c r="D40" s="814" t="s">
        <v>1807</v>
      </c>
      <c r="E40" s="784" t="s">
        <v>2415</v>
      </c>
      <c r="F40" s="794">
        <f ca="1">INDIRECT("'数据-取费表'!I"&amp;$G$1)</f>
        <v>5.5E-2</v>
      </c>
      <c r="G40" s="2046"/>
      <c r="H40" s="2046"/>
      <c r="I40" s="837" t="s">
        <v>1819</v>
      </c>
      <c r="J40" s="845">
        <f ca="1">1-J39</f>
        <v>0.17900000000000005</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39.15</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0.42599999999999999</v>
      </c>
      <c r="K42" s="2066"/>
      <c r="L42" s="1972"/>
      <c r="M42" s="1972"/>
    </row>
    <row r="43" spans="1:18" ht="18" customHeight="1" thickBot="1">
      <c r="A43" s="823" t="s">
        <v>1787</v>
      </c>
      <c r="B43" s="824" t="s">
        <v>1810</v>
      </c>
      <c r="C43" s="825">
        <f ca="1">ROUND(C40*10000/F43,0)</f>
        <v>13097</v>
      </c>
      <c r="D43" s="826" t="s">
        <v>1811</v>
      </c>
      <c r="E43" s="827" t="s">
        <v>1812</v>
      </c>
      <c r="F43" s="828">
        <f ca="1">INDIRECT("'数据-取费表'!k"&amp;$G$1)</f>
        <v>2497.5</v>
      </c>
      <c r="G43" s="2046"/>
      <c r="H43" s="1972"/>
      <c r="I43" s="847" t="s">
        <v>1822</v>
      </c>
      <c r="J43" s="848">
        <f ca="1">1-J42</f>
        <v>0.57400000000000007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f ca="1">C67-C40</f>
        <v>-3638</v>
      </c>
      <c r="D46" s="2069"/>
      <c r="E46" s="2069"/>
      <c r="F46" s="2069"/>
      <c r="I46" s="2341" t="s">
        <v>2339</v>
      </c>
      <c r="J46" s="2342"/>
      <c r="K46" s="2343"/>
      <c r="L46" s="3107">
        <f ca="1">IF(OR(M47="住宅",D1="土地（套用方法）"),0,IF(L48&gt;J51,L60,J60))</f>
        <v>19</v>
      </c>
      <c r="O46" s="2357" t="s">
        <v>2406</v>
      </c>
      <c r="P46" s="1578"/>
      <c r="Q46" s="1589"/>
      <c r="R46" s="1578"/>
    </row>
    <row r="47" spans="1:18" s="2043" customFormat="1" ht="18" customHeight="1" thickBot="1">
      <c r="A47" s="2335">
        <v>1</v>
      </c>
      <c r="B47" s="2336" t="s">
        <v>635</v>
      </c>
      <c r="C47" s="2537">
        <f ca="1">C48+C52+C54</f>
        <v>0</v>
      </c>
      <c r="D47" s="2069"/>
      <c r="E47" s="2069"/>
      <c r="F47" s="2069"/>
      <c r="I47" s="3098" t="s">
        <v>2340</v>
      </c>
      <c r="J47" s="2344" t="s">
        <v>3023</v>
      </c>
      <c r="K47" s="3104" t="s">
        <v>2345</v>
      </c>
      <c r="L47" s="3108">
        <f ca="1">INDIRECT("'数据-取费表'!d"&amp;$G$1)</f>
        <v>40</v>
      </c>
      <c r="M47" s="1589"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2292</v>
      </c>
      <c r="F48" s="2340"/>
      <c r="G48" s="2074"/>
      <c r="I48" s="3077" t="s">
        <v>2341</v>
      </c>
      <c r="J48" s="2345" t="s">
        <v>2346</v>
      </c>
      <c r="K48" s="3105" t="s">
        <v>2347</v>
      </c>
      <c r="L48" s="1892">
        <f ca="1">INDIRECT("'数据-取费表'!f"&amp;$G$1)</f>
        <v>39.15</v>
      </c>
      <c r="O48" s="2361" t="s">
        <v>2375</v>
      </c>
      <c r="P48" s="2362" t="s">
        <v>2401</v>
      </c>
      <c r="Q48" s="2363">
        <f ca="1">C40+J29</f>
        <v>3271</v>
      </c>
      <c r="R48" s="2362" t="s">
        <v>2376</v>
      </c>
    </row>
    <row r="49" spans="1:18" s="2043" customFormat="1" ht="18" customHeight="1" thickBot="1">
      <c r="A49" s="786"/>
      <c r="B49" s="787"/>
      <c r="C49" s="788"/>
      <c r="D49" s="789"/>
      <c r="E49" s="784" t="s">
        <v>1739</v>
      </c>
      <c r="F49" s="785">
        <f ca="1">F7</f>
        <v>2497.5</v>
      </c>
      <c r="G49" s="2074"/>
      <c r="H49" s="2077"/>
      <c r="I49" s="3077" t="s">
        <v>2342</v>
      </c>
      <c r="J49" s="2346">
        <v>2020</v>
      </c>
      <c r="K49" s="3106" t="s">
        <v>2348</v>
      </c>
      <c r="L49" s="2347"/>
      <c r="O49" s="2361" t="s">
        <v>2377</v>
      </c>
      <c r="P49" s="2362" t="s">
        <v>2402</v>
      </c>
      <c r="Q49" s="2363">
        <f ca="1">J60</f>
        <v>19</v>
      </c>
      <c r="R49" s="2362" t="s">
        <v>2378</v>
      </c>
    </row>
    <row r="50" spans="1:18" s="2043" customFormat="1" ht="18" customHeight="1" thickBot="1">
      <c r="A50" s="786"/>
      <c r="B50" s="787"/>
      <c r="C50" s="788"/>
      <c r="D50" s="789"/>
      <c r="E50" s="784" t="s">
        <v>1740</v>
      </c>
      <c r="F50" s="785">
        <f ca="1">F8</f>
        <v>365</v>
      </c>
      <c r="G50" s="2079"/>
      <c r="H50" s="2077"/>
      <c r="I50" s="3077" t="s">
        <v>2343</v>
      </c>
      <c r="J50" s="3102">
        <f>SUMPRODUCT((I63:I65=J47)*(J62:L62=J48)*(J63:L65))</f>
        <v>60</v>
      </c>
      <c r="K50" s="3106" t="s">
        <v>2349</v>
      </c>
      <c r="L50" s="2347"/>
      <c r="O50" s="2364" t="s">
        <v>2379</v>
      </c>
      <c r="P50" s="2362" t="s">
        <v>2403</v>
      </c>
      <c r="Q50" s="2363">
        <f ca="1">C29</f>
        <v>1395</v>
      </c>
      <c r="R50" s="2362" t="s">
        <v>2376</v>
      </c>
    </row>
    <row r="51" spans="1:18" s="2043" customFormat="1" ht="18" customHeight="1" thickBot="1">
      <c r="A51" s="786"/>
      <c r="B51" s="787"/>
      <c r="C51" s="788"/>
      <c r="D51" s="789"/>
      <c r="E51" s="784" t="s">
        <v>640</v>
      </c>
      <c r="F51" s="2334"/>
      <c r="H51" s="2077"/>
      <c r="I51" s="3099" t="s">
        <v>2344</v>
      </c>
      <c r="J51" s="3103">
        <f>IF(J49="",J50,J49+J50-YEAR('数据-取费表'!B2))</f>
        <v>60</v>
      </c>
      <c r="K51" s="3077" t="s">
        <v>2350</v>
      </c>
      <c r="L51" s="3109">
        <f ca="1">ROUND(-PV(INDIRECT("'数据-取费表'!h"&amp;$G$1),L48,(C39-C13*J36),0),0)</f>
        <v>450</v>
      </c>
      <c r="O51" s="2364" t="s">
        <v>2380</v>
      </c>
      <c r="P51" s="2362" t="s">
        <v>2381</v>
      </c>
      <c r="Q51" s="2365">
        <f ca="1">J58</f>
        <v>0.4</v>
      </c>
      <c r="R51" s="2366"/>
    </row>
    <row r="52" spans="1:18" s="2043" customFormat="1" ht="18" customHeight="1" thickBot="1">
      <c r="A52" s="781" t="s">
        <v>2532</v>
      </c>
      <c r="B52" s="2457" t="s">
        <v>2455</v>
      </c>
      <c r="C52" s="799">
        <f ca="1">ROUND(IF(F52="押一",C48/12*F11,IF(F52="押二",C48/12*2*F11,IF(F52="押三",C48/12*3*F11,C53*F11))),0)</f>
        <v>0</v>
      </c>
      <c r="D52" s="2464" t="s">
        <v>2971</v>
      </c>
      <c r="E52" s="2461" t="s">
        <v>2460</v>
      </c>
      <c r="F52" s="2584"/>
      <c r="I52" s="3100" t="s">
        <v>2417</v>
      </c>
      <c r="J52" s="2348">
        <v>0.09</v>
      </c>
      <c r="K52" s="3100"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1" t="s">
        <v>2974</v>
      </c>
      <c r="J53" s="3180">
        <f ca="1">IF(M47="住宅",IF(D1="——",MAX(J51,L48),MAX(J51,L48-'数据-取费表'!B20)),IF(D1="——",MIN(J51,L48),MIN(J51,L48-'数据-取费表'!B20)))</f>
        <v>39.15</v>
      </c>
      <c r="K53" s="3441" t="s">
        <v>2962</v>
      </c>
      <c r="L53" s="3442"/>
      <c r="O53" s="2364" t="s">
        <v>2384</v>
      </c>
      <c r="P53" s="2362" t="s">
        <v>2385</v>
      </c>
      <c r="Q53" s="2363">
        <f ca="1">J53</f>
        <v>39.15</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3290</v>
      </c>
      <c r="R54" s="2366" t="s">
        <v>2388</v>
      </c>
    </row>
    <row r="55" spans="1:18" s="2043" customFormat="1" ht="18" customHeight="1" thickTop="1" thickBot="1">
      <c r="A55" s="797">
        <v>2</v>
      </c>
      <c r="B55" s="798" t="s">
        <v>644</v>
      </c>
      <c r="C55" s="799">
        <f ca="1">C13</f>
        <v>1395</v>
      </c>
      <c r="D55" s="795"/>
      <c r="E55" s="795"/>
      <c r="F55" s="800"/>
      <c r="I55" s="3112" t="s">
        <v>2351</v>
      </c>
      <c r="J55" s="3052">
        <f ca="1">ROUND(IF(J47="钢混",J57/J50,1-(1-2%)*(J50-J57)/J50),3)</f>
        <v>0.34799999999999998</v>
      </c>
      <c r="K55" s="3113" t="s">
        <v>2352</v>
      </c>
      <c r="L55" s="2349"/>
      <c r="O55" s="2367" t="s">
        <v>2407</v>
      </c>
      <c r="P55" s="1578"/>
      <c r="Q55" s="1589"/>
      <c r="R55" s="1578"/>
    </row>
    <row r="56" spans="1:18" s="2043" customFormat="1" ht="42.75" customHeight="1" thickBot="1">
      <c r="A56" s="1635"/>
      <c r="B56" s="2215" t="s">
        <v>2298</v>
      </c>
      <c r="C56" s="53">
        <f ca="1">C29</f>
        <v>1395</v>
      </c>
      <c r="D56" s="2602"/>
      <c r="E56" s="784"/>
      <c r="F56" s="809"/>
      <c r="I56" s="3114" t="s">
        <v>2353</v>
      </c>
      <c r="J56" s="3124" t="s">
        <v>3003</v>
      </c>
      <c r="K56" s="3077"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23</v>
      </c>
      <c r="D57" s="26" t="s">
        <v>1750</v>
      </c>
      <c r="E57" s="2603"/>
      <c r="F57" s="56"/>
      <c r="I57" s="3115" t="s">
        <v>2354</v>
      </c>
      <c r="J57" s="3116">
        <f ca="1">IF(OR(M47="住宅",J51&lt;L48,J56="是"),"——",J51-L48)</f>
        <v>20.85</v>
      </c>
      <c r="K57" s="3077" t="s">
        <v>2359</v>
      </c>
      <c r="L57" s="1892" t="str">
        <f ca="1">IF(L48&lt;J51,"——",IF(L55="比较法",L49,IF(L55="基准地价",L50,L51)))</f>
        <v>——</v>
      </c>
      <c r="O57" s="2361" t="s">
        <v>2375</v>
      </c>
      <c r="P57" s="2362" t="s">
        <v>2405</v>
      </c>
      <c r="Q57" s="2363">
        <f ca="1">C40+J29</f>
        <v>3271</v>
      </c>
      <c r="R57" s="2362" t="s">
        <v>2376</v>
      </c>
    </row>
    <row r="58" spans="1:18" s="2043" customFormat="1" ht="28.5" customHeight="1" thickBot="1">
      <c r="A58" s="1634" t="s">
        <v>1824</v>
      </c>
      <c r="B58" s="784" t="s">
        <v>656</v>
      </c>
      <c r="C58" s="53">
        <f ca="1">ROUND(IF(项目基本情况!B11="自然人",C47*F58,C59+C60+C61),1)</f>
        <v>0.1</v>
      </c>
      <c r="D58" s="2601" t="s">
        <v>657</v>
      </c>
      <c r="E58" s="2602" t="s">
        <v>690</v>
      </c>
      <c r="F58" s="810" t="str">
        <f ca="1">IF(项目基本情况!B11="企业","",IF(INDIRECT("'数据-取费表'!c"&amp;$G$1)="住宅",5%,IF(F48*F49*F50/12/(1+'数据-取费表'!C42)&gt;20000,12%,7%)))</f>
        <v/>
      </c>
      <c r="I58" s="3115" t="s">
        <v>2355</v>
      </c>
      <c r="J58" s="3053">
        <f ca="1">IF(J55&lt;0.4,0.4,J55)</f>
        <v>0.4</v>
      </c>
      <c r="K58" s="3077"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1831</v>
      </c>
      <c r="B59" s="784" t="s">
        <v>660</v>
      </c>
      <c r="C59" s="53">
        <f ca="1">ROUND(C47*F59/1.05,1)</f>
        <v>0</v>
      </c>
      <c r="D59" s="2602" t="s">
        <v>1756</v>
      </c>
      <c r="E59" s="784" t="s">
        <v>1747</v>
      </c>
      <c r="F59" s="809">
        <f t="shared" ref="F59:F65" si="0">F32</f>
        <v>5.5000000000000007E-2</v>
      </c>
      <c r="I59" s="3115" t="s">
        <v>2356</v>
      </c>
      <c r="J59" s="3116">
        <f ca="1">IF(OR(M47="住宅",J51&lt;L48,J56="是"),"——",ROUND(C29*J58,0))</f>
        <v>558</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7" t="s">
        <v>2357</v>
      </c>
      <c r="J60" s="3118">
        <f ca="1">IF(OR(M47="住宅",J51&lt;L48,J56="是"),"0",ROUND(J59/(1+J52)^J53,0))</f>
        <v>19</v>
      </c>
      <c r="K60" s="3119" t="s">
        <v>2362</v>
      </c>
      <c r="L60" s="3118">
        <f ca="1">IF(OR(M47="住宅",L48&lt;J51),0,ROUND(L57*(L58/L59-1),0))</f>
        <v>0</v>
      </c>
      <c r="O60" s="2364" t="s">
        <v>2380</v>
      </c>
      <c r="P60" s="2362" t="s">
        <v>2389</v>
      </c>
      <c r="Q60" s="2365">
        <f>L52</f>
        <v>0</v>
      </c>
      <c r="R60" s="2366"/>
    </row>
    <row r="61" spans="1:18" s="2043" customFormat="1" ht="18" customHeight="1" thickBot="1">
      <c r="A61" s="1636" t="s">
        <v>1833</v>
      </c>
      <c r="B61" s="341" t="s">
        <v>668</v>
      </c>
      <c r="C61" s="54">
        <f ca="1">ROUND(F61*F62/10000,1)</f>
        <v>0.1</v>
      </c>
      <c r="D61" s="814" t="s">
        <v>669</v>
      </c>
      <c r="E61" s="784" t="s">
        <v>670</v>
      </c>
      <c r="F61" s="640">
        <f t="shared" si="0"/>
        <v>4</v>
      </c>
      <c r="K61" s="2070"/>
      <c r="O61" s="2364" t="s">
        <v>2382</v>
      </c>
      <c r="P61" s="2362" t="s">
        <v>2390</v>
      </c>
      <c r="Q61" s="2363" t="e">
        <f ca="1">L58</f>
        <v>#DIV/0!</v>
      </c>
      <c r="R61" s="2366" t="s">
        <v>2391</v>
      </c>
    </row>
    <row r="62" spans="1:18" s="2043" customFormat="1" ht="16.2" thickBot="1">
      <c r="A62" s="815"/>
      <c r="B62" s="793"/>
      <c r="C62" s="69"/>
      <c r="D62" s="816"/>
      <c r="E62" s="784" t="s">
        <v>674</v>
      </c>
      <c r="F62" s="785">
        <f t="shared" ca="1" si="0"/>
        <v>324.99</v>
      </c>
      <c r="I62" s="3120" t="s">
        <v>2363</v>
      </c>
      <c r="J62" s="3121" t="s">
        <v>2364</v>
      </c>
      <c r="K62" s="3121" t="s">
        <v>2365</v>
      </c>
      <c r="L62" s="3121" t="s">
        <v>2346</v>
      </c>
      <c r="M62" s="3122" t="s">
        <v>2939</v>
      </c>
      <c r="O62" s="2364" t="s">
        <v>2384</v>
      </c>
      <c r="P62" s="2362" t="str">
        <f>K59</f>
        <v>建筑物剩余耐用年限下的土地年期修正系数Kn</v>
      </c>
      <c r="Q62" s="2363" t="e">
        <f ca="1">L59</f>
        <v>#DIV/0!</v>
      </c>
      <c r="R62" s="2366" t="s">
        <v>2393</v>
      </c>
    </row>
    <row r="63" spans="1:18" s="2043" customFormat="1" ht="16.2" thickBot="1">
      <c r="A63" s="1634" t="s">
        <v>1889</v>
      </c>
      <c r="B63" s="784" t="s">
        <v>676</v>
      </c>
      <c r="C63" s="53">
        <f ca="1">ROUND(C56*F63,1)</f>
        <v>20.9</v>
      </c>
      <c r="D63" s="2602" t="s">
        <v>1803</v>
      </c>
      <c r="E63" s="784" t="s">
        <v>1747</v>
      </c>
      <c r="F63" s="817">
        <f t="shared" ca="1" si="0"/>
        <v>1.4999999999999999E-2</v>
      </c>
      <c r="I63" s="3120" t="s">
        <v>2366</v>
      </c>
      <c r="J63" s="3121">
        <v>70</v>
      </c>
      <c r="K63" s="3121">
        <v>50</v>
      </c>
      <c r="L63" s="3121">
        <v>80</v>
      </c>
      <c r="M63" s="3123">
        <v>0.02</v>
      </c>
      <c r="O63" s="2361" t="s">
        <v>2387</v>
      </c>
      <c r="P63" s="2362" t="s">
        <v>2404</v>
      </c>
      <c r="Q63" s="2363">
        <f ca="1">Q57+Q58</f>
        <v>3271</v>
      </c>
      <c r="R63" s="2366" t="s">
        <v>2388</v>
      </c>
    </row>
    <row r="64" spans="1:18" s="2043" customFormat="1" ht="16.2" thickBot="1">
      <c r="A64" s="1634" t="s">
        <v>1890</v>
      </c>
      <c r="B64" s="784" t="s">
        <v>679</v>
      </c>
      <c r="C64" s="53">
        <f ca="1">ROUND(C55*F64,1)</f>
        <v>2.1</v>
      </c>
      <c r="D64" s="2602" t="s">
        <v>680</v>
      </c>
      <c r="E64" s="784" t="s">
        <v>1747</v>
      </c>
      <c r="F64" s="818">
        <f t="shared" ca="1" si="0"/>
        <v>1.5E-3</v>
      </c>
      <c r="I64" s="3120" t="s">
        <v>2367</v>
      </c>
      <c r="J64" s="3121">
        <v>50</v>
      </c>
      <c r="K64" s="3121">
        <v>35</v>
      </c>
      <c r="L64" s="3121">
        <v>60</v>
      </c>
      <c r="M64" s="846">
        <v>0</v>
      </c>
      <c r="O64" s="2367" t="s">
        <v>2411</v>
      </c>
      <c r="P64" s="1578"/>
      <c r="Q64" s="1589"/>
      <c r="R64" s="1578"/>
    </row>
    <row r="65" spans="1:18" s="2043" customFormat="1" ht="16.2" thickBot="1">
      <c r="A65" s="1634" t="s">
        <v>1891</v>
      </c>
      <c r="B65" s="784" t="s">
        <v>666</v>
      </c>
      <c r="C65" s="53">
        <f ca="1">ROUND(C47*F65,1)</f>
        <v>0</v>
      </c>
      <c r="D65" s="2602" t="s">
        <v>683</v>
      </c>
      <c r="E65" s="784" t="s">
        <v>1747</v>
      </c>
      <c r="F65" s="794">
        <f t="shared" ca="1" si="0"/>
        <v>1.4999999999999999E-2</v>
      </c>
      <c r="I65" s="3120" t="s">
        <v>2368</v>
      </c>
      <c r="J65" s="3121">
        <v>40</v>
      </c>
      <c r="K65" s="3121">
        <v>30</v>
      </c>
      <c r="L65" s="3121">
        <v>50</v>
      </c>
      <c r="M65" s="3123">
        <v>0.02</v>
      </c>
      <c r="O65" s="2358" t="s">
        <v>2371</v>
      </c>
      <c r="P65" s="2359" t="s">
        <v>2372</v>
      </c>
      <c r="Q65" s="2360" t="s">
        <v>2373</v>
      </c>
      <c r="R65" s="2359" t="s">
        <v>2374</v>
      </c>
    </row>
    <row r="66" spans="1:18" s="2043" customFormat="1" ht="24.6" thickBot="1">
      <c r="A66" s="797" t="s">
        <v>1776</v>
      </c>
      <c r="B66" s="2962" t="s">
        <v>2817</v>
      </c>
      <c r="C66" s="799">
        <f ca="1">C47-C57</f>
        <v>-23</v>
      </c>
      <c r="D66" s="2601" t="s">
        <v>700</v>
      </c>
      <c r="E66" s="2600"/>
      <c r="F66" s="820"/>
      <c r="K66" s="2070"/>
      <c r="O66" s="2361" t="s">
        <v>2375</v>
      </c>
      <c r="P66" s="2362" t="s">
        <v>2405</v>
      </c>
      <c r="Q66" s="2363">
        <f ca="1">C40+J29</f>
        <v>3271</v>
      </c>
      <c r="R66" s="2362" t="s">
        <v>2376</v>
      </c>
    </row>
    <row r="67" spans="1:18" s="2043" customFormat="1" ht="19.2" thickBot="1">
      <c r="A67" s="781" t="s">
        <v>1780</v>
      </c>
      <c r="B67" s="2216" t="s">
        <v>2297</v>
      </c>
      <c r="C67" s="783">
        <f ca="1">ROUND(C66*(1-((1+F69)/(1+F67))^F68)/(F67-F69),0)</f>
        <v>-367</v>
      </c>
      <c r="D67" s="814" t="s">
        <v>704</v>
      </c>
      <c r="E67" s="784" t="s">
        <v>705</v>
      </c>
      <c r="F67" s="794">
        <f ca="1">F40</f>
        <v>5.5E-2</v>
      </c>
      <c r="K67" s="2070"/>
      <c r="O67" s="2361" t="s">
        <v>2377</v>
      </c>
      <c r="P67" s="2362" t="s">
        <v>2408</v>
      </c>
      <c r="Q67" s="2363">
        <f ca="1">L60</f>
        <v>0</v>
      </c>
      <c r="R67" s="2366" t="s">
        <v>2410</v>
      </c>
    </row>
    <row r="68" spans="1:18" ht="20.399999999999999" thickBot="1">
      <c r="A68" s="786"/>
      <c r="B68" s="787"/>
      <c r="C68" s="788"/>
      <c r="D68" s="821" t="s">
        <v>1808</v>
      </c>
      <c r="E68" s="784" t="s">
        <v>1784</v>
      </c>
      <c r="F68" s="822">
        <f ca="1">F41</f>
        <v>39.15</v>
      </c>
      <c r="O68" s="2364" t="s">
        <v>2379</v>
      </c>
      <c r="P68" s="2362" t="s">
        <v>2409</v>
      </c>
      <c r="Q68" s="2368">
        <f ca="1">L51</f>
        <v>450</v>
      </c>
      <c r="R68" s="2369" t="s">
        <v>2412</v>
      </c>
    </row>
    <row r="69" spans="1:18" ht="19.2" thickBot="1">
      <c r="A69" s="790"/>
      <c r="B69" s="791"/>
      <c r="C69" s="792"/>
      <c r="D69" s="816"/>
      <c r="E69" s="784" t="s">
        <v>710</v>
      </c>
      <c r="F69" s="2334"/>
      <c r="O69" s="2364" t="s">
        <v>2380</v>
      </c>
      <c r="P69" s="2370" t="s">
        <v>2394</v>
      </c>
      <c r="Q69" s="2363">
        <f ca="1">ROUND(Q70-Q71*Q72,0)</f>
        <v>26</v>
      </c>
      <c r="R69" s="2366"/>
    </row>
    <row r="70" spans="1:18" ht="16.2" thickBot="1">
      <c r="A70" s="823" t="s">
        <v>1787</v>
      </c>
      <c r="B70" s="824" t="s">
        <v>1810</v>
      </c>
      <c r="C70" s="825">
        <f ca="1">ROUND(C67*10000/F70,0)</f>
        <v>-1469</v>
      </c>
      <c r="D70" s="826" t="s">
        <v>1811</v>
      </c>
      <c r="E70" s="827" t="s">
        <v>1812</v>
      </c>
      <c r="F70" s="828">
        <f ca="1">F43</f>
        <v>2497.5</v>
      </c>
      <c r="O70" s="2364" t="s">
        <v>2395</v>
      </c>
      <c r="P70" s="2370" t="s">
        <v>2396</v>
      </c>
      <c r="Q70" s="2363">
        <f ca="1">C39</f>
        <v>145</v>
      </c>
      <c r="R70" s="2362" t="s">
        <v>2376</v>
      </c>
    </row>
    <row r="71" spans="1:18" ht="16.2" thickBot="1">
      <c r="O71" s="2364" t="s">
        <v>2397</v>
      </c>
      <c r="P71" s="2370" t="s">
        <v>2398</v>
      </c>
      <c r="Q71" s="2363">
        <f ca="1">C13</f>
        <v>1395</v>
      </c>
      <c r="R71" s="2362" t="s">
        <v>2376</v>
      </c>
    </row>
    <row r="72" spans="1:18" ht="16.2" thickBot="1">
      <c r="O72" s="2364" t="s">
        <v>2399</v>
      </c>
      <c r="P72" s="2370" t="s">
        <v>2400</v>
      </c>
      <c r="Q72" s="2365">
        <f ca="1">J36</f>
        <v>8.5000000000000006E-2</v>
      </c>
      <c r="R72" s="2366"/>
    </row>
    <row r="73" spans="1:18" ht="16.2" thickBot="1">
      <c r="O73" s="2364" t="s">
        <v>2382</v>
      </c>
      <c r="P73" s="2362" t="s">
        <v>2389</v>
      </c>
      <c r="Q73" s="2365">
        <f>L52</f>
        <v>0</v>
      </c>
      <c r="R73" s="2366"/>
    </row>
    <row r="74" spans="1:18" ht="19.2" thickBot="1">
      <c r="O74" s="2364" t="s">
        <v>2384</v>
      </c>
      <c r="P74" s="2362" t="s">
        <v>2390</v>
      </c>
      <c r="Q74" s="2363" t="e">
        <f ca="1">L58</f>
        <v>#DIV/0!</v>
      </c>
      <c r="R74" s="2366" t="s">
        <v>2391</v>
      </c>
    </row>
    <row r="75" spans="1:18" ht="16.2" thickBot="1">
      <c r="O75" s="2364" t="s">
        <v>2413</v>
      </c>
      <c r="P75" s="2362" t="str">
        <f>K59</f>
        <v>建筑物剩余耐用年限下的土地年期修正系数Kn</v>
      </c>
      <c r="Q75" s="2363" t="e">
        <f ca="1">L59</f>
        <v>#DIV/0!</v>
      </c>
      <c r="R75" s="2366" t="s">
        <v>2393</v>
      </c>
    </row>
    <row r="76" spans="1:18" ht="16.2" thickBot="1">
      <c r="O76" s="2361" t="s">
        <v>2387</v>
      </c>
      <c r="P76" s="2362" t="s">
        <v>2404</v>
      </c>
      <c r="Q76" s="2363">
        <f ca="1">Q66+Q67</f>
        <v>3271</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43" t="s">
        <v>2467</v>
      </c>
      <c r="B1" s="3444"/>
      <c r="C1" s="3445"/>
      <c r="D1" s="3446">
        <f>SUM(I10,I15,I20,I21,I23)</f>
        <v>0</v>
      </c>
      <c r="E1" s="3446"/>
      <c r="F1" s="3446"/>
      <c r="G1" s="3446"/>
      <c r="H1" s="3446"/>
      <c r="I1" s="3447"/>
    </row>
    <row r="2" spans="1:9">
      <c r="A2" s="3448" t="s">
        <v>2468</v>
      </c>
      <c r="B2" s="3449" t="s">
        <v>2469</v>
      </c>
      <c r="C2" s="3449"/>
      <c r="D2" s="2470" t="s">
        <v>2470</v>
      </c>
      <c r="E2" s="2470" t="s">
        <v>2471</v>
      </c>
      <c r="F2" s="2470" t="s">
        <v>2472</v>
      </c>
      <c r="G2" s="2470" t="s">
        <v>2473</v>
      </c>
      <c r="H2" s="2470" t="s">
        <v>2474</v>
      </c>
      <c r="I2" s="2471" t="s">
        <v>2475</v>
      </c>
    </row>
    <row r="3" spans="1:9">
      <c r="A3" s="3448"/>
      <c r="B3" s="3449" t="s">
        <v>2476</v>
      </c>
      <c r="C3" s="3449"/>
      <c r="D3" s="2472"/>
      <c r="E3" s="2470"/>
      <c r="F3" s="2473"/>
      <c r="G3" s="2473"/>
      <c r="H3" s="2474"/>
      <c r="I3" s="2475">
        <f>ROUND(D3*E3*F3*G3*H3/10000,0)</f>
        <v>0</v>
      </c>
    </row>
    <row r="4" spans="1:9">
      <c r="A4" s="3448"/>
      <c r="B4" s="3449" t="s">
        <v>2477</v>
      </c>
      <c r="C4" s="3449"/>
      <c r="D4" s="2472"/>
      <c r="E4" s="2470"/>
      <c r="F4" s="2473"/>
      <c r="G4" s="2473"/>
      <c r="H4" s="2474"/>
      <c r="I4" s="2475">
        <f t="shared" ref="I4:I9" si="0">ROUND(D4*E4*F4*G4*H4/10000,0)</f>
        <v>0</v>
      </c>
    </row>
    <row r="5" spans="1:9">
      <c r="A5" s="3448"/>
      <c r="B5" s="3449" t="s">
        <v>2478</v>
      </c>
      <c r="C5" s="3449"/>
      <c r="D5" s="2472"/>
      <c r="E5" s="2470"/>
      <c r="F5" s="2473"/>
      <c r="G5" s="2473"/>
      <c r="H5" s="2474"/>
      <c r="I5" s="2475">
        <f t="shared" si="0"/>
        <v>0</v>
      </c>
    </row>
    <row r="6" spans="1:9">
      <c r="A6" s="3448"/>
      <c r="B6" s="3449" t="s">
        <v>2479</v>
      </c>
      <c r="C6" s="3449"/>
      <c r="D6" s="2472"/>
      <c r="E6" s="2470"/>
      <c r="F6" s="2473"/>
      <c r="G6" s="2473"/>
      <c r="H6" s="2474"/>
      <c r="I6" s="2475">
        <f t="shared" si="0"/>
        <v>0</v>
      </c>
    </row>
    <row r="7" spans="1:9">
      <c r="A7" s="3448"/>
      <c r="B7" s="3449" t="s">
        <v>2480</v>
      </c>
      <c r="C7" s="3449"/>
      <c r="D7" s="2472"/>
      <c r="E7" s="2470"/>
      <c r="F7" s="2473"/>
      <c r="G7" s="2473"/>
      <c r="H7" s="2474"/>
      <c r="I7" s="2475">
        <f t="shared" si="0"/>
        <v>0</v>
      </c>
    </row>
    <row r="8" spans="1:9">
      <c r="A8" s="3448"/>
      <c r="B8" s="3449" t="s">
        <v>2481</v>
      </c>
      <c r="C8" s="3449"/>
      <c r="D8" s="2472"/>
      <c r="E8" s="2470"/>
      <c r="F8" s="2473"/>
      <c r="G8" s="2473"/>
      <c r="H8" s="2474"/>
      <c r="I8" s="2475">
        <f t="shared" si="0"/>
        <v>0</v>
      </c>
    </row>
    <row r="9" spans="1:9">
      <c r="A9" s="3448"/>
      <c r="B9" s="3449" t="s">
        <v>2482</v>
      </c>
      <c r="C9" s="3449"/>
      <c r="D9" s="2472"/>
      <c r="E9" s="2470"/>
      <c r="F9" s="2473"/>
      <c r="G9" s="2473"/>
      <c r="H9" s="2474"/>
      <c r="I9" s="2475">
        <f t="shared" si="0"/>
        <v>0</v>
      </c>
    </row>
    <row r="10" spans="1:9">
      <c r="A10" s="3448"/>
      <c r="B10" s="3450" t="s">
        <v>2483</v>
      </c>
      <c r="C10" s="3450"/>
      <c r="D10" s="2476">
        <v>527</v>
      </c>
      <c r="E10" s="2476" t="e">
        <f>ROUND(D1*10000/D10/H9,0)</f>
        <v>#DIV/0!</v>
      </c>
      <c r="F10" s="2477"/>
      <c r="G10" s="2477"/>
      <c r="H10" s="2478"/>
      <c r="I10" s="2479">
        <f>SUM(I3:I9)</f>
        <v>0</v>
      </c>
    </row>
    <row r="11" spans="1:9" ht="15.6">
      <c r="A11" s="3448" t="s">
        <v>2484</v>
      </c>
      <c r="B11" s="3449" t="s">
        <v>2485</v>
      </c>
      <c r="C11" s="3449"/>
      <c r="D11" s="2472" t="s">
        <v>2486</v>
      </c>
      <c r="E11" s="2472" t="s">
        <v>2487</v>
      </c>
      <c r="F11" s="2473" t="s">
        <v>2488</v>
      </c>
      <c r="G11" s="2473" t="s">
        <v>2489</v>
      </c>
      <c r="H11" s="2480" t="s">
        <v>2490</v>
      </c>
      <c r="I11" s="2471" t="s">
        <v>2491</v>
      </c>
    </row>
    <row r="12" spans="1:9">
      <c r="A12" s="3448"/>
      <c r="B12" s="3449" t="s">
        <v>2492</v>
      </c>
      <c r="C12" s="3449"/>
      <c r="D12" s="2472"/>
      <c r="E12" s="2472"/>
      <c r="F12" s="2473"/>
      <c r="G12" s="2474"/>
      <c r="H12" s="2481"/>
      <c r="I12" s="2471">
        <f>ROUND(D12*E12*F12*G12/10000,0)</f>
        <v>0</v>
      </c>
    </row>
    <row r="13" spans="1:9">
      <c r="A13" s="3448"/>
      <c r="B13" s="3449" t="s">
        <v>2493</v>
      </c>
      <c r="C13" s="3449"/>
      <c r="D13" s="2472"/>
      <c r="E13" s="2472"/>
      <c r="F13" s="2473"/>
      <c r="G13" s="2474"/>
      <c r="H13" s="2481"/>
      <c r="I13" s="2471">
        <f>ROUND(D13*E13*F13*G13/10000,0)</f>
        <v>0</v>
      </c>
    </row>
    <row r="14" spans="1:9">
      <c r="A14" s="3448"/>
      <c r="B14" s="3449" t="s">
        <v>2494</v>
      </c>
      <c r="C14" s="3449"/>
      <c r="D14" s="2472"/>
      <c r="E14" s="2472"/>
      <c r="F14" s="2473"/>
      <c r="G14" s="2474"/>
      <c r="H14" s="2481"/>
      <c r="I14" s="2471">
        <f>ROUND(D14*E14*F14*G14/10000,0)</f>
        <v>0</v>
      </c>
    </row>
    <row r="15" spans="1:9">
      <c r="A15" s="3448"/>
      <c r="B15" s="3450" t="s">
        <v>2483</v>
      </c>
      <c r="C15" s="3450"/>
      <c r="D15" s="2476"/>
      <c r="E15" s="2476">
        <f>SUM(E12:E14)</f>
        <v>0</v>
      </c>
      <c r="F15" s="2477"/>
      <c r="G15" s="2474"/>
      <c r="H15" s="2481"/>
      <c r="I15" s="2482">
        <f>SUM(I12:I14)</f>
        <v>0</v>
      </c>
    </row>
    <row r="16" spans="1:9" ht="24">
      <c r="A16" s="3448" t="s">
        <v>2495</v>
      </c>
      <c r="B16" s="3449" t="s">
        <v>2496</v>
      </c>
      <c r="C16" s="3449"/>
      <c r="D16" s="2472" t="s">
        <v>2497</v>
      </c>
      <c r="E16" s="2483" t="s">
        <v>2498</v>
      </c>
      <c r="F16" s="2473" t="s">
        <v>2499</v>
      </c>
      <c r="G16" s="2474" t="s">
        <v>2489</v>
      </c>
      <c r="H16" s="2480" t="s">
        <v>2490</v>
      </c>
      <c r="I16" s="2471" t="s">
        <v>2491</v>
      </c>
    </row>
    <row r="17" spans="1:9" ht="15.6">
      <c r="A17" s="3448"/>
      <c r="B17" s="3449" t="s">
        <v>2500</v>
      </c>
      <c r="C17" s="3449"/>
      <c r="D17" s="2472"/>
      <c r="E17" s="2472"/>
      <c r="F17" s="2473"/>
      <c r="G17" s="2474"/>
      <c r="H17" s="2484"/>
      <c r="I17" s="2485">
        <f>ROUND(D17*E17*F17*G17/10000,0)</f>
        <v>0</v>
      </c>
    </row>
    <row r="18" spans="1:9" ht="15.6">
      <c r="A18" s="3448"/>
      <c r="B18" s="3449" t="s">
        <v>2501</v>
      </c>
      <c r="C18" s="3449"/>
      <c r="D18" s="2472"/>
      <c r="E18" s="2472"/>
      <c r="F18" s="2473"/>
      <c r="G18" s="2474"/>
      <c r="H18" s="2484"/>
      <c r="I18" s="2485">
        <f>ROUND(D18*E18*F18*G18/10000,0)</f>
        <v>0</v>
      </c>
    </row>
    <row r="19" spans="1:9" ht="15.6">
      <c r="A19" s="3448"/>
      <c r="B19" s="3449" t="s">
        <v>2502</v>
      </c>
      <c r="C19" s="3449"/>
      <c r="D19" s="2472"/>
      <c r="E19" s="2472"/>
      <c r="F19" s="2473"/>
      <c r="G19" s="2474"/>
      <c r="H19" s="2484"/>
      <c r="I19" s="2485">
        <f>ROUND(D19*E19*F19*G19/10000,0)</f>
        <v>0</v>
      </c>
    </row>
    <row r="20" spans="1:9">
      <c r="A20" s="3448"/>
      <c r="B20" s="3450" t="s">
        <v>2483</v>
      </c>
      <c r="C20" s="3450"/>
      <c r="D20" s="2476">
        <f>SUM(D17:D19)</f>
        <v>0</v>
      </c>
      <c r="E20" s="2476"/>
      <c r="F20" s="2477"/>
      <c r="G20" s="2474"/>
      <c r="H20" s="2481"/>
      <c r="I20" s="2482">
        <f>SUM(I17:I19)</f>
        <v>0</v>
      </c>
    </row>
    <row r="21" spans="1:9">
      <c r="A21" s="3448" t="s">
        <v>2503</v>
      </c>
      <c r="B21" s="3452"/>
      <c r="C21" s="3452"/>
      <c r="D21" s="3452"/>
      <c r="E21" s="3452"/>
      <c r="F21" s="3452"/>
      <c r="G21" s="3452"/>
      <c r="H21" s="2486">
        <v>0.1</v>
      </c>
      <c r="I21" s="2479">
        <f>ROUND(I10*H21,0)</f>
        <v>0</v>
      </c>
    </row>
    <row r="22" spans="1:9" ht="15.6">
      <c r="A22" s="3453" t="s">
        <v>2504</v>
      </c>
      <c r="B22" s="3454"/>
      <c r="C22" s="3455"/>
      <c r="D22" s="2487" t="s">
        <v>2505</v>
      </c>
      <c r="E22" s="2487" t="s">
        <v>2506</v>
      </c>
      <c r="F22" s="2488" t="s">
        <v>2507</v>
      </c>
      <c r="G22" s="2488" t="s">
        <v>2508</v>
      </c>
      <c r="H22" s="2480" t="s">
        <v>2509</v>
      </c>
      <c r="I22" s="2471" t="s">
        <v>2510</v>
      </c>
    </row>
    <row r="23" spans="1:9" ht="15" thickBot="1">
      <c r="A23" s="3456"/>
      <c r="B23" s="3457"/>
      <c r="C23" s="3458"/>
      <c r="D23" s="2489"/>
      <c r="E23" s="2489"/>
      <c r="F23" s="2489"/>
      <c r="G23" s="2490"/>
      <c r="H23" s="2491"/>
      <c r="I23" s="2492">
        <f>ROUND(E23*D23*F23*(1-G23)/10000,0)</f>
        <v>0</v>
      </c>
    </row>
    <row r="26" spans="1:9">
      <c r="A26" s="2493" t="s">
        <v>2511</v>
      </c>
      <c r="B26" s="2493"/>
      <c r="C26" s="2493"/>
      <c r="D26" s="2493"/>
      <c r="E26" s="3459">
        <f>C27-C30-C31-C32</f>
        <v>0</v>
      </c>
      <c r="F26" s="3459"/>
      <c r="G26" s="3459"/>
      <c r="H26" s="2994" t="s">
        <v>2838</v>
      </c>
    </row>
    <row r="27" spans="1:9">
      <c r="A27" s="2494">
        <v>1</v>
      </c>
      <c r="B27" s="2495" t="s">
        <v>2512</v>
      </c>
      <c r="C27" s="2495"/>
      <c r="D27" s="2495"/>
      <c r="E27" s="3460"/>
      <c r="F27" s="3460"/>
      <c r="G27" s="3460"/>
    </row>
    <row r="28" spans="1:9">
      <c r="A28" s="2496" t="s">
        <v>2513</v>
      </c>
      <c r="B28" s="2495" t="s">
        <v>2514</v>
      </c>
      <c r="C28" s="2495"/>
      <c r="D28" s="2495"/>
      <c r="E28" s="3460"/>
      <c r="F28" s="3460"/>
      <c r="G28" s="3460"/>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51"/>
      <c r="F32" s="3451"/>
      <c r="G32" s="3451"/>
    </row>
    <row r="33" spans="1:7" hidden="1">
      <c r="A33" s="3461" t="s">
        <v>2522</v>
      </c>
      <c r="B33" s="3462"/>
      <c r="C33" s="3462"/>
      <c r="D33" s="3463"/>
      <c r="E33" s="3459"/>
      <c r="F33" s="3459"/>
      <c r="G33" s="3459"/>
    </row>
    <row r="34" spans="1:7" hidden="1">
      <c r="A34" s="2498">
        <v>1</v>
      </c>
      <c r="B34" s="2495" t="s">
        <v>2523</v>
      </c>
      <c r="C34" s="2495"/>
      <c r="D34" s="2495"/>
      <c r="E34" s="3460"/>
      <c r="F34" s="3460"/>
      <c r="G34" s="3460"/>
    </row>
    <row r="35" spans="1:7" hidden="1">
      <c r="A35" s="2498">
        <v>2</v>
      </c>
      <c r="B35" s="2495" t="s">
        <v>2524</v>
      </c>
      <c r="C35" s="2495"/>
      <c r="D35" s="2495"/>
      <c r="E35" s="3460"/>
      <c r="F35" s="3460"/>
      <c r="G35" s="3460"/>
    </row>
    <row r="36" spans="1:7" hidden="1">
      <c r="A36" s="2498">
        <v>3</v>
      </c>
      <c r="B36" s="2495" t="s">
        <v>2525</v>
      </c>
      <c r="C36" s="2495"/>
      <c r="D36" s="2495"/>
      <c r="E36" s="3460"/>
      <c r="F36" s="3460"/>
      <c r="G36" s="3460"/>
    </row>
    <row r="37" spans="1:7" hidden="1">
      <c r="A37" s="2498">
        <v>4</v>
      </c>
      <c r="B37" s="2495" t="s">
        <v>2526</v>
      </c>
      <c r="C37" s="2495"/>
      <c r="D37" s="2495"/>
      <c r="E37" s="3460"/>
      <c r="F37" s="3460"/>
      <c r="G37" s="3460"/>
    </row>
    <row r="38" spans="1:7" hidden="1">
      <c r="A38" s="3461" t="s">
        <v>2527</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122082.72</v>
      </c>
      <c r="E10" s="749">
        <f>'数据-取费表'!B31</f>
        <v>200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750</v>
      </c>
      <c r="D12" s="758">
        <f>'数据-汇总表'!E5</f>
        <v>93780.23</v>
      </c>
      <c r="E12" s="757">
        <f>'数据-取费表'!B27</f>
        <v>80</v>
      </c>
      <c r="F12" s="755"/>
      <c r="G12" s="759"/>
    </row>
    <row r="13" spans="1:25" s="2167" customFormat="1" ht="13.5" customHeight="1">
      <c r="A13" s="2439" t="s">
        <v>2443</v>
      </c>
      <c r="B13" s="756" t="s">
        <v>612</v>
      </c>
      <c r="C13" s="757">
        <f>ROUND(D13*E13/10000,0)</f>
        <v>453</v>
      </c>
      <c r="D13" s="758">
        <f>'数据-汇总表'!E6</f>
        <v>28302.490000000005</v>
      </c>
      <c r="E13" s="757">
        <f>'数据-取费表'!B28</f>
        <v>160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0.94899999999999995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zoomScale="85" zoomScaleNormal="85" workbookViewId="0">
      <selection activeCell="K30" sqref="K30"/>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3024</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127438</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13589</v>
      </c>
      <c r="C3" s="852" t="s">
        <v>722</v>
      </c>
      <c r="D3" s="851">
        <f>SUMIF('数据-汇总表'!$C19:$C33,D1,'数据-汇总表'!$E19:$E33)</f>
        <v>93780.23</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2" t="s">
        <v>521</v>
      </c>
      <c r="B4" s="513"/>
      <c r="C4" s="3354" t="s">
        <v>522</v>
      </c>
      <c r="D4" s="3355"/>
      <c r="E4" s="3388" t="s">
        <v>523</v>
      </c>
      <c r="F4" s="3389"/>
      <c r="G4" s="3354" t="s">
        <v>524</v>
      </c>
      <c r="H4" s="3355"/>
      <c r="I4" s="3354" t="s">
        <v>525</v>
      </c>
      <c r="J4" s="3355"/>
      <c r="K4" s="853" t="s">
        <v>526</v>
      </c>
      <c r="L4" s="2117"/>
      <c r="M4" s="2118"/>
      <c r="N4" s="2118"/>
      <c r="O4" s="2118"/>
      <c r="P4" s="3356" t="s">
        <v>527</v>
      </c>
      <c r="Q4" s="3357"/>
      <c r="R4" s="3362" t="s">
        <v>523</v>
      </c>
      <c r="S4" s="3363"/>
      <c r="T4" s="3362" t="s">
        <v>524</v>
      </c>
      <c r="U4" s="3363"/>
      <c r="V4" s="3349" t="s">
        <v>525</v>
      </c>
      <c r="W4" s="3349"/>
      <c r="X4" s="1553"/>
      <c r="Y4" s="3362" t="s">
        <v>527</v>
      </c>
      <c r="Z4" s="3363"/>
      <c r="AA4" s="3351" t="s">
        <v>523</v>
      </c>
      <c r="AB4" s="3351" t="s">
        <v>524</v>
      </c>
      <c r="AC4" s="3351" t="s">
        <v>525</v>
      </c>
    </row>
    <row r="5" spans="1:29">
      <c r="A5" s="515"/>
      <c r="B5" s="516"/>
      <c r="C5" s="3370" t="s">
        <v>2926</v>
      </c>
      <c r="D5" s="3371"/>
      <c r="E5" s="3484" t="s">
        <v>3027</v>
      </c>
      <c r="F5" s="3391"/>
      <c r="G5" s="3490" t="s">
        <v>3053</v>
      </c>
      <c r="H5" s="3371"/>
      <c r="I5" s="3489" t="s">
        <v>3052</v>
      </c>
      <c r="J5" s="3371"/>
      <c r="K5" s="854"/>
      <c r="L5" s="2117"/>
      <c r="M5" s="2118"/>
      <c r="N5" s="2118"/>
      <c r="O5" s="2118"/>
      <c r="P5" s="3358"/>
      <c r="Q5" s="3359"/>
      <c r="R5" s="3364"/>
      <c r="S5" s="3365"/>
      <c r="T5" s="3364"/>
      <c r="U5" s="3365"/>
      <c r="V5" s="3349"/>
      <c r="W5" s="3349"/>
      <c r="X5" s="1553"/>
      <c r="Y5" s="3364"/>
      <c r="Z5" s="3365"/>
      <c r="AA5" s="3352"/>
      <c r="AB5" s="3352"/>
      <c r="AC5" s="3352"/>
    </row>
    <row r="6" spans="1:29" ht="15" thickBot="1">
      <c r="A6" s="517"/>
      <c r="B6" s="518"/>
      <c r="C6" s="3368" t="s">
        <v>2930</v>
      </c>
      <c r="D6" s="3369"/>
      <c r="E6" s="3386" t="s">
        <v>2930</v>
      </c>
      <c r="F6" s="3387"/>
      <c r="G6" s="3368" t="s">
        <v>2930</v>
      </c>
      <c r="H6" s="3369"/>
      <c r="I6" s="3368" t="s">
        <v>2930</v>
      </c>
      <c r="J6" s="3369"/>
      <c r="K6" s="854" t="s">
        <v>528</v>
      </c>
      <c r="L6" s="2117"/>
      <c r="M6" s="2118"/>
      <c r="N6" s="2118"/>
      <c r="O6" s="2118"/>
      <c r="P6" s="3360"/>
      <c r="Q6" s="3361"/>
      <c r="R6" s="3364"/>
      <c r="S6" s="3365"/>
      <c r="T6" s="3366"/>
      <c r="U6" s="3367"/>
      <c r="V6" s="3349"/>
      <c r="W6" s="3349"/>
      <c r="X6" s="1553"/>
      <c r="Y6" s="3366"/>
      <c r="Z6" s="3367"/>
      <c r="AA6" s="3353"/>
      <c r="AB6" s="3353"/>
      <c r="AC6" s="3353"/>
    </row>
    <row r="7" spans="1:29" s="1215" customFormat="1" ht="15" thickBot="1">
      <c r="A7" s="2866"/>
      <c r="B7" s="2873" t="s">
        <v>529</v>
      </c>
      <c r="C7" s="519">
        <f>'数据-取费表'!B2</f>
        <v>43895</v>
      </c>
      <c r="D7" s="520">
        <v>100</v>
      </c>
      <c r="E7" s="521">
        <f>C7</f>
        <v>43895</v>
      </c>
      <c r="F7" s="522">
        <f>SUMIF(58:58,YEAR(E7)&amp;"-"&amp;MONTH(E7),59:59)</f>
        <v>100</v>
      </c>
      <c r="G7" s="523">
        <f>E7</f>
        <v>43895</v>
      </c>
      <c r="H7" s="520">
        <f>SUMIF(58:58,YEAR(G7)&amp;"-"&amp;MONTH(G7),59:59)</f>
        <v>100</v>
      </c>
      <c r="I7" s="523">
        <f>G7</f>
        <v>43895</v>
      </c>
      <c r="J7" s="520">
        <f>SUMIF(58:58,YEAR(I7)&amp;"-"&amp;MONTH(I7),59:59)</f>
        <v>100</v>
      </c>
      <c r="K7" s="855"/>
      <c r="L7" s="2119"/>
      <c r="M7" s="2120"/>
      <c r="N7" s="2120"/>
      <c r="O7" s="2120"/>
      <c r="P7" s="3379" t="s">
        <v>530</v>
      </c>
      <c r="Q7" s="3381"/>
      <c r="R7" s="1554" t="s">
        <v>13</v>
      </c>
      <c r="S7" s="1555">
        <f t="shared" ref="S7:S15" si="0">F7</f>
        <v>100</v>
      </c>
      <c r="T7" s="1554" t="s">
        <v>13</v>
      </c>
      <c r="U7" s="1555">
        <f t="shared" ref="U7:U15" si="1">H7</f>
        <v>100</v>
      </c>
      <c r="V7" s="1554" t="s">
        <v>13</v>
      </c>
      <c r="W7" s="1555">
        <f t="shared" ref="W7:W15" si="2">J7</f>
        <v>100</v>
      </c>
      <c r="X7" s="1556"/>
      <c r="Y7" s="3379" t="s">
        <v>530</v>
      </c>
      <c r="Z7" s="3380"/>
      <c r="AA7" s="1557">
        <f>D7/F7</f>
        <v>1</v>
      </c>
      <c r="AB7" s="1557">
        <f>D7/H7</f>
        <v>1</v>
      </c>
      <c r="AC7" s="1557">
        <f>D7/J7</f>
        <v>1</v>
      </c>
    </row>
    <row r="8" spans="1:29" s="1215" customFormat="1" ht="15" thickBot="1">
      <c r="A8" s="2867"/>
      <c r="B8" s="2874" t="s">
        <v>531</v>
      </c>
      <c r="C8" s="525" t="s">
        <v>576</v>
      </c>
      <c r="D8" s="520">
        <v>100</v>
      </c>
      <c r="E8" s="856" t="s">
        <v>3026</v>
      </c>
      <c r="F8" s="522">
        <f>SUMIF(61:61,E8,62:62)-SUMIF(61:61,C8,62:62)+100</f>
        <v>100</v>
      </c>
      <c r="G8" s="525" t="s">
        <v>3026</v>
      </c>
      <c r="H8" s="520">
        <f>SUMIF(61:61,G8,62:62)-SUMIF(61:61,C8,62:62)+100</f>
        <v>100</v>
      </c>
      <c r="I8" s="856" t="s">
        <v>3026</v>
      </c>
      <c r="J8" s="520">
        <f>SUMIF(61:61,I8,62:62)-SUMIF(61:61,C8,62:62)+100</f>
        <v>100</v>
      </c>
      <c r="K8" s="855"/>
      <c r="L8" s="2119"/>
      <c r="M8" s="2120"/>
      <c r="N8" s="2120"/>
      <c r="O8" s="2120"/>
      <c r="P8" s="3379" t="s">
        <v>533</v>
      </c>
      <c r="Q8" s="3380"/>
      <c r="R8" s="1554" t="s">
        <v>13</v>
      </c>
      <c r="S8" s="1555">
        <f t="shared" si="0"/>
        <v>100</v>
      </c>
      <c r="T8" s="1554" t="s">
        <v>13</v>
      </c>
      <c r="U8" s="1555">
        <f t="shared" si="1"/>
        <v>100</v>
      </c>
      <c r="V8" s="1554" t="s">
        <v>13</v>
      </c>
      <c r="W8" s="1555">
        <f t="shared" si="2"/>
        <v>100</v>
      </c>
      <c r="X8" s="1556"/>
      <c r="Y8" s="3379" t="s">
        <v>533</v>
      </c>
      <c r="Z8" s="3380"/>
      <c r="AA8" s="1557">
        <f t="shared" ref="AA8:AA46" si="3">D8/F8</f>
        <v>1</v>
      </c>
      <c r="AB8" s="1557">
        <f t="shared" ref="AB8:AB46" si="4">D8/H8</f>
        <v>1</v>
      </c>
      <c r="AC8" s="1557">
        <f t="shared" ref="AC8:AC46" si="5">D8/J8</f>
        <v>1</v>
      </c>
    </row>
    <row r="9" spans="1:29" s="1215" customFormat="1" ht="14.4">
      <c r="A9" s="2868"/>
      <c r="B9" s="2875" t="s">
        <v>2751</v>
      </c>
      <c r="C9" s="3488" t="s">
        <v>3049</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48" t="s">
        <v>535</v>
      </c>
      <c r="Q9" s="1146" t="str">
        <f t="shared" ref="Q9:Q15" si="6">B9</f>
        <v>用途</v>
      </c>
      <c r="R9" s="1554" t="s">
        <v>8</v>
      </c>
      <c r="S9" s="1555">
        <f t="shared" si="0"/>
        <v>100</v>
      </c>
      <c r="T9" s="1554" t="s">
        <v>8</v>
      </c>
      <c r="U9" s="1555">
        <f t="shared" si="1"/>
        <v>100</v>
      </c>
      <c r="V9" s="1554" t="s">
        <v>8</v>
      </c>
      <c r="W9" s="1555">
        <f t="shared" si="2"/>
        <v>100</v>
      </c>
      <c r="X9" s="1556"/>
      <c r="Y9" s="3294" t="s">
        <v>536</v>
      </c>
      <c r="Z9" s="1145" t="str">
        <f t="shared" ref="Z9:Z15" si="7">Q9</f>
        <v>用途</v>
      </c>
      <c r="AA9" s="1557">
        <f t="shared" si="3"/>
        <v>1</v>
      </c>
      <c r="AB9" s="1557">
        <f t="shared" si="4"/>
        <v>1</v>
      </c>
      <c r="AC9" s="1557">
        <f t="shared" si="5"/>
        <v>1</v>
      </c>
    </row>
    <row r="10" spans="1:29" s="1333" customFormat="1" ht="28.8">
      <c r="A10" s="2869"/>
      <c r="B10" s="2874" t="s">
        <v>2752</v>
      </c>
      <c r="C10" s="861" t="s">
        <v>3025</v>
      </c>
      <c r="D10" s="255">
        <v>100</v>
      </c>
      <c r="E10" s="862" t="s">
        <v>3025</v>
      </c>
      <c r="F10" s="863">
        <f>SUMIF(65:65,E10,66:66)-SUMIF(65:65,C10,66:66)+100</f>
        <v>100</v>
      </c>
      <c r="G10" s="861" t="s">
        <v>3025</v>
      </c>
      <c r="H10" s="255">
        <f>SUMIF(65:65,G10,66:66)-SUMIF(65:65,C10,66:66)+100</f>
        <v>100</v>
      </c>
      <c r="I10" s="861" t="s">
        <v>3025</v>
      </c>
      <c r="J10" s="255">
        <f>SUMIF(65:65,I10,66:66)-SUMIF(65:65,C10,66:66)+100</f>
        <v>100</v>
      </c>
      <c r="K10" s="864">
        <v>1</v>
      </c>
      <c r="L10" s="2122"/>
      <c r="M10" s="2162"/>
      <c r="N10" s="2162"/>
      <c r="O10" s="2123"/>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0"/>
      <c r="B11" s="2874" t="s">
        <v>2753</v>
      </c>
      <c r="C11" s="533">
        <f>'数据-汇总表'!I6</f>
        <v>7.53</v>
      </c>
      <c r="D11" s="255">
        <v>100</v>
      </c>
      <c r="E11" s="534">
        <v>4.16</v>
      </c>
      <c r="F11" s="863">
        <f>LOOKUP(E11,68:68,69:69)-LOOKUP(C11,68:68,69:69)+100</f>
        <v>106</v>
      </c>
      <c r="G11" s="533">
        <v>4.72</v>
      </c>
      <c r="H11" s="255">
        <f>LOOKUP(G11,68:68,69:69)-LOOKUP(C11,68:68,69:69)+100</f>
        <v>106</v>
      </c>
      <c r="I11" s="533">
        <v>6.29</v>
      </c>
      <c r="J11" s="255">
        <f>LOOKUP(I11,68:68,69:69)-LOOKUP(C11,68:68,69:69)+100</f>
        <v>102</v>
      </c>
      <c r="K11" s="864">
        <v>2</v>
      </c>
      <c r="L11" s="2124"/>
      <c r="M11" s="2118"/>
      <c r="N11" s="2118"/>
      <c r="O11" s="2125"/>
      <c r="P11" s="3348"/>
      <c r="Q11" s="1146" t="str">
        <f t="shared" si="6"/>
        <v>容积率</v>
      </c>
      <c r="R11" s="1554" t="s">
        <v>11</v>
      </c>
      <c r="S11" s="1555">
        <f t="shared" si="0"/>
        <v>106</v>
      </c>
      <c r="T11" s="1554" t="s">
        <v>11</v>
      </c>
      <c r="U11" s="1555">
        <f t="shared" si="1"/>
        <v>106</v>
      </c>
      <c r="V11" s="1554" t="s">
        <v>11</v>
      </c>
      <c r="W11" s="1555">
        <f t="shared" si="2"/>
        <v>102</v>
      </c>
      <c r="X11" s="1556"/>
      <c r="Y11" s="3294"/>
      <c r="Z11" s="1145" t="str">
        <f t="shared" si="7"/>
        <v>容积率</v>
      </c>
      <c r="AA11" s="1557">
        <f t="shared" si="3"/>
        <v>0.94339622641509435</v>
      </c>
      <c r="AB11" s="1557">
        <f t="shared" si="4"/>
        <v>0.94339622641509435</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48"/>
      <c r="Q12" s="1146">
        <f t="shared" si="6"/>
        <v>111</v>
      </c>
      <c r="R12" s="1554" t="s">
        <v>11</v>
      </c>
      <c r="S12" s="1555">
        <f t="shared" si="0"/>
        <v>100</v>
      </c>
      <c r="T12" s="1554" t="s">
        <v>11</v>
      </c>
      <c r="U12" s="1555">
        <f t="shared" si="1"/>
        <v>100</v>
      </c>
      <c r="V12" s="1554" t="s">
        <v>11</v>
      </c>
      <c r="W12" s="1555">
        <f t="shared" si="2"/>
        <v>100</v>
      </c>
      <c r="X12" s="1556"/>
      <c r="Y12" s="3294"/>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48"/>
      <c r="Q13" s="1146">
        <f t="shared" si="6"/>
        <v>111</v>
      </c>
      <c r="R13" s="1554" t="s">
        <v>11</v>
      </c>
      <c r="S13" s="1555">
        <f t="shared" si="0"/>
        <v>100</v>
      </c>
      <c r="T13" s="1554" t="s">
        <v>11</v>
      </c>
      <c r="U13" s="1555">
        <f t="shared" si="1"/>
        <v>100</v>
      </c>
      <c r="V13" s="1554" t="s">
        <v>11</v>
      </c>
      <c r="W13" s="1555">
        <f t="shared" si="2"/>
        <v>100</v>
      </c>
      <c r="X13" s="1556"/>
      <c r="Y13" s="3294"/>
      <c r="Z13" s="1145">
        <f t="shared" si="7"/>
        <v>111</v>
      </c>
      <c r="AA13" s="1557">
        <f t="shared" si="3"/>
        <v>1</v>
      </c>
      <c r="AB13" s="1557">
        <f t="shared" si="4"/>
        <v>1</v>
      </c>
      <c r="AC13" s="1557">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48"/>
      <c r="Q14" s="1146">
        <f t="shared" si="6"/>
        <v>111</v>
      </c>
      <c r="R14" s="1554" t="s">
        <v>11</v>
      </c>
      <c r="S14" s="1555">
        <f t="shared" si="0"/>
        <v>100</v>
      </c>
      <c r="T14" s="1554" t="s">
        <v>11</v>
      </c>
      <c r="U14" s="1555">
        <f t="shared" si="1"/>
        <v>100</v>
      </c>
      <c r="V14" s="1554" t="s">
        <v>11</v>
      </c>
      <c r="W14" s="1555">
        <f t="shared" si="2"/>
        <v>100</v>
      </c>
      <c r="X14" s="1556"/>
      <c r="Y14" s="3294"/>
      <c r="Z14" s="1145">
        <f t="shared" si="7"/>
        <v>111</v>
      </c>
      <c r="AA14" s="1557">
        <f t="shared" si="3"/>
        <v>1</v>
      </c>
      <c r="AB14" s="1557">
        <f t="shared" si="4"/>
        <v>1</v>
      </c>
      <c r="AC14" s="1557">
        <f t="shared" si="5"/>
        <v>1</v>
      </c>
    </row>
    <row r="15" spans="1:29" ht="96.6">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382" t="s">
        <v>540</v>
      </c>
      <c r="Q15" s="1558" t="str">
        <f t="shared" si="6"/>
        <v>居住社区成熟度</v>
      </c>
      <c r="R15" s="1559" t="s">
        <v>11</v>
      </c>
      <c r="S15" s="1560">
        <f t="shared" si="0"/>
        <v>100</v>
      </c>
      <c r="T15" s="1559" t="s">
        <v>11</v>
      </c>
      <c r="U15" s="1560">
        <f t="shared" si="1"/>
        <v>100</v>
      </c>
      <c r="V15" s="1559" t="s">
        <v>11</v>
      </c>
      <c r="W15" s="1560">
        <f t="shared" si="2"/>
        <v>100</v>
      </c>
      <c r="X15" s="1553"/>
      <c r="Y15" s="3382" t="s">
        <v>540</v>
      </c>
      <c r="Z15" s="1561" t="str">
        <f t="shared" si="7"/>
        <v>居住社区成熟度</v>
      </c>
      <c r="AA15" s="1562">
        <f t="shared" si="3"/>
        <v>1</v>
      </c>
      <c r="AB15" s="1562">
        <f t="shared" si="4"/>
        <v>1</v>
      </c>
      <c r="AC15" s="1562">
        <f t="shared" si="5"/>
        <v>1</v>
      </c>
    </row>
    <row r="16" spans="1:29" ht="15">
      <c r="A16" s="532"/>
      <c r="B16" s="869"/>
      <c r="C16" s="576" t="s">
        <v>3050</v>
      </c>
      <c r="D16" s="555"/>
      <c r="E16" s="576" t="s">
        <v>3050</v>
      </c>
      <c r="F16" s="557"/>
      <c r="G16" s="576" t="s">
        <v>3050</v>
      </c>
      <c r="H16" s="559"/>
      <c r="I16" s="576" t="s">
        <v>3050</v>
      </c>
      <c r="J16" s="555"/>
      <c r="K16" s="870"/>
      <c r="L16" s="2126"/>
      <c r="M16" s="2118"/>
      <c r="N16" s="2118"/>
      <c r="O16" s="2125"/>
      <c r="P16" s="3383"/>
      <c r="Q16" s="1558"/>
      <c r="R16" s="1559"/>
      <c r="S16" s="1560"/>
      <c r="T16" s="1559"/>
      <c r="U16" s="1560"/>
      <c r="V16" s="1559"/>
      <c r="W16" s="1560"/>
      <c r="X16" s="1553"/>
      <c r="Y16" s="3383"/>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383"/>
      <c r="Q17" s="1558" t="str">
        <f>B17</f>
        <v>交通便捷度</v>
      </c>
      <c r="R17" s="1559" t="s">
        <v>11</v>
      </c>
      <c r="S17" s="1560">
        <f>F17</f>
        <v>100</v>
      </c>
      <c r="T17" s="1559" t="s">
        <v>11</v>
      </c>
      <c r="U17" s="1560">
        <f>H17</f>
        <v>100</v>
      </c>
      <c r="V17" s="1559" t="s">
        <v>11</v>
      </c>
      <c r="W17" s="1560">
        <f>J17</f>
        <v>100</v>
      </c>
      <c r="X17" s="1553"/>
      <c r="Y17" s="3383"/>
      <c r="Z17" s="1561" t="str">
        <f>Q17</f>
        <v>交通便捷度</v>
      </c>
      <c r="AA17" s="1562">
        <f t="shared" si="3"/>
        <v>1</v>
      </c>
      <c r="AB17" s="1562">
        <f t="shared" si="4"/>
        <v>1</v>
      </c>
      <c r="AC17" s="1562">
        <f t="shared" si="5"/>
        <v>1</v>
      </c>
    </row>
    <row r="18" spans="1:29" ht="15">
      <c r="A18" s="532"/>
      <c r="B18" s="595"/>
      <c r="C18" s="873" t="s">
        <v>3050</v>
      </c>
      <c r="D18" s="559"/>
      <c r="E18" s="576" t="s">
        <v>3050</v>
      </c>
      <c r="F18" s="563"/>
      <c r="G18" s="576" t="s">
        <v>3050</v>
      </c>
      <c r="H18" s="555"/>
      <c r="I18" s="576" t="s">
        <v>3050</v>
      </c>
      <c r="J18" s="555"/>
      <c r="K18" s="870"/>
      <c r="L18" s="2126"/>
      <c r="M18" s="2118"/>
      <c r="N18" s="2118"/>
      <c r="O18" s="2125"/>
      <c r="P18" s="3383"/>
      <c r="Q18" s="1558"/>
      <c r="R18" s="1559"/>
      <c r="S18" s="1560"/>
      <c r="T18" s="1559"/>
      <c r="U18" s="1560"/>
      <c r="V18" s="1559"/>
      <c r="W18" s="1560"/>
      <c r="X18" s="1553"/>
      <c r="Y18" s="3383"/>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383"/>
      <c r="Q19" s="1558" t="str">
        <f>B19</f>
        <v>公共配套设施</v>
      </c>
      <c r="R19" s="1559" t="s">
        <v>11</v>
      </c>
      <c r="S19" s="1560">
        <f>F19</f>
        <v>100</v>
      </c>
      <c r="T19" s="1559" t="s">
        <v>11</v>
      </c>
      <c r="U19" s="1560">
        <f>H19</f>
        <v>100</v>
      </c>
      <c r="V19" s="1559" t="s">
        <v>11</v>
      </c>
      <c r="W19" s="1560">
        <f>J19</f>
        <v>100</v>
      </c>
      <c r="X19" s="1553"/>
      <c r="Y19" s="3383"/>
      <c r="Z19" s="1561" t="str">
        <f>Q19</f>
        <v>公共配套设施</v>
      </c>
      <c r="AA19" s="1562">
        <f t="shared" si="3"/>
        <v>1</v>
      </c>
      <c r="AB19" s="1562">
        <f t="shared" si="4"/>
        <v>1</v>
      </c>
      <c r="AC19" s="1562">
        <f t="shared" si="5"/>
        <v>1</v>
      </c>
    </row>
    <row r="20" spans="1:29" ht="15">
      <c r="A20" s="532"/>
      <c r="B20" s="595"/>
      <c r="C20" s="576" t="s">
        <v>3050</v>
      </c>
      <c r="D20" s="555"/>
      <c r="E20" s="576" t="s">
        <v>3050</v>
      </c>
      <c r="F20" s="557"/>
      <c r="G20" s="576" t="s">
        <v>3050</v>
      </c>
      <c r="H20" s="555"/>
      <c r="I20" s="576" t="s">
        <v>3050</v>
      </c>
      <c r="J20" s="555"/>
      <c r="K20" s="870"/>
      <c r="L20" s="2126"/>
      <c r="M20" s="2118"/>
      <c r="N20" s="2118"/>
      <c r="O20" s="2125"/>
      <c r="P20" s="3383"/>
      <c r="Q20" s="1558"/>
      <c r="R20" s="1559"/>
      <c r="S20" s="1560"/>
      <c r="T20" s="1559"/>
      <c r="U20" s="1560"/>
      <c r="V20" s="1559"/>
      <c r="W20" s="1560"/>
      <c r="X20" s="1553"/>
      <c r="Y20" s="3383"/>
      <c r="Z20" s="1561"/>
      <c r="AA20" s="1562">
        <v>1</v>
      </c>
      <c r="AB20" s="1562">
        <v>1</v>
      </c>
      <c r="AC20" s="1562">
        <v>1</v>
      </c>
    </row>
    <row r="21" spans="1:29" ht="27.6">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83"/>
      <c r="Q21" s="2542" t="str">
        <f>B21</f>
        <v>基础设施水平</v>
      </c>
      <c r="R21" s="1559" t="s">
        <v>11</v>
      </c>
      <c r="S21" s="1560">
        <f>F21</f>
        <v>100</v>
      </c>
      <c r="T21" s="1559" t="s">
        <v>11</v>
      </c>
      <c r="U21" s="1560">
        <f>H21</f>
        <v>100</v>
      </c>
      <c r="V21" s="1559" t="s">
        <v>11</v>
      </c>
      <c r="W21" s="1560">
        <f>J21</f>
        <v>100</v>
      </c>
      <c r="X21" s="2544"/>
      <c r="Y21" s="3383"/>
      <c r="Z21" s="2543" t="str">
        <f>Q21</f>
        <v>基础设施水平</v>
      </c>
      <c r="AA21" s="1562">
        <f t="shared" ref="AA21" si="8">D21/F21</f>
        <v>1</v>
      </c>
      <c r="AB21" s="1562">
        <f t="shared" ref="AB21" si="9">D21/H21</f>
        <v>1</v>
      </c>
      <c r="AC21" s="1562">
        <f t="shared" ref="AC21" si="10">D21/J21</f>
        <v>1</v>
      </c>
    </row>
    <row r="22" spans="1:29" ht="15">
      <c r="A22" s="532"/>
      <c r="B22" s="921"/>
      <c r="C22" s="873" t="s">
        <v>3045</v>
      </c>
      <c r="D22" s="555"/>
      <c r="E22" s="576" t="s">
        <v>3045</v>
      </c>
      <c r="F22" s="557"/>
      <c r="G22" s="576" t="s">
        <v>3045</v>
      </c>
      <c r="H22" s="555"/>
      <c r="I22" s="576" t="s">
        <v>3045</v>
      </c>
      <c r="J22" s="555"/>
      <c r="K22" s="2562"/>
      <c r="L22" s="2126"/>
      <c r="M22" s="2118"/>
      <c r="N22" s="2118"/>
      <c r="O22" s="2125"/>
      <c r="P22" s="3383"/>
      <c r="Q22" s="2542"/>
      <c r="R22" s="1559"/>
      <c r="S22" s="1560"/>
      <c r="T22" s="1559"/>
      <c r="U22" s="1560"/>
      <c r="V22" s="1559"/>
      <c r="W22" s="1560"/>
      <c r="X22" s="2544"/>
      <c r="Y22" s="3383"/>
      <c r="Z22" s="2543"/>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383"/>
      <c r="Q23" s="1558" t="str">
        <f>B23</f>
        <v>自然及人文环境</v>
      </c>
      <c r="R23" s="1559" t="s">
        <v>11</v>
      </c>
      <c r="S23" s="1560">
        <f>F23</f>
        <v>100</v>
      </c>
      <c r="T23" s="1559" t="s">
        <v>11</v>
      </c>
      <c r="U23" s="1560">
        <f>H23</f>
        <v>100</v>
      </c>
      <c r="V23" s="1559" t="s">
        <v>11</v>
      </c>
      <c r="W23" s="1560">
        <f>J23</f>
        <v>100</v>
      </c>
      <c r="X23" s="1553"/>
      <c r="Y23" s="3383"/>
      <c r="Z23" s="1561" t="str">
        <f>Q23</f>
        <v>自然及人文环境</v>
      </c>
      <c r="AA23" s="1562">
        <f t="shared" si="3"/>
        <v>1</v>
      </c>
      <c r="AB23" s="1562">
        <f t="shared" si="4"/>
        <v>1</v>
      </c>
      <c r="AC23" s="1562">
        <f t="shared" si="5"/>
        <v>1</v>
      </c>
    </row>
    <row r="24" spans="1:29" ht="15">
      <c r="A24" s="532"/>
      <c r="B24" s="595"/>
      <c r="C24" s="576" t="s">
        <v>3050</v>
      </c>
      <c r="D24" s="555"/>
      <c r="E24" s="576" t="s">
        <v>3050</v>
      </c>
      <c r="F24" s="557"/>
      <c r="G24" s="576" t="s">
        <v>3050</v>
      </c>
      <c r="H24" s="555"/>
      <c r="I24" s="576" t="s">
        <v>3050</v>
      </c>
      <c r="J24" s="555"/>
      <c r="K24" s="870"/>
      <c r="L24" s="2126"/>
      <c r="M24" s="2118"/>
      <c r="N24" s="2118"/>
      <c r="O24" s="2125"/>
      <c r="P24" s="3383"/>
      <c r="Q24" s="1558"/>
      <c r="R24" s="1559"/>
      <c r="S24" s="1560"/>
      <c r="T24" s="1559"/>
      <c r="U24" s="1560"/>
      <c r="V24" s="1559"/>
      <c r="W24" s="1560"/>
      <c r="X24" s="1553"/>
      <c r="Y24" s="3383"/>
      <c r="Z24" s="1561"/>
      <c r="AA24" s="1562">
        <v>1</v>
      </c>
      <c r="AB24" s="1562">
        <v>1</v>
      </c>
      <c r="AC24" s="1562">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3"/>
      <c r="Q25" s="1558" t="str">
        <f t="shared" ref="Q25:Q46" si="11">B25</f>
        <v>楼层-1</v>
      </c>
      <c r="R25" s="1559" t="s">
        <v>11</v>
      </c>
      <c r="S25" s="1560">
        <f>F25</f>
        <v>100</v>
      </c>
      <c r="T25" s="1559" t="s">
        <v>11</v>
      </c>
      <c r="U25" s="1560">
        <f>H25</f>
        <v>100</v>
      </c>
      <c r="V25" s="1559" t="s">
        <v>11</v>
      </c>
      <c r="W25" s="1560">
        <f>J25</f>
        <v>100</v>
      </c>
      <c r="X25" s="1553"/>
      <c r="Y25" s="338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3"/>
      <c r="Q26" s="1558" t="str">
        <f t="shared" si="11"/>
        <v>朝向</v>
      </c>
      <c r="R26" s="1559" t="s">
        <v>11</v>
      </c>
      <c r="S26" s="1560">
        <f>F26</f>
        <v>100</v>
      </c>
      <c r="T26" s="1559" t="s">
        <v>11</v>
      </c>
      <c r="U26" s="1560">
        <f>H26</f>
        <v>100</v>
      </c>
      <c r="V26" s="1559" t="s">
        <v>11</v>
      </c>
      <c r="W26" s="1560">
        <f>J26</f>
        <v>100</v>
      </c>
      <c r="X26" s="1553"/>
      <c r="Y26" s="3383"/>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3"/>
      <c r="Q27" s="1146" t="str">
        <f t="shared" si="11"/>
        <v>道路级别</v>
      </c>
      <c r="R27" s="1554" t="s">
        <v>11</v>
      </c>
      <c r="S27" s="1555">
        <f>F27</f>
        <v>100</v>
      </c>
      <c r="T27" s="1554" t="s">
        <v>11</v>
      </c>
      <c r="U27" s="1555">
        <f>H27</f>
        <v>100</v>
      </c>
      <c r="V27" s="1554" t="s">
        <v>11</v>
      </c>
      <c r="W27" s="1555">
        <f>J27</f>
        <v>100</v>
      </c>
      <c r="X27" s="1556"/>
      <c r="Y27" s="3383"/>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3"/>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3"/>
      <c r="Q29" s="1558">
        <f t="shared" si="11"/>
        <v>111</v>
      </c>
      <c r="R29" s="1559" t="s">
        <v>11</v>
      </c>
      <c r="S29" s="1560">
        <f t="shared" si="12"/>
        <v>100</v>
      </c>
      <c r="T29" s="1559" t="s">
        <v>11</v>
      </c>
      <c r="U29" s="1560">
        <f t="shared" si="13"/>
        <v>100</v>
      </c>
      <c r="V29" s="1559" t="s">
        <v>11</v>
      </c>
      <c r="W29" s="1560">
        <f t="shared" si="14"/>
        <v>100</v>
      </c>
      <c r="X29" s="1553"/>
      <c r="Y29" s="338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3"/>
      <c r="Q30" s="1558">
        <f t="shared" si="11"/>
        <v>111</v>
      </c>
      <c r="R30" s="1559" t="s">
        <v>11</v>
      </c>
      <c r="S30" s="1560">
        <f t="shared" si="12"/>
        <v>100</v>
      </c>
      <c r="T30" s="1559" t="s">
        <v>11</v>
      </c>
      <c r="U30" s="1560">
        <f t="shared" si="13"/>
        <v>100</v>
      </c>
      <c r="V30" s="1559" t="s">
        <v>11</v>
      </c>
      <c r="W30" s="1560">
        <f t="shared" si="14"/>
        <v>100</v>
      </c>
      <c r="X30" s="1553"/>
      <c r="Y30" s="3383"/>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3"/>
      <c r="Q31" s="1558">
        <f t="shared" si="11"/>
        <v>111</v>
      </c>
      <c r="R31" s="1559" t="s">
        <v>11</v>
      </c>
      <c r="S31" s="1560">
        <f t="shared" si="12"/>
        <v>100</v>
      </c>
      <c r="T31" s="1559" t="s">
        <v>11</v>
      </c>
      <c r="U31" s="1560">
        <f t="shared" si="13"/>
        <v>100</v>
      </c>
      <c r="V31" s="1559" t="s">
        <v>11</v>
      </c>
      <c r="W31" s="1560">
        <f t="shared" si="14"/>
        <v>100</v>
      </c>
      <c r="X31" s="1553"/>
      <c r="Y31" s="3383"/>
      <c r="Z31" s="1561">
        <f t="shared" si="15"/>
        <v>111</v>
      </c>
      <c r="AA31" s="1562">
        <f t="shared" si="3"/>
        <v>1</v>
      </c>
      <c r="AB31" s="1562">
        <f t="shared" si="4"/>
        <v>1</v>
      </c>
      <c r="AC31" s="1562">
        <f t="shared" si="5"/>
        <v>1</v>
      </c>
    </row>
    <row r="32" spans="1:29" ht="15">
      <c r="A32" s="2861" t="s">
        <v>2750</v>
      </c>
      <c r="B32" s="172" t="s">
        <v>725</v>
      </c>
      <c r="C32" s="878" t="s">
        <v>3028</v>
      </c>
      <c r="D32" s="597">
        <v>100</v>
      </c>
      <c r="E32" s="878" t="s">
        <v>3030</v>
      </c>
      <c r="F32" s="575">
        <f>SUMIF(100:100,E32,101:101)-SUMIF(100:100,C32,101:101)+100</f>
        <v>95</v>
      </c>
      <c r="G32" s="878" t="s">
        <v>3028</v>
      </c>
      <c r="H32" s="597">
        <f>SUMIF(100:100,G32,101:101)-SUMIF(100:100,C32,101:101)+100</f>
        <v>100</v>
      </c>
      <c r="I32" s="878" t="s">
        <v>3028</v>
      </c>
      <c r="J32" s="540">
        <f>SUMIF(100:100,I32,101:101)-SUMIF(100:100,C32,101:101)+100</f>
        <v>100</v>
      </c>
      <c r="K32" s="864">
        <v>5</v>
      </c>
      <c r="L32" s="2126"/>
      <c r="M32" s="2118"/>
      <c r="N32" s="2118"/>
      <c r="O32" s="2125"/>
      <c r="P32" s="3384" t="s">
        <v>550</v>
      </c>
      <c r="Q32" s="1558" t="str">
        <f t="shared" si="11"/>
        <v>建筑类型</v>
      </c>
      <c r="R32" s="1559" t="s">
        <v>11</v>
      </c>
      <c r="S32" s="1560">
        <f t="shared" si="12"/>
        <v>95</v>
      </c>
      <c r="T32" s="1559" t="s">
        <v>11</v>
      </c>
      <c r="U32" s="1560">
        <f t="shared" si="13"/>
        <v>100</v>
      </c>
      <c r="V32" s="1559" t="s">
        <v>11</v>
      </c>
      <c r="W32" s="1560">
        <f t="shared" si="14"/>
        <v>100</v>
      </c>
      <c r="X32" s="1553"/>
      <c r="Y32" s="3385" t="s">
        <v>550</v>
      </c>
      <c r="Z32" s="1561" t="str">
        <f t="shared" si="15"/>
        <v>建筑类型</v>
      </c>
      <c r="AA32" s="1562">
        <f t="shared" si="3"/>
        <v>1.0526315789473684</v>
      </c>
      <c r="AB32" s="1562">
        <f t="shared" si="4"/>
        <v>1</v>
      </c>
      <c r="AC32" s="1562">
        <f t="shared" si="5"/>
        <v>1</v>
      </c>
    </row>
    <row r="33" spans="1:29" s="1334" customFormat="1" ht="15">
      <c r="A33" s="603"/>
      <c r="B33" s="527" t="s">
        <v>726</v>
      </c>
      <c r="C33" s="879">
        <f>'数据-汇总表'!E3</f>
        <v>122082.72</v>
      </c>
      <c r="D33" s="255">
        <v>100</v>
      </c>
      <c r="E33" s="879">
        <v>1070000</v>
      </c>
      <c r="F33" s="863">
        <f>LOOKUP(E33,103:103,104:104)-LOOKUP(C33,103:103,104:104)+100</f>
        <v>100</v>
      </c>
      <c r="G33" s="879">
        <v>1500000</v>
      </c>
      <c r="H33" s="255">
        <f>LOOKUP(G33,103:103,104:104)-LOOKUP(C33,103:103,104:104)+100</f>
        <v>100</v>
      </c>
      <c r="I33" s="879">
        <v>400000</v>
      </c>
      <c r="J33" s="255">
        <f>LOOKUP(I33,103:103,104:104)-LOOKUP(C33,103:103,104:104)+100</f>
        <v>100</v>
      </c>
      <c r="K33" s="865"/>
      <c r="L33" s="2124"/>
      <c r="M33" s="2155"/>
      <c r="N33" s="2155"/>
      <c r="O33" s="2127"/>
      <c r="P33" s="3385"/>
      <c r="Q33" s="1590" t="str">
        <f t="shared" si="11"/>
        <v>项目建筑规模</v>
      </c>
      <c r="R33" s="1563" t="s">
        <v>11</v>
      </c>
      <c r="S33" s="1564">
        <f t="shared" si="12"/>
        <v>100</v>
      </c>
      <c r="T33" s="1563" t="s">
        <v>11</v>
      </c>
      <c r="U33" s="1564">
        <f t="shared" si="13"/>
        <v>100</v>
      </c>
      <c r="V33" s="1563" t="s">
        <v>11</v>
      </c>
      <c r="W33" s="1564">
        <f t="shared" si="14"/>
        <v>100</v>
      </c>
      <c r="X33" s="1565"/>
      <c r="Y33" s="3385"/>
      <c r="Z33" s="1566" t="str">
        <f t="shared" si="15"/>
        <v>项目建筑规模</v>
      </c>
      <c r="AA33" s="1562">
        <f t="shared" si="3"/>
        <v>1</v>
      </c>
      <c r="AB33" s="1562">
        <f t="shared" si="4"/>
        <v>1</v>
      </c>
      <c r="AC33" s="1562">
        <f t="shared" si="5"/>
        <v>1</v>
      </c>
    </row>
    <row r="34" spans="1:29" ht="15">
      <c r="A34" s="594"/>
      <c r="B34" s="527" t="s">
        <v>727</v>
      </c>
      <c r="C34" s="880" t="s">
        <v>3023</v>
      </c>
      <c r="D34" s="540">
        <v>100</v>
      </c>
      <c r="E34" s="880" t="s">
        <v>3023</v>
      </c>
      <c r="F34" s="575">
        <f>SUMIF(105:105,E34,106:106)-SUMIF(105:105,C34,106:106)+100</f>
        <v>100</v>
      </c>
      <c r="G34" s="880" t="s">
        <v>3023</v>
      </c>
      <c r="H34" s="540">
        <f>SUMIF(105:105,G34,106:106)-SUMIF(105:105,C34,106:106)+100</f>
        <v>100</v>
      </c>
      <c r="I34" s="880" t="s">
        <v>3023</v>
      </c>
      <c r="J34" s="540">
        <f>SUMIF(105:105,I34,106:106)-SUMIF(105:105,C34,106:106)+100</f>
        <v>100</v>
      </c>
      <c r="K34" s="864">
        <v>2</v>
      </c>
      <c r="L34" s="2126"/>
      <c r="M34" s="2118"/>
      <c r="N34" s="2118"/>
      <c r="O34" s="2125"/>
      <c r="P34" s="3385"/>
      <c r="Q34" s="1558" t="str">
        <f t="shared" si="11"/>
        <v>建筑结构</v>
      </c>
      <c r="R34" s="1559" t="s">
        <v>11</v>
      </c>
      <c r="S34" s="1560">
        <f t="shared" si="12"/>
        <v>100</v>
      </c>
      <c r="T34" s="1559" t="s">
        <v>11</v>
      </c>
      <c r="U34" s="1560">
        <f t="shared" si="13"/>
        <v>100</v>
      </c>
      <c r="V34" s="1559" t="s">
        <v>11</v>
      </c>
      <c r="W34" s="1560">
        <f t="shared" si="14"/>
        <v>100</v>
      </c>
      <c r="X34" s="1553"/>
      <c r="Y34" s="3385"/>
      <c r="Z34" s="1561" t="str">
        <f t="shared" si="15"/>
        <v>建筑结构</v>
      </c>
      <c r="AA34" s="1562">
        <f t="shared" si="3"/>
        <v>1</v>
      </c>
      <c r="AB34" s="1562">
        <f t="shared" si="4"/>
        <v>1</v>
      </c>
      <c r="AC34" s="1562">
        <f t="shared" si="5"/>
        <v>1</v>
      </c>
    </row>
    <row r="35" spans="1:29" ht="15">
      <c r="A35" s="594"/>
      <c r="B35" s="527" t="s">
        <v>728</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864">
        <v>2</v>
      </c>
      <c r="L35" s="2126"/>
      <c r="M35" s="2118"/>
      <c r="N35" s="2118"/>
      <c r="O35" s="2125"/>
      <c r="P35" s="3385"/>
      <c r="Q35" s="1558" t="str">
        <f t="shared" si="11"/>
        <v>建筑品质</v>
      </c>
      <c r="R35" s="1559" t="s">
        <v>11</v>
      </c>
      <c r="S35" s="1560">
        <f t="shared" si="12"/>
        <v>100</v>
      </c>
      <c r="T35" s="1559" t="s">
        <v>11</v>
      </c>
      <c r="U35" s="1560">
        <f t="shared" si="13"/>
        <v>100</v>
      </c>
      <c r="V35" s="1559" t="s">
        <v>11</v>
      </c>
      <c r="W35" s="1560">
        <f t="shared" si="14"/>
        <v>100</v>
      </c>
      <c r="X35" s="1553"/>
      <c r="Y35" s="3385"/>
      <c r="Z35" s="1561" t="str">
        <f t="shared" si="15"/>
        <v>建筑品质</v>
      </c>
      <c r="AA35" s="1562">
        <f t="shared" si="3"/>
        <v>1</v>
      </c>
      <c r="AB35" s="1562">
        <f t="shared" si="4"/>
        <v>1</v>
      </c>
      <c r="AC35" s="1562">
        <f t="shared" si="5"/>
        <v>1</v>
      </c>
    </row>
    <row r="36" spans="1:29" ht="15">
      <c r="A36" s="594"/>
      <c r="B36" s="527" t="s">
        <v>729</v>
      </c>
      <c r="C36" s="599" t="s">
        <v>3037</v>
      </c>
      <c r="D36" s="540">
        <v>100</v>
      </c>
      <c r="E36" s="599" t="s">
        <v>3037</v>
      </c>
      <c r="F36" s="575">
        <f>SUMIF(109:109,E36,110:110)-SUMIF(109:109,C36,110:110)+100</f>
        <v>100</v>
      </c>
      <c r="G36" s="599" t="s">
        <v>3037</v>
      </c>
      <c r="H36" s="540">
        <f>SUMIF(109:109,G36,110:110)-SUMIF(109:109,C36,110:110)+100</f>
        <v>100</v>
      </c>
      <c r="I36" s="599" t="s">
        <v>3037</v>
      </c>
      <c r="J36" s="540">
        <f>SUMIF(109:109,I36,110:110)-SUMIF(109:109,C36,110:110)+100</f>
        <v>100</v>
      </c>
      <c r="K36" s="864">
        <v>2</v>
      </c>
      <c r="L36" s="2126"/>
      <c r="M36" s="2118"/>
      <c r="N36" s="2118"/>
      <c r="O36" s="2125"/>
      <c r="P36" s="3385"/>
      <c r="Q36" s="1558" t="str">
        <f t="shared" si="11"/>
        <v>公共部分装修</v>
      </c>
      <c r="R36" s="1559" t="s">
        <v>11</v>
      </c>
      <c r="S36" s="1560">
        <f t="shared" si="12"/>
        <v>100</v>
      </c>
      <c r="T36" s="1559" t="s">
        <v>11</v>
      </c>
      <c r="U36" s="1560">
        <f t="shared" si="13"/>
        <v>100</v>
      </c>
      <c r="V36" s="1559" t="s">
        <v>11</v>
      </c>
      <c r="W36" s="1560">
        <f t="shared" si="14"/>
        <v>100</v>
      </c>
      <c r="X36" s="1553"/>
      <c r="Y36" s="3385"/>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85"/>
      <c r="Q37" s="1146" t="str">
        <f t="shared" si="11"/>
        <v>成新度</v>
      </c>
      <c r="R37" s="1554" t="s">
        <v>11</v>
      </c>
      <c r="S37" s="1555">
        <f t="shared" si="12"/>
        <v>100</v>
      </c>
      <c r="T37" s="1554" t="s">
        <v>11</v>
      </c>
      <c r="U37" s="1555">
        <f t="shared" si="13"/>
        <v>100</v>
      </c>
      <c r="V37" s="1554" t="s">
        <v>11</v>
      </c>
      <c r="W37" s="1555">
        <f t="shared" si="14"/>
        <v>100</v>
      </c>
      <c r="X37" s="1556"/>
      <c r="Y37" s="3385"/>
      <c r="Z37" s="1145" t="str">
        <f t="shared" si="15"/>
        <v>成新度</v>
      </c>
      <c r="AA37" s="1557">
        <f t="shared" si="3"/>
        <v>1</v>
      </c>
      <c r="AB37" s="1557">
        <f t="shared" si="4"/>
        <v>1</v>
      </c>
      <c r="AC37" s="1557">
        <f t="shared" si="5"/>
        <v>1</v>
      </c>
    </row>
    <row r="38" spans="1:29" ht="15">
      <c r="A38" s="594"/>
      <c r="B38" s="527" t="s">
        <v>731</v>
      </c>
      <c r="C38" s="599" t="s">
        <v>3041</v>
      </c>
      <c r="D38" s="540">
        <v>100</v>
      </c>
      <c r="E38" s="599" t="s">
        <v>3041</v>
      </c>
      <c r="F38" s="575">
        <f>SUMIF(114:114,E38,115:115)-SUMIF(114:114,C38,115:115)+100</f>
        <v>100</v>
      </c>
      <c r="G38" s="599" t="s">
        <v>3041</v>
      </c>
      <c r="H38" s="540">
        <f>SUMIF(114:114,G38,115:115)-SUMIF(114:114,C38,115:115)+100</f>
        <v>100</v>
      </c>
      <c r="I38" s="599" t="s">
        <v>3041</v>
      </c>
      <c r="J38" s="540">
        <f>SUMIF(114:114,I38,115:115)-SUMIF(114:114,C38,115:115)+100</f>
        <v>100</v>
      </c>
      <c r="K38" s="864">
        <v>2</v>
      </c>
      <c r="L38" s="2126"/>
      <c r="M38" s="2118"/>
      <c r="N38" s="2118"/>
      <c r="O38" s="2125"/>
      <c r="P38" s="3385" t="s">
        <v>550</v>
      </c>
      <c r="Q38" s="1558" t="str">
        <f t="shared" si="11"/>
        <v>物业管理</v>
      </c>
      <c r="R38" s="1559" t="s">
        <v>11</v>
      </c>
      <c r="S38" s="1560">
        <f t="shared" si="12"/>
        <v>100</v>
      </c>
      <c r="T38" s="1559" t="s">
        <v>11</v>
      </c>
      <c r="U38" s="1560">
        <f t="shared" si="13"/>
        <v>100</v>
      </c>
      <c r="V38" s="1559" t="s">
        <v>11</v>
      </c>
      <c r="W38" s="1560">
        <f t="shared" si="14"/>
        <v>100</v>
      </c>
      <c r="X38" s="1553"/>
      <c r="Y38" s="3385" t="s">
        <v>550</v>
      </c>
      <c r="Z38" s="1561" t="str">
        <f t="shared" si="15"/>
        <v>物业管理</v>
      </c>
      <c r="AA38" s="1562">
        <f t="shared" si="3"/>
        <v>1</v>
      </c>
      <c r="AB38" s="1562">
        <f t="shared" si="4"/>
        <v>1</v>
      </c>
      <c r="AC38" s="1562">
        <f t="shared" si="5"/>
        <v>1</v>
      </c>
    </row>
    <row r="39" spans="1:29" ht="15">
      <c r="A39" s="594"/>
      <c r="B39" s="1879" t="s">
        <v>2560</v>
      </c>
      <c r="C39" s="599" t="s">
        <v>3048</v>
      </c>
      <c r="D39" s="540">
        <v>100</v>
      </c>
      <c r="E39" s="599" t="s">
        <v>3045</v>
      </c>
      <c r="F39" s="575">
        <f>SUMIF(116:116,E39,117:117)-SUMIF(116:116,C39,117:117)+100</f>
        <v>106</v>
      </c>
      <c r="G39" s="599" t="s">
        <v>3045</v>
      </c>
      <c r="H39" s="540">
        <f>SUMIF(116:116,G39,117:117)-SUMIF(116:116,C39,117:117)+100</f>
        <v>106</v>
      </c>
      <c r="I39" s="599" t="s">
        <v>3045</v>
      </c>
      <c r="J39" s="540">
        <f>SUMIF(116:116,I39,117:117)-SUMIF(116:116,C39,117:117)+100</f>
        <v>106</v>
      </c>
      <c r="K39" s="864">
        <v>2</v>
      </c>
      <c r="L39" s="2126"/>
      <c r="M39" s="2118"/>
      <c r="N39" s="2118"/>
      <c r="O39" s="2125"/>
      <c r="P39" s="3385"/>
      <c r="Q39" s="1558" t="str">
        <f t="shared" si="11"/>
        <v>市政基础设施</v>
      </c>
      <c r="R39" s="1559" t="s">
        <v>11</v>
      </c>
      <c r="S39" s="1560">
        <f t="shared" si="12"/>
        <v>106</v>
      </c>
      <c r="T39" s="1559" t="s">
        <v>11</v>
      </c>
      <c r="U39" s="1560">
        <f t="shared" si="13"/>
        <v>106</v>
      </c>
      <c r="V39" s="1559" t="s">
        <v>11</v>
      </c>
      <c r="W39" s="1560">
        <f t="shared" si="14"/>
        <v>106</v>
      </c>
      <c r="X39" s="1553"/>
      <c r="Y39" s="3385"/>
      <c r="Z39" s="1561" t="str">
        <f t="shared" si="15"/>
        <v>市政基础设施</v>
      </c>
      <c r="AA39" s="1562">
        <f t="shared" si="3"/>
        <v>0.94339622641509435</v>
      </c>
      <c r="AB39" s="1562">
        <f t="shared" si="4"/>
        <v>0.94339622641509435</v>
      </c>
      <c r="AC39" s="1562">
        <f t="shared" si="5"/>
        <v>0.94339622641509435</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6"/>
      <c r="M40" s="2118"/>
      <c r="N40" s="2118"/>
      <c r="O40" s="2125"/>
      <c r="P40" s="3385"/>
      <c r="Q40" s="1558" t="str">
        <f t="shared" si="11"/>
        <v>房型</v>
      </c>
      <c r="R40" s="1559" t="s">
        <v>11</v>
      </c>
      <c r="S40" s="1560">
        <f t="shared" si="12"/>
        <v>100</v>
      </c>
      <c r="T40" s="1559" t="s">
        <v>11</v>
      </c>
      <c r="U40" s="1560">
        <f t="shared" si="13"/>
        <v>100</v>
      </c>
      <c r="V40" s="1559" t="s">
        <v>11</v>
      </c>
      <c r="W40" s="1560">
        <f t="shared" si="14"/>
        <v>100</v>
      </c>
      <c r="X40" s="1553"/>
      <c r="Y40" s="3385"/>
      <c r="Z40" s="1561" t="str">
        <f t="shared" si="15"/>
        <v>房型</v>
      </c>
      <c r="AA40" s="1562">
        <f t="shared" si="3"/>
        <v>1</v>
      </c>
      <c r="AB40" s="1562">
        <f t="shared" si="4"/>
        <v>1</v>
      </c>
      <c r="AC40" s="1562">
        <f t="shared" si="5"/>
        <v>1</v>
      </c>
    </row>
    <row r="41" spans="1:29" s="1334" customFormat="1" ht="28.8">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85"/>
      <c r="Q41" s="1590" t="str">
        <f t="shared" si="11"/>
        <v>单套/主力户型建筑面积</v>
      </c>
      <c r="R41" s="1563" t="s">
        <v>11</v>
      </c>
      <c r="S41" s="1564">
        <f t="shared" si="12"/>
        <v>100</v>
      </c>
      <c r="T41" s="1563" t="s">
        <v>11</v>
      </c>
      <c r="U41" s="1564">
        <f t="shared" si="13"/>
        <v>100</v>
      </c>
      <c r="V41" s="1563" t="s">
        <v>11</v>
      </c>
      <c r="W41" s="1564">
        <f t="shared" si="14"/>
        <v>100</v>
      </c>
      <c r="X41" s="1565"/>
      <c r="Y41" s="3385"/>
      <c r="Z41" s="1566" t="str">
        <f t="shared" si="15"/>
        <v>单套/主力户型建筑面积</v>
      </c>
      <c r="AA41" s="1562">
        <f t="shared" si="3"/>
        <v>1</v>
      </c>
      <c r="AB41" s="1562">
        <f t="shared" si="4"/>
        <v>1</v>
      </c>
      <c r="AC41" s="1562">
        <f t="shared" si="5"/>
        <v>1</v>
      </c>
    </row>
    <row r="42" spans="1:29" ht="15">
      <c r="A42" s="594"/>
      <c r="B42" s="527" t="s">
        <v>734</v>
      </c>
      <c r="C42" s="599" t="s">
        <v>3037</v>
      </c>
      <c r="D42" s="540">
        <v>100</v>
      </c>
      <c r="E42" s="599" t="s">
        <v>3037</v>
      </c>
      <c r="F42" s="575">
        <f>SUMIF(122:122,E42,123:123)-SUMIF(122:122,C42,123:123)+100</f>
        <v>100</v>
      </c>
      <c r="G42" s="599" t="s">
        <v>3037</v>
      </c>
      <c r="H42" s="540">
        <f>SUMIF(122:122,G42,123:123)-SUMIF(122:122,C42,123:123)+100</f>
        <v>100</v>
      </c>
      <c r="I42" s="599" t="s">
        <v>3037</v>
      </c>
      <c r="J42" s="540">
        <f>SUMIF(122:122,I42,123:123)-SUMIF(122:122,C42,123:123)+100</f>
        <v>100</v>
      </c>
      <c r="K42" s="864">
        <v>2</v>
      </c>
      <c r="L42" s="2126"/>
      <c r="M42" s="2118"/>
      <c r="N42" s="2118"/>
      <c r="O42" s="2125"/>
      <c r="P42" s="3385"/>
      <c r="Q42" s="1558" t="str">
        <f t="shared" si="11"/>
        <v>内部装修</v>
      </c>
      <c r="R42" s="1559" t="s">
        <v>11</v>
      </c>
      <c r="S42" s="1560">
        <f t="shared" si="12"/>
        <v>100</v>
      </c>
      <c r="T42" s="1559" t="s">
        <v>11</v>
      </c>
      <c r="U42" s="1560">
        <f t="shared" si="13"/>
        <v>100</v>
      </c>
      <c r="V42" s="1559" t="s">
        <v>11</v>
      </c>
      <c r="W42" s="1560">
        <f t="shared" si="14"/>
        <v>100</v>
      </c>
      <c r="X42" s="1553"/>
      <c r="Y42" s="3385"/>
      <c r="Z42" s="1561" t="str">
        <f t="shared" si="15"/>
        <v>内部装修</v>
      </c>
      <c r="AA42" s="1562">
        <f t="shared" si="3"/>
        <v>1</v>
      </c>
      <c r="AB42" s="1562">
        <f t="shared" si="4"/>
        <v>1</v>
      </c>
      <c r="AC42" s="1562">
        <f t="shared" si="5"/>
        <v>1</v>
      </c>
    </row>
    <row r="43" spans="1:29" ht="28.8">
      <c r="A43" s="594"/>
      <c r="B43" s="527" t="s">
        <v>735</v>
      </c>
      <c r="C43" s="599" t="s">
        <v>3050</v>
      </c>
      <c r="D43" s="540">
        <v>100</v>
      </c>
      <c r="E43" s="599" t="s">
        <v>3050</v>
      </c>
      <c r="F43" s="575">
        <f>SUMIF(124:124,E43,125:125)-SUMIF(124:124,C43,125:125)+100</f>
        <v>100</v>
      </c>
      <c r="G43" s="599" t="s">
        <v>3050</v>
      </c>
      <c r="H43" s="540">
        <f>SUMIF(124:124,G43,125:125)-SUMIF(124:124,C43,125:125)+100</f>
        <v>100</v>
      </c>
      <c r="I43" s="599" t="s">
        <v>3050</v>
      </c>
      <c r="J43" s="540">
        <f>SUMIF(124:124,I43,125:125)-SUMIF(124:124,C43,125:125)+100</f>
        <v>100</v>
      </c>
      <c r="K43" s="864">
        <v>1</v>
      </c>
      <c r="L43" s="2126"/>
      <c r="M43" s="2118"/>
      <c r="N43" s="2118"/>
      <c r="O43" s="2125"/>
      <c r="P43" s="3385"/>
      <c r="Q43" s="1558" t="str">
        <f t="shared" si="11"/>
        <v>内部装修维护情况</v>
      </c>
      <c r="R43" s="1559" t="s">
        <v>11</v>
      </c>
      <c r="S43" s="1560">
        <f t="shared" si="12"/>
        <v>100</v>
      </c>
      <c r="T43" s="1559" t="s">
        <v>11</v>
      </c>
      <c r="U43" s="1560">
        <f t="shared" si="13"/>
        <v>100</v>
      </c>
      <c r="V43" s="1559" t="s">
        <v>11</v>
      </c>
      <c r="W43" s="1560">
        <f t="shared" si="14"/>
        <v>100</v>
      </c>
      <c r="X43" s="1553"/>
      <c r="Y43" s="338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85"/>
      <c r="Q44" s="1146">
        <f t="shared" si="11"/>
        <v>111</v>
      </c>
      <c r="R44" s="1554" t="s">
        <v>11</v>
      </c>
      <c r="S44" s="1555">
        <f t="shared" si="12"/>
        <v>100</v>
      </c>
      <c r="T44" s="1554" t="s">
        <v>11</v>
      </c>
      <c r="U44" s="1555">
        <f t="shared" si="13"/>
        <v>100</v>
      </c>
      <c r="V44" s="1554" t="s">
        <v>11</v>
      </c>
      <c r="W44" s="1555">
        <f t="shared" si="14"/>
        <v>100</v>
      </c>
      <c r="X44" s="1556"/>
      <c r="Y44" s="338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5"/>
      <c r="Q45" s="1558">
        <f t="shared" si="11"/>
        <v>111</v>
      </c>
      <c r="R45" s="1559" t="s">
        <v>11</v>
      </c>
      <c r="S45" s="1560">
        <f t="shared" si="12"/>
        <v>100</v>
      </c>
      <c r="T45" s="1559" t="s">
        <v>11</v>
      </c>
      <c r="U45" s="1560">
        <f t="shared" si="13"/>
        <v>100</v>
      </c>
      <c r="V45" s="1559" t="s">
        <v>11</v>
      </c>
      <c r="W45" s="1560">
        <f t="shared" si="14"/>
        <v>100</v>
      </c>
      <c r="X45" s="1553"/>
      <c r="Y45" s="3385"/>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66"/>
      <c r="Q46" s="1558">
        <f t="shared" si="11"/>
        <v>111</v>
      </c>
      <c r="R46" s="1559" t="s">
        <v>10</v>
      </c>
      <c r="S46" s="1560">
        <f t="shared" si="12"/>
        <v>100</v>
      </c>
      <c r="T46" s="1559" t="s">
        <v>10</v>
      </c>
      <c r="U46" s="1560">
        <f t="shared" si="13"/>
        <v>100</v>
      </c>
      <c r="V46" s="1559" t="s">
        <v>10</v>
      </c>
      <c r="W46" s="1560">
        <f t="shared" si="14"/>
        <v>100</v>
      </c>
      <c r="X46" s="1553"/>
      <c r="Y46" s="3466"/>
      <c r="Z46" s="1561">
        <f t="shared" si="15"/>
        <v>111</v>
      </c>
      <c r="AA46" s="1562">
        <f t="shared" si="3"/>
        <v>1</v>
      </c>
      <c r="AB46" s="1562">
        <f t="shared" si="4"/>
        <v>1</v>
      </c>
      <c r="AC46" s="1562">
        <f t="shared" si="5"/>
        <v>1</v>
      </c>
    </row>
    <row r="47" spans="1:29" ht="14.4">
      <c r="A47" s="607" t="s">
        <v>736</v>
      </c>
      <c r="B47" s="886"/>
      <c r="C47" s="2590" t="s">
        <v>9</v>
      </c>
      <c r="D47" s="2591"/>
      <c r="E47" s="2592">
        <v>14000</v>
      </c>
      <c r="F47" s="2593"/>
      <c r="G47" s="2594">
        <v>16000</v>
      </c>
      <c r="H47" s="2595"/>
      <c r="I47" s="2592">
        <v>14500</v>
      </c>
      <c r="J47" s="2595"/>
      <c r="K47" s="1591"/>
      <c r="L47" s="2128"/>
      <c r="M47" s="2129"/>
      <c r="N47" s="2118"/>
      <c r="O47" s="2129"/>
      <c r="P47" s="3348" t="str">
        <f>A47</f>
        <v>成交单价（元/平方米）</v>
      </c>
      <c r="Q47" s="3348"/>
      <c r="R47" s="3465">
        <f>E47</f>
        <v>14000</v>
      </c>
      <c r="S47" s="3465"/>
      <c r="T47" s="3465">
        <f>G47</f>
        <v>16000</v>
      </c>
      <c r="U47" s="3465"/>
      <c r="V47" s="3465">
        <f>I47</f>
        <v>14500</v>
      </c>
      <c r="W47" s="3465"/>
      <c r="X47" s="1545"/>
      <c r="Y47" s="1567"/>
      <c r="Z47" s="1545"/>
      <c r="AA47" s="1545"/>
      <c r="AB47" s="1545"/>
      <c r="AC47" s="1545"/>
    </row>
    <row r="48" spans="1:29" ht="15" thickBot="1">
      <c r="A48" s="615" t="s">
        <v>2755</v>
      </c>
      <c r="B48" s="887"/>
      <c r="C48" s="2596">
        <f>R49</f>
        <v>13589</v>
      </c>
      <c r="D48" s="2597"/>
      <c r="E48" s="2598">
        <f>R48</f>
        <v>13116</v>
      </c>
      <c r="F48" s="2598"/>
      <c r="G48" s="2596">
        <f>T48</f>
        <v>14240</v>
      </c>
      <c r="H48" s="2597"/>
      <c r="I48" s="2598">
        <f>V48</f>
        <v>13411</v>
      </c>
      <c r="J48" s="2597"/>
      <c r="K48" s="1592"/>
      <c r="L48" s="2128"/>
      <c r="M48" s="2129"/>
      <c r="N48" s="2129"/>
      <c r="O48" s="2129"/>
      <c r="P48" s="3348" t="str">
        <f>A48</f>
        <v>比较价格（元/平方米）</v>
      </c>
      <c r="Q48" s="3348"/>
      <c r="R48" s="3465">
        <f>IF(F1="售价",ROUND(PRODUCT(R47,AA7:AA46),0),ROUND(PRODUCT(R47,AA7:AA46),1))</f>
        <v>13116</v>
      </c>
      <c r="S48" s="3465"/>
      <c r="T48" s="3465">
        <f>IF(F1="售价",ROUND(PRODUCT(T47,AB7:AB46),0),ROUND(PRODUCT(T47,AB7:AB46),1))</f>
        <v>14240</v>
      </c>
      <c r="U48" s="3465"/>
      <c r="V48" s="3465">
        <f>IF(F1="售价",ROUND(PRODUCT(V47,AC7:AC46),0),ROUND(PRODUCT(V47,AC7:AC46),1))</f>
        <v>13411</v>
      </c>
      <c r="W48" s="3465"/>
      <c r="X48" s="1545"/>
      <c r="Y48" s="1545"/>
      <c r="Z48" s="1545"/>
      <c r="AA48" s="1545"/>
      <c r="AB48" s="1545"/>
      <c r="AC48" s="1545"/>
    </row>
    <row r="49" spans="1:29" ht="15" thickBot="1">
      <c r="A49" s="621" t="s">
        <v>2932</v>
      </c>
      <c r="B49" s="622"/>
      <c r="C49" s="2599">
        <f>R49</f>
        <v>13589</v>
      </c>
      <c r="D49" s="2599"/>
      <c r="E49" s="2599"/>
      <c r="F49" s="2599"/>
      <c r="G49" s="2599"/>
      <c r="H49" s="2599"/>
      <c r="I49" s="2599"/>
      <c r="J49" s="2599"/>
      <c r="K49" s="1593"/>
      <c r="L49" s="2128"/>
      <c r="M49" s="2129"/>
      <c r="N49" s="2129"/>
      <c r="O49" s="2129"/>
      <c r="P49" s="3345" t="str">
        <f>A49</f>
        <v>估价对象XX用房的比较价格（楼面单价，元/平方米）</v>
      </c>
      <c r="Q49" s="3346"/>
      <c r="R49" s="3464">
        <f>IF(F1="售价",ROUND(AVERAGE(R48:V48),0),ROUND(AVERAGE(R48:V48),1))</f>
        <v>13589</v>
      </c>
      <c r="S49" s="3464"/>
      <c r="T49" s="3464"/>
      <c r="U49" s="3464"/>
      <c r="V49" s="3464"/>
      <c r="W49" s="3464"/>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6.7398597133272231E-2</v>
      </c>
      <c r="F52" s="627" t="str">
        <f>IF(OR(E52&gt;=0.3,E52&lt;=-0.3),"超过30%","")</f>
        <v/>
      </c>
      <c r="G52" s="626">
        <f>IF(G47&lt;G48,G48/G47-1,G47/G48-1)</f>
        <v>0.12359550561797761</v>
      </c>
      <c r="H52" s="627" t="str">
        <f>IF(OR(G52&gt;=0.3,G52&lt;=-0.3),"超过30%","")</f>
        <v/>
      </c>
      <c r="I52" s="626">
        <f>IF(I47&lt;I48,I48/I47-1,I47/I48-1)</f>
        <v>8.1201998359555549E-2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8.5696858798414155E-2</v>
      </c>
      <c r="F53" s="627" t="str">
        <f>IF(OR(E53&gt;=0.2,E53&lt;=-0.2),"超过20%","")</f>
        <v/>
      </c>
      <c r="G53" s="626">
        <f>IF(G48&lt;I48,I48/G48-1,G48/I48-1)</f>
        <v>6.1814928044142903E-2</v>
      </c>
      <c r="H53" s="627" t="str">
        <f>IF(OR(G53&gt;=0.2,G53&lt;=-0.2),"超过20%","")</f>
        <v/>
      </c>
      <c r="I53" s="626">
        <f>IF(I48&lt;E48,E48/I48-1,I48/E48-1)</f>
        <v>2.2491613296736768E-2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0.14285714285714279</v>
      </c>
      <c r="F54" s="627" t="str">
        <f>IF(OR(E54&gt;=0.3,E54&lt;=-0.3),"超过30%","")</f>
        <v/>
      </c>
      <c r="G54" s="626">
        <f>IF(G47&lt;I47,I47/G47-1,G47/I47-1)</f>
        <v>0.10344827586206895</v>
      </c>
      <c r="H54" s="627" t="str">
        <f>IF(OR(G54&gt;=0.3,G54&lt;=-0.3),"超过30%","")</f>
        <v/>
      </c>
      <c r="I54" s="626">
        <f>IF(I47&lt;E47,E47/I47-1,I47/E47-1)</f>
        <v>3.5714285714285809E-2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v>7</v>
      </c>
      <c r="K68" s="541">
        <v>8</v>
      </c>
      <c r="L68" s="541">
        <v>9</v>
      </c>
      <c r="M68" s="541">
        <v>10</v>
      </c>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485" t="s">
        <v>3029</v>
      </c>
      <c r="D100" s="3485" t="s">
        <v>3031</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84">
        <v>0</v>
      </c>
      <c r="D103" s="84">
        <v>1000000</v>
      </c>
      <c r="E103" s="84">
        <v>2000000</v>
      </c>
      <c r="F103" s="84">
        <v>3000000</v>
      </c>
      <c r="G103" s="84">
        <v>4000000</v>
      </c>
      <c r="H103" s="84">
        <v>5000000</v>
      </c>
      <c r="I103" s="84">
        <v>6000000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3491">
        <v>100</v>
      </c>
      <c r="D104" s="3492">
        <v>100</v>
      </c>
      <c r="E104" s="3491">
        <v>100</v>
      </c>
      <c r="F104" s="3492">
        <v>100</v>
      </c>
      <c r="G104" s="3491">
        <v>100</v>
      </c>
      <c r="H104" s="3492">
        <v>100</v>
      </c>
      <c r="I104" s="349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486" t="s">
        <v>3032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487" t="s">
        <v>3033</v>
      </c>
      <c r="D107" s="3487" t="s">
        <v>3034</v>
      </c>
      <c r="E107" s="3487" t="s">
        <v>3035</v>
      </c>
      <c r="F107" s="3487" t="s">
        <v>3036</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486" t="s">
        <v>3038</v>
      </c>
      <c r="D109" s="3486" t="s">
        <v>3039</v>
      </c>
      <c r="E109" s="3486" t="s">
        <v>3040</v>
      </c>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486" t="s">
        <v>3042</v>
      </c>
      <c r="D114" s="3486" t="s">
        <v>3043</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t="s">
        <v>3044</v>
      </c>
      <c r="D116" s="688" t="s">
        <v>3045</v>
      </c>
      <c r="E116" s="688" t="s">
        <v>3046</v>
      </c>
      <c r="F116" s="688" t="s">
        <v>3047</v>
      </c>
      <c r="G116" s="688" t="s">
        <v>3048</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486" t="s">
        <v>3038</v>
      </c>
      <c r="D122" s="3486" t="s">
        <v>3039</v>
      </c>
      <c r="E122" s="3486" t="s">
        <v>3040</v>
      </c>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10F7-999B-4D7A-BEF1-607C20E89282}">
  <dimension ref="A1"/>
  <sheetViews>
    <sheetView workbookViewId="0">
      <selection activeCell="O37" sqref="O37"/>
    </sheetView>
  </sheetViews>
  <sheetFormatPr defaultRowHeight="14.4"/>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A975-6AAE-4033-9008-D51D5C0A8695}">
  <dimension ref="A1:P51"/>
  <sheetViews>
    <sheetView topLeftCell="E1" workbookViewId="0">
      <selection activeCell="A27" sqref="A27:XFD27"/>
    </sheetView>
  </sheetViews>
  <sheetFormatPr defaultRowHeight="14.4"/>
  <cols>
    <col min="1" max="1" width="43" style="2893" customWidth="1"/>
    <col min="2" max="2" width="7.109375" style="2893" customWidth="1"/>
    <col min="3" max="3" width="15.88671875" style="2893" customWidth="1"/>
    <col min="4" max="4" width="43" style="2893" customWidth="1"/>
    <col min="5" max="5" width="9" style="2893" customWidth="1"/>
    <col min="6" max="7" width="15.88671875" style="2893" customWidth="1"/>
    <col min="8" max="8" width="22.77734375" style="2893" customWidth="1"/>
    <col min="9" max="9" width="10.21875" style="2893" customWidth="1"/>
    <col min="10" max="10" width="57.33203125" style="2893" customWidth="1"/>
    <col min="11" max="12" width="12.109375" style="2893" customWidth="1"/>
    <col min="13" max="13" width="16.33203125" style="2893" customWidth="1"/>
    <col min="14" max="14" width="7.109375" style="2893" customWidth="1"/>
    <col min="15" max="15" width="18.44140625" style="2893" customWidth="1"/>
    <col min="16" max="16" width="9" style="2893" customWidth="1"/>
    <col min="17" max="256" width="8.88671875" style="2893"/>
    <col min="257" max="257" width="43" style="2893" customWidth="1"/>
    <col min="258" max="258" width="7.109375" style="2893" customWidth="1"/>
    <col min="259" max="259" width="15.88671875" style="2893" customWidth="1"/>
    <col min="260" max="260" width="43" style="2893" customWidth="1"/>
    <col min="261" max="261" width="9" style="2893" customWidth="1"/>
    <col min="262" max="263" width="15.88671875" style="2893" customWidth="1"/>
    <col min="264" max="264" width="22.77734375" style="2893" customWidth="1"/>
    <col min="265" max="265" width="10.21875" style="2893" customWidth="1"/>
    <col min="266" max="266" width="57.33203125" style="2893" customWidth="1"/>
    <col min="267" max="268" width="12.109375" style="2893" customWidth="1"/>
    <col min="269" max="269" width="16.33203125" style="2893" customWidth="1"/>
    <col min="270" max="270" width="7.109375" style="2893" customWidth="1"/>
    <col min="271" max="271" width="18.44140625" style="2893" customWidth="1"/>
    <col min="272" max="272" width="9" style="2893" customWidth="1"/>
    <col min="273" max="512" width="8.88671875" style="2893"/>
    <col min="513" max="513" width="43" style="2893" customWidth="1"/>
    <col min="514" max="514" width="7.109375" style="2893" customWidth="1"/>
    <col min="515" max="515" width="15.88671875" style="2893" customWidth="1"/>
    <col min="516" max="516" width="43" style="2893" customWidth="1"/>
    <col min="517" max="517" width="9" style="2893" customWidth="1"/>
    <col min="518" max="519" width="15.88671875" style="2893" customWidth="1"/>
    <col min="520" max="520" width="22.77734375" style="2893" customWidth="1"/>
    <col min="521" max="521" width="10.21875" style="2893" customWidth="1"/>
    <col min="522" max="522" width="57.33203125" style="2893" customWidth="1"/>
    <col min="523" max="524" width="12.109375" style="2893" customWidth="1"/>
    <col min="525" max="525" width="16.33203125" style="2893" customWidth="1"/>
    <col min="526" max="526" width="7.109375" style="2893" customWidth="1"/>
    <col min="527" max="527" width="18.44140625" style="2893" customWidth="1"/>
    <col min="528" max="528" width="9" style="2893" customWidth="1"/>
    <col min="529" max="768" width="8.88671875" style="2893"/>
    <col min="769" max="769" width="43" style="2893" customWidth="1"/>
    <col min="770" max="770" width="7.109375" style="2893" customWidth="1"/>
    <col min="771" max="771" width="15.88671875" style="2893" customWidth="1"/>
    <col min="772" max="772" width="43" style="2893" customWidth="1"/>
    <col min="773" max="773" width="9" style="2893" customWidth="1"/>
    <col min="774" max="775" width="15.88671875" style="2893" customWidth="1"/>
    <col min="776" max="776" width="22.77734375" style="2893" customWidth="1"/>
    <col min="777" max="777" width="10.21875" style="2893" customWidth="1"/>
    <col min="778" max="778" width="57.33203125" style="2893" customWidth="1"/>
    <col min="779" max="780" width="12.109375" style="2893" customWidth="1"/>
    <col min="781" max="781" width="16.33203125" style="2893" customWidth="1"/>
    <col min="782" max="782" width="7.109375" style="2893" customWidth="1"/>
    <col min="783" max="783" width="18.44140625" style="2893" customWidth="1"/>
    <col min="784" max="784" width="9" style="2893" customWidth="1"/>
    <col min="785" max="1024" width="8.88671875" style="2893"/>
    <col min="1025" max="1025" width="43" style="2893" customWidth="1"/>
    <col min="1026" max="1026" width="7.109375" style="2893" customWidth="1"/>
    <col min="1027" max="1027" width="15.88671875" style="2893" customWidth="1"/>
    <col min="1028" max="1028" width="43" style="2893" customWidth="1"/>
    <col min="1029" max="1029" width="9" style="2893" customWidth="1"/>
    <col min="1030" max="1031" width="15.88671875" style="2893" customWidth="1"/>
    <col min="1032" max="1032" width="22.77734375" style="2893" customWidth="1"/>
    <col min="1033" max="1033" width="10.21875" style="2893" customWidth="1"/>
    <col min="1034" max="1034" width="57.33203125" style="2893" customWidth="1"/>
    <col min="1035" max="1036" width="12.109375" style="2893" customWidth="1"/>
    <col min="1037" max="1037" width="16.33203125" style="2893" customWidth="1"/>
    <col min="1038" max="1038" width="7.109375" style="2893" customWidth="1"/>
    <col min="1039" max="1039" width="18.44140625" style="2893" customWidth="1"/>
    <col min="1040" max="1040" width="9" style="2893" customWidth="1"/>
    <col min="1041" max="1280" width="8.88671875" style="2893"/>
    <col min="1281" max="1281" width="43" style="2893" customWidth="1"/>
    <col min="1282" max="1282" width="7.109375" style="2893" customWidth="1"/>
    <col min="1283" max="1283" width="15.88671875" style="2893" customWidth="1"/>
    <col min="1284" max="1284" width="43" style="2893" customWidth="1"/>
    <col min="1285" max="1285" width="9" style="2893" customWidth="1"/>
    <col min="1286" max="1287" width="15.88671875" style="2893" customWidth="1"/>
    <col min="1288" max="1288" width="22.77734375" style="2893" customWidth="1"/>
    <col min="1289" max="1289" width="10.21875" style="2893" customWidth="1"/>
    <col min="1290" max="1290" width="57.33203125" style="2893" customWidth="1"/>
    <col min="1291" max="1292" width="12.109375" style="2893" customWidth="1"/>
    <col min="1293" max="1293" width="16.33203125" style="2893" customWidth="1"/>
    <col min="1294" max="1294" width="7.109375" style="2893" customWidth="1"/>
    <col min="1295" max="1295" width="18.44140625" style="2893" customWidth="1"/>
    <col min="1296" max="1296" width="9" style="2893" customWidth="1"/>
    <col min="1297" max="1536" width="8.88671875" style="2893"/>
    <col min="1537" max="1537" width="43" style="2893" customWidth="1"/>
    <col min="1538" max="1538" width="7.109375" style="2893" customWidth="1"/>
    <col min="1539" max="1539" width="15.88671875" style="2893" customWidth="1"/>
    <col min="1540" max="1540" width="43" style="2893" customWidth="1"/>
    <col min="1541" max="1541" width="9" style="2893" customWidth="1"/>
    <col min="1542" max="1543" width="15.88671875" style="2893" customWidth="1"/>
    <col min="1544" max="1544" width="22.77734375" style="2893" customWidth="1"/>
    <col min="1545" max="1545" width="10.21875" style="2893" customWidth="1"/>
    <col min="1546" max="1546" width="57.33203125" style="2893" customWidth="1"/>
    <col min="1547" max="1548" width="12.109375" style="2893" customWidth="1"/>
    <col min="1549" max="1549" width="16.33203125" style="2893" customWidth="1"/>
    <col min="1550" max="1550" width="7.109375" style="2893" customWidth="1"/>
    <col min="1551" max="1551" width="18.44140625" style="2893" customWidth="1"/>
    <col min="1552" max="1552" width="9" style="2893" customWidth="1"/>
    <col min="1553" max="1792" width="8.88671875" style="2893"/>
    <col min="1793" max="1793" width="43" style="2893" customWidth="1"/>
    <col min="1794" max="1794" width="7.109375" style="2893" customWidth="1"/>
    <col min="1795" max="1795" width="15.88671875" style="2893" customWidth="1"/>
    <col min="1796" max="1796" width="43" style="2893" customWidth="1"/>
    <col min="1797" max="1797" width="9" style="2893" customWidth="1"/>
    <col min="1798" max="1799" width="15.88671875" style="2893" customWidth="1"/>
    <col min="1800" max="1800" width="22.77734375" style="2893" customWidth="1"/>
    <col min="1801" max="1801" width="10.21875" style="2893" customWidth="1"/>
    <col min="1802" max="1802" width="57.33203125" style="2893" customWidth="1"/>
    <col min="1803" max="1804" width="12.109375" style="2893" customWidth="1"/>
    <col min="1805" max="1805" width="16.33203125" style="2893" customWidth="1"/>
    <col min="1806" max="1806" width="7.109375" style="2893" customWidth="1"/>
    <col min="1807" max="1807" width="18.44140625" style="2893" customWidth="1"/>
    <col min="1808" max="1808" width="9" style="2893" customWidth="1"/>
    <col min="1809" max="2048" width="8.88671875" style="2893"/>
    <col min="2049" max="2049" width="43" style="2893" customWidth="1"/>
    <col min="2050" max="2050" width="7.109375" style="2893" customWidth="1"/>
    <col min="2051" max="2051" width="15.88671875" style="2893" customWidth="1"/>
    <col min="2052" max="2052" width="43" style="2893" customWidth="1"/>
    <col min="2053" max="2053" width="9" style="2893" customWidth="1"/>
    <col min="2054" max="2055" width="15.88671875" style="2893" customWidth="1"/>
    <col min="2056" max="2056" width="22.77734375" style="2893" customWidth="1"/>
    <col min="2057" max="2057" width="10.21875" style="2893" customWidth="1"/>
    <col min="2058" max="2058" width="57.33203125" style="2893" customWidth="1"/>
    <col min="2059" max="2060" width="12.109375" style="2893" customWidth="1"/>
    <col min="2061" max="2061" width="16.33203125" style="2893" customWidth="1"/>
    <col min="2062" max="2062" width="7.109375" style="2893" customWidth="1"/>
    <col min="2063" max="2063" width="18.44140625" style="2893" customWidth="1"/>
    <col min="2064" max="2064" width="9" style="2893" customWidth="1"/>
    <col min="2065" max="2304" width="8.88671875" style="2893"/>
    <col min="2305" max="2305" width="43" style="2893" customWidth="1"/>
    <col min="2306" max="2306" width="7.109375" style="2893" customWidth="1"/>
    <col min="2307" max="2307" width="15.88671875" style="2893" customWidth="1"/>
    <col min="2308" max="2308" width="43" style="2893" customWidth="1"/>
    <col min="2309" max="2309" width="9" style="2893" customWidth="1"/>
    <col min="2310" max="2311" width="15.88671875" style="2893" customWidth="1"/>
    <col min="2312" max="2312" width="22.77734375" style="2893" customWidth="1"/>
    <col min="2313" max="2313" width="10.21875" style="2893" customWidth="1"/>
    <col min="2314" max="2314" width="57.33203125" style="2893" customWidth="1"/>
    <col min="2315" max="2316" width="12.109375" style="2893" customWidth="1"/>
    <col min="2317" max="2317" width="16.33203125" style="2893" customWidth="1"/>
    <col min="2318" max="2318" width="7.109375" style="2893" customWidth="1"/>
    <col min="2319" max="2319" width="18.44140625" style="2893" customWidth="1"/>
    <col min="2320" max="2320" width="9" style="2893" customWidth="1"/>
    <col min="2321" max="2560" width="8.88671875" style="2893"/>
    <col min="2561" max="2561" width="43" style="2893" customWidth="1"/>
    <col min="2562" max="2562" width="7.109375" style="2893" customWidth="1"/>
    <col min="2563" max="2563" width="15.88671875" style="2893" customWidth="1"/>
    <col min="2564" max="2564" width="43" style="2893" customWidth="1"/>
    <col min="2565" max="2565" width="9" style="2893" customWidth="1"/>
    <col min="2566" max="2567" width="15.88671875" style="2893" customWidth="1"/>
    <col min="2568" max="2568" width="22.77734375" style="2893" customWidth="1"/>
    <col min="2569" max="2569" width="10.21875" style="2893" customWidth="1"/>
    <col min="2570" max="2570" width="57.33203125" style="2893" customWidth="1"/>
    <col min="2571" max="2572" width="12.109375" style="2893" customWidth="1"/>
    <col min="2573" max="2573" width="16.33203125" style="2893" customWidth="1"/>
    <col min="2574" max="2574" width="7.109375" style="2893" customWidth="1"/>
    <col min="2575" max="2575" width="18.44140625" style="2893" customWidth="1"/>
    <col min="2576" max="2576" width="9" style="2893" customWidth="1"/>
    <col min="2577" max="2816" width="8.88671875" style="2893"/>
    <col min="2817" max="2817" width="43" style="2893" customWidth="1"/>
    <col min="2818" max="2818" width="7.109375" style="2893" customWidth="1"/>
    <col min="2819" max="2819" width="15.88671875" style="2893" customWidth="1"/>
    <col min="2820" max="2820" width="43" style="2893" customWidth="1"/>
    <col min="2821" max="2821" width="9" style="2893" customWidth="1"/>
    <col min="2822" max="2823" width="15.88671875" style="2893" customWidth="1"/>
    <col min="2824" max="2824" width="22.77734375" style="2893" customWidth="1"/>
    <col min="2825" max="2825" width="10.21875" style="2893" customWidth="1"/>
    <col min="2826" max="2826" width="57.33203125" style="2893" customWidth="1"/>
    <col min="2827" max="2828" width="12.109375" style="2893" customWidth="1"/>
    <col min="2829" max="2829" width="16.33203125" style="2893" customWidth="1"/>
    <col min="2830" max="2830" width="7.109375" style="2893" customWidth="1"/>
    <col min="2831" max="2831" width="18.44140625" style="2893" customWidth="1"/>
    <col min="2832" max="2832" width="9" style="2893" customWidth="1"/>
    <col min="2833" max="3072" width="8.88671875" style="2893"/>
    <col min="3073" max="3073" width="43" style="2893" customWidth="1"/>
    <col min="3074" max="3074" width="7.109375" style="2893" customWidth="1"/>
    <col min="3075" max="3075" width="15.88671875" style="2893" customWidth="1"/>
    <col min="3076" max="3076" width="43" style="2893" customWidth="1"/>
    <col min="3077" max="3077" width="9" style="2893" customWidth="1"/>
    <col min="3078" max="3079" width="15.88671875" style="2893" customWidth="1"/>
    <col min="3080" max="3080" width="22.77734375" style="2893" customWidth="1"/>
    <col min="3081" max="3081" width="10.21875" style="2893" customWidth="1"/>
    <col min="3082" max="3082" width="57.33203125" style="2893" customWidth="1"/>
    <col min="3083" max="3084" width="12.109375" style="2893" customWidth="1"/>
    <col min="3085" max="3085" width="16.33203125" style="2893" customWidth="1"/>
    <col min="3086" max="3086" width="7.109375" style="2893" customWidth="1"/>
    <col min="3087" max="3087" width="18.44140625" style="2893" customWidth="1"/>
    <col min="3088" max="3088" width="9" style="2893" customWidth="1"/>
    <col min="3089" max="3328" width="8.88671875" style="2893"/>
    <col min="3329" max="3329" width="43" style="2893" customWidth="1"/>
    <col min="3330" max="3330" width="7.109375" style="2893" customWidth="1"/>
    <col min="3331" max="3331" width="15.88671875" style="2893" customWidth="1"/>
    <col min="3332" max="3332" width="43" style="2893" customWidth="1"/>
    <col min="3333" max="3333" width="9" style="2893" customWidth="1"/>
    <col min="3334" max="3335" width="15.88671875" style="2893" customWidth="1"/>
    <col min="3336" max="3336" width="22.77734375" style="2893" customWidth="1"/>
    <col min="3337" max="3337" width="10.21875" style="2893" customWidth="1"/>
    <col min="3338" max="3338" width="57.33203125" style="2893" customWidth="1"/>
    <col min="3339" max="3340" width="12.109375" style="2893" customWidth="1"/>
    <col min="3341" max="3341" width="16.33203125" style="2893" customWidth="1"/>
    <col min="3342" max="3342" width="7.109375" style="2893" customWidth="1"/>
    <col min="3343" max="3343" width="18.44140625" style="2893" customWidth="1"/>
    <col min="3344" max="3344" width="9" style="2893" customWidth="1"/>
    <col min="3345" max="3584" width="8.88671875" style="2893"/>
    <col min="3585" max="3585" width="43" style="2893" customWidth="1"/>
    <col min="3586" max="3586" width="7.109375" style="2893" customWidth="1"/>
    <col min="3587" max="3587" width="15.88671875" style="2893" customWidth="1"/>
    <col min="3588" max="3588" width="43" style="2893" customWidth="1"/>
    <col min="3589" max="3589" width="9" style="2893" customWidth="1"/>
    <col min="3590" max="3591" width="15.88671875" style="2893" customWidth="1"/>
    <col min="3592" max="3592" width="22.77734375" style="2893" customWidth="1"/>
    <col min="3593" max="3593" width="10.21875" style="2893" customWidth="1"/>
    <col min="3594" max="3594" width="57.33203125" style="2893" customWidth="1"/>
    <col min="3595" max="3596" width="12.109375" style="2893" customWidth="1"/>
    <col min="3597" max="3597" width="16.33203125" style="2893" customWidth="1"/>
    <col min="3598" max="3598" width="7.109375" style="2893" customWidth="1"/>
    <col min="3599" max="3599" width="18.44140625" style="2893" customWidth="1"/>
    <col min="3600" max="3600" width="9" style="2893" customWidth="1"/>
    <col min="3601" max="3840" width="8.88671875" style="2893"/>
    <col min="3841" max="3841" width="43" style="2893" customWidth="1"/>
    <col min="3842" max="3842" width="7.109375" style="2893" customWidth="1"/>
    <col min="3843" max="3843" width="15.88671875" style="2893" customWidth="1"/>
    <col min="3844" max="3844" width="43" style="2893" customWidth="1"/>
    <col min="3845" max="3845" width="9" style="2893" customWidth="1"/>
    <col min="3846" max="3847" width="15.88671875" style="2893" customWidth="1"/>
    <col min="3848" max="3848" width="22.77734375" style="2893" customWidth="1"/>
    <col min="3849" max="3849" width="10.21875" style="2893" customWidth="1"/>
    <col min="3850" max="3850" width="57.33203125" style="2893" customWidth="1"/>
    <col min="3851" max="3852" width="12.109375" style="2893" customWidth="1"/>
    <col min="3853" max="3853" width="16.33203125" style="2893" customWidth="1"/>
    <col min="3854" max="3854" width="7.109375" style="2893" customWidth="1"/>
    <col min="3855" max="3855" width="18.44140625" style="2893" customWidth="1"/>
    <col min="3856" max="3856" width="9" style="2893" customWidth="1"/>
    <col min="3857" max="4096" width="8.88671875" style="2893"/>
    <col min="4097" max="4097" width="43" style="2893" customWidth="1"/>
    <col min="4098" max="4098" width="7.109375" style="2893" customWidth="1"/>
    <col min="4099" max="4099" width="15.88671875" style="2893" customWidth="1"/>
    <col min="4100" max="4100" width="43" style="2893" customWidth="1"/>
    <col min="4101" max="4101" width="9" style="2893" customWidth="1"/>
    <col min="4102" max="4103" width="15.88671875" style="2893" customWidth="1"/>
    <col min="4104" max="4104" width="22.77734375" style="2893" customWidth="1"/>
    <col min="4105" max="4105" width="10.21875" style="2893" customWidth="1"/>
    <col min="4106" max="4106" width="57.33203125" style="2893" customWidth="1"/>
    <col min="4107" max="4108" width="12.109375" style="2893" customWidth="1"/>
    <col min="4109" max="4109" width="16.33203125" style="2893" customWidth="1"/>
    <col min="4110" max="4110" width="7.109375" style="2893" customWidth="1"/>
    <col min="4111" max="4111" width="18.44140625" style="2893" customWidth="1"/>
    <col min="4112" max="4112" width="9" style="2893" customWidth="1"/>
    <col min="4113" max="4352" width="8.88671875" style="2893"/>
    <col min="4353" max="4353" width="43" style="2893" customWidth="1"/>
    <col min="4354" max="4354" width="7.109375" style="2893" customWidth="1"/>
    <col min="4355" max="4355" width="15.88671875" style="2893" customWidth="1"/>
    <col min="4356" max="4356" width="43" style="2893" customWidth="1"/>
    <col min="4357" max="4357" width="9" style="2893" customWidth="1"/>
    <col min="4358" max="4359" width="15.88671875" style="2893" customWidth="1"/>
    <col min="4360" max="4360" width="22.77734375" style="2893" customWidth="1"/>
    <col min="4361" max="4361" width="10.21875" style="2893" customWidth="1"/>
    <col min="4362" max="4362" width="57.33203125" style="2893" customWidth="1"/>
    <col min="4363" max="4364" width="12.109375" style="2893" customWidth="1"/>
    <col min="4365" max="4365" width="16.33203125" style="2893" customWidth="1"/>
    <col min="4366" max="4366" width="7.109375" style="2893" customWidth="1"/>
    <col min="4367" max="4367" width="18.44140625" style="2893" customWidth="1"/>
    <col min="4368" max="4368" width="9" style="2893" customWidth="1"/>
    <col min="4369" max="4608" width="8.88671875" style="2893"/>
    <col min="4609" max="4609" width="43" style="2893" customWidth="1"/>
    <col min="4610" max="4610" width="7.109375" style="2893" customWidth="1"/>
    <col min="4611" max="4611" width="15.88671875" style="2893" customWidth="1"/>
    <col min="4612" max="4612" width="43" style="2893" customWidth="1"/>
    <col min="4613" max="4613" width="9" style="2893" customWidth="1"/>
    <col min="4614" max="4615" width="15.88671875" style="2893" customWidth="1"/>
    <col min="4616" max="4616" width="22.77734375" style="2893" customWidth="1"/>
    <col min="4617" max="4617" width="10.21875" style="2893" customWidth="1"/>
    <col min="4618" max="4618" width="57.33203125" style="2893" customWidth="1"/>
    <col min="4619" max="4620" width="12.109375" style="2893" customWidth="1"/>
    <col min="4621" max="4621" width="16.33203125" style="2893" customWidth="1"/>
    <col min="4622" max="4622" width="7.109375" style="2893" customWidth="1"/>
    <col min="4623" max="4623" width="18.44140625" style="2893" customWidth="1"/>
    <col min="4624" max="4624" width="9" style="2893" customWidth="1"/>
    <col min="4625" max="4864" width="8.88671875" style="2893"/>
    <col min="4865" max="4865" width="43" style="2893" customWidth="1"/>
    <col min="4866" max="4866" width="7.109375" style="2893" customWidth="1"/>
    <col min="4867" max="4867" width="15.88671875" style="2893" customWidth="1"/>
    <col min="4868" max="4868" width="43" style="2893" customWidth="1"/>
    <col min="4869" max="4869" width="9" style="2893" customWidth="1"/>
    <col min="4870" max="4871" width="15.88671875" style="2893" customWidth="1"/>
    <col min="4872" max="4872" width="22.77734375" style="2893" customWidth="1"/>
    <col min="4873" max="4873" width="10.21875" style="2893" customWidth="1"/>
    <col min="4874" max="4874" width="57.33203125" style="2893" customWidth="1"/>
    <col min="4875" max="4876" width="12.109375" style="2893" customWidth="1"/>
    <col min="4877" max="4877" width="16.33203125" style="2893" customWidth="1"/>
    <col min="4878" max="4878" width="7.109375" style="2893" customWidth="1"/>
    <col min="4879" max="4879" width="18.44140625" style="2893" customWidth="1"/>
    <col min="4880" max="4880" width="9" style="2893" customWidth="1"/>
    <col min="4881" max="5120" width="8.88671875" style="2893"/>
    <col min="5121" max="5121" width="43" style="2893" customWidth="1"/>
    <col min="5122" max="5122" width="7.109375" style="2893" customWidth="1"/>
    <col min="5123" max="5123" width="15.88671875" style="2893" customWidth="1"/>
    <col min="5124" max="5124" width="43" style="2893" customWidth="1"/>
    <col min="5125" max="5125" width="9" style="2893" customWidth="1"/>
    <col min="5126" max="5127" width="15.88671875" style="2893" customWidth="1"/>
    <col min="5128" max="5128" width="22.77734375" style="2893" customWidth="1"/>
    <col min="5129" max="5129" width="10.21875" style="2893" customWidth="1"/>
    <col min="5130" max="5130" width="57.33203125" style="2893" customWidth="1"/>
    <col min="5131" max="5132" width="12.109375" style="2893" customWidth="1"/>
    <col min="5133" max="5133" width="16.33203125" style="2893" customWidth="1"/>
    <col min="5134" max="5134" width="7.109375" style="2893" customWidth="1"/>
    <col min="5135" max="5135" width="18.44140625" style="2893" customWidth="1"/>
    <col min="5136" max="5136" width="9" style="2893" customWidth="1"/>
    <col min="5137" max="5376" width="8.88671875" style="2893"/>
    <col min="5377" max="5377" width="43" style="2893" customWidth="1"/>
    <col min="5378" max="5378" width="7.109375" style="2893" customWidth="1"/>
    <col min="5379" max="5379" width="15.88671875" style="2893" customWidth="1"/>
    <col min="5380" max="5380" width="43" style="2893" customWidth="1"/>
    <col min="5381" max="5381" width="9" style="2893" customWidth="1"/>
    <col min="5382" max="5383" width="15.88671875" style="2893" customWidth="1"/>
    <col min="5384" max="5384" width="22.77734375" style="2893" customWidth="1"/>
    <col min="5385" max="5385" width="10.21875" style="2893" customWidth="1"/>
    <col min="5386" max="5386" width="57.33203125" style="2893" customWidth="1"/>
    <col min="5387" max="5388" width="12.109375" style="2893" customWidth="1"/>
    <col min="5389" max="5389" width="16.33203125" style="2893" customWidth="1"/>
    <col min="5390" max="5390" width="7.109375" style="2893" customWidth="1"/>
    <col min="5391" max="5391" width="18.44140625" style="2893" customWidth="1"/>
    <col min="5392" max="5392" width="9" style="2893" customWidth="1"/>
    <col min="5393" max="5632" width="8.88671875" style="2893"/>
    <col min="5633" max="5633" width="43" style="2893" customWidth="1"/>
    <col min="5634" max="5634" width="7.109375" style="2893" customWidth="1"/>
    <col min="5635" max="5635" width="15.88671875" style="2893" customWidth="1"/>
    <col min="5636" max="5636" width="43" style="2893" customWidth="1"/>
    <col min="5637" max="5637" width="9" style="2893" customWidth="1"/>
    <col min="5638" max="5639" width="15.88671875" style="2893" customWidth="1"/>
    <col min="5640" max="5640" width="22.77734375" style="2893" customWidth="1"/>
    <col min="5641" max="5641" width="10.21875" style="2893" customWidth="1"/>
    <col min="5642" max="5642" width="57.33203125" style="2893" customWidth="1"/>
    <col min="5643" max="5644" width="12.109375" style="2893" customWidth="1"/>
    <col min="5645" max="5645" width="16.33203125" style="2893" customWidth="1"/>
    <col min="5646" max="5646" width="7.109375" style="2893" customWidth="1"/>
    <col min="5647" max="5647" width="18.44140625" style="2893" customWidth="1"/>
    <col min="5648" max="5648" width="9" style="2893" customWidth="1"/>
    <col min="5649" max="5888" width="8.88671875" style="2893"/>
    <col min="5889" max="5889" width="43" style="2893" customWidth="1"/>
    <col min="5890" max="5890" width="7.109375" style="2893" customWidth="1"/>
    <col min="5891" max="5891" width="15.88671875" style="2893" customWidth="1"/>
    <col min="5892" max="5892" width="43" style="2893" customWidth="1"/>
    <col min="5893" max="5893" width="9" style="2893" customWidth="1"/>
    <col min="5894" max="5895" width="15.88671875" style="2893" customWidth="1"/>
    <col min="5896" max="5896" width="22.77734375" style="2893" customWidth="1"/>
    <col min="5897" max="5897" width="10.21875" style="2893" customWidth="1"/>
    <col min="5898" max="5898" width="57.33203125" style="2893" customWidth="1"/>
    <col min="5899" max="5900" width="12.109375" style="2893" customWidth="1"/>
    <col min="5901" max="5901" width="16.33203125" style="2893" customWidth="1"/>
    <col min="5902" max="5902" width="7.109375" style="2893" customWidth="1"/>
    <col min="5903" max="5903" width="18.44140625" style="2893" customWidth="1"/>
    <col min="5904" max="5904" width="9" style="2893" customWidth="1"/>
    <col min="5905" max="6144" width="8.88671875" style="2893"/>
    <col min="6145" max="6145" width="43" style="2893" customWidth="1"/>
    <col min="6146" max="6146" width="7.109375" style="2893" customWidth="1"/>
    <col min="6147" max="6147" width="15.88671875" style="2893" customWidth="1"/>
    <col min="6148" max="6148" width="43" style="2893" customWidth="1"/>
    <col min="6149" max="6149" width="9" style="2893" customWidth="1"/>
    <col min="6150" max="6151" width="15.88671875" style="2893" customWidth="1"/>
    <col min="6152" max="6152" width="22.77734375" style="2893" customWidth="1"/>
    <col min="6153" max="6153" width="10.21875" style="2893" customWidth="1"/>
    <col min="6154" max="6154" width="57.33203125" style="2893" customWidth="1"/>
    <col min="6155" max="6156" width="12.109375" style="2893" customWidth="1"/>
    <col min="6157" max="6157" width="16.33203125" style="2893" customWidth="1"/>
    <col min="6158" max="6158" width="7.109375" style="2893" customWidth="1"/>
    <col min="6159" max="6159" width="18.44140625" style="2893" customWidth="1"/>
    <col min="6160" max="6160" width="9" style="2893" customWidth="1"/>
    <col min="6161" max="6400" width="8.88671875" style="2893"/>
    <col min="6401" max="6401" width="43" style="2893" customWidth="1"/>
    <col min="6402" max="6402" width="7.109375" style="2893" customWidth="1"/>
    <col min="6403" max="6403" width="15.88671875" style="2893" customWidth="1"/>
    <col min="6404" max="6404" width="43" style="2893" customWidth="1"/>
    <col min="6405" max="6405" width="9" style="2893" customWidth="1"/>
    <col min="6406" max="6407" width="15.88671875" style="2893" customWidth="1"/>
    <col min="6408" max="6408" width="22.77734375" style="2893" customWidth="1"/>
    <col min="6409" max="6409" width="10.21875" style="2893" customWidth="1"/>
    <col min="6410" max="6410" width="57.33203125" style="2893" customWidth="1"/>
    <col min="6411" max="6412" width="12.109375" style="2893" customWidth="1"/>
    <col min="6413" max="6413" width="16.33203125" style="2893" customWidth="1"/>
    <col min="6414" max="6414" width="7.109375" style="2893" customWidth="1"/>
    <col min="6415" max="6415" width="18.44140625" style="2893" customWidth="1"/>
    <col min="6416" max="6416" width="9" style="2893" customWidth="1"/>
    <col min="6417" max="6656" width="8.88671875" style="2893"/>
    <col min="6657" max="6657" width="43" style="2893" customWidth="1"/>
    <col min="6658" max="6658" width="7.109375" style="2893" customWidth="1"/>
    <col min="6659" max="6659" width="15.88671875" style="2893" customWidth="1"/>
    <col min="6660" max="6660" width="43" style="2893" customWidth="1"/>
    <col min="6661" max="6661" width="9" style="2893" customWidth="1"/>
    <col min="6662" max="6663" width="15.88671875" style="2893" customWidth="1"/>
    <col min="6664" max="6664" width="22.77734375" style="2893" customWidth="1"/>
    <col min="6665" max="6665" width="10.21875" style="2893" customWidth="1"/>
    <col min="6666" max="6666" width="57.33203125" style="2893" customWidth="1"/>
    <col min="6667" max="6668" width="12.109375" style="2893" customWidth="1"/>
    <col min="6669" max="6669" width="16.33203125" style="2893" customWidth="1"/>
    <col min="6670" max="6670" width="7.109375" style="2893" customWidth="1"/>
    <col min="6671" max="6671" width="18.44140625" style="2893" customWidth="1"/>
    <col min="6672" max="6672" width="9" style="2893" customWidth="1"/>
    <col min="6673" max="6912" width="8.88671875" style="2893"/>
    <col min="6913" max="6913" width="43" style="2893" customWidth="1"/>
    <col min="6914" max="6914" width="7.109375" style="2893" customWidth="1"/>
    <col min="6915" max="6915" width="15.88671875" style="2893" customWidth="1"/>
    <col min="6916" max="6916" width="43" style="2893" customWidth="1"/>
    <col min="6917" max="6917" width="9" style="2893" customWidth="1"/>
    <col min="6918" max="6919" width="15.88671875" style="2893" customWidth="1"/>
    <col min="6920" max="6920" width="22.77734375" style="2893" customWidth="1"/>
    <col min="6921" max="6921" width="10.21875" style="2893" customWidth="1"/>
    <col min="6922" max="6922" width="57.33203125" style="2893" customWidth="1"/>
    <col min="6923" max="6924" width="12.109375" style="2893" customWidth="1"/>
    <col min="6925" max="6925" width="16.33203125" style="2893" customWidth="1"/>
    <col min="6926" max="6926" width="7.109375" style="2893" customWidth="1"/>
    <col min="6927" max="6927" width="18.44140625" style="2893" customWidth="1"/>
    <col min="6928" max="6928" width="9" style="2893" customWidth="1"/>
    <col min="6929" max="7168" width="8.88671875" style="2893"/>
    <col min="7169" max="7169" width="43" style="2893" customWidth="1"/>
    <col min="7170" max="7170" width="7.109375" style="2893" customWidth="1"/>
    <col min="7171" max="7171" width="15.88671875" style="2893" customWidth="1"/>
    <col min="7172" max="7172" width="43" style="2893" customWidth="1"/>
    <col min="7173" max="7173" width="9" style="2893" customWidth="1"/>
    <col min="7174" max="7175" width="15.88671875" style="2893" customWidth="1"/>
    <col min="7176" max="7176" width="22.77734375" style="2893" customWidth="1"/>
    <col min="7177" max="7177" width="10.21875" style="2893" customWidth="1"/>
    <col min="7178" max="7178" width="57.33203125" style="2893" customWidth="1"/>
    <col min="7179" max="7180" width="12.109375" style="2893" customWidth="1"/>
    <col min="7181" max="7181" width="16.33203125" style="2893" customWidth="1"/>
    <col min="7182" max="7182" width="7.109375" style="2893" customWidth="1"/>
    <col min="7183" max="7183" width="18.44140625" style="2893" customWidth="1"/>
    <col min="7184" max="7184" width="9" style="2893" customWidth="1"/>
    <col min="7185" max="7424" width="8.88671875" style="2893"/>
    <col min="7425" max="7425" width="43" style="2893" customWidth="1"/>
    <col min="7426" max="7426" width="7.109375" style="2893" customWidth="1"/>
    <col min="7427" max="7427" width="15.88671875" style="2893" customWidth="1"/>
    <col min="7428" max="7428" width="43" style="2893" customWidth="1"/>
    <col min="7429" max="7429" width="9" style="2893" customWidth="1"/>
    <col min="7430" max="7431" width="15.88671875" style="2893" customWidth="1"/>
    <col min="7432" max="7432" width="22.77734375" style="2893" customWidth="1"/>
    <col min="7433" max="7433" width="10.21875" style="2893" customWidth="1"/>
    <col min="7434" max="7434" width="57.33203125" style="2893" customWidth="1"/>
    <col min="7435" max="7436" width="12.109375" style="2893" customWidth="1"/>
    <col min="7437" max="7437" width="16.33203125" style="2893" customWidth="1"/>
    <col min="7438" max="7438" width="7.109375" style="2893" customWidth="1"/>
    <col min="7439" max="7439" width="18.44140625" style="2893" customWidth="1"/>
    <col min="7440" max="7440" width="9" style="2893" customWidth="1"/>
    <col min="7441" max="7680" width="8.88671875" style="2893"/>
    <col min="7681" max="7681" width="43" style="2893" customWidth="1"/>
    <col min="7682" max="7682" width="7.109375" style="2893" customWidth="1"/>
    <col min="7683" max="7683" width="15.88671875" style="2893" customWidth="1"/>
    <col min="7684" max="7684" width="43" style="2893" customWidth="1"/>
    <col min="7685" max="7685" width="9" style="2893" customWidth="1"/>
    <col min="7686" max="7687" width="15.88671875" style="2893" customWidth="1"/>
    <col min="7688" max="7688" width="22.77734375" style="2893" customWidth="1"/>
    <col min="7689" max="7689" width="10.21875" style="2893" customWidth="1"/>
    <col min="7690" max="7690" width="57.33203125" style="2893" customWidth="1"/>
    <col min="7691" max="7692" width="12.109375" style="2893" customWidth="1"/>
    <col min="7693" max="7693" width="16.33203125" style="2893" customWidth="1"/>
    <col min="7694" max="7694" width="7.109375" style="2893" customWidth="1"/>
    <col min="7695" max="7695" width="18.44140625" style="2893" customWidth="1"/>
    <col min="7696" max="7696" width="9" style="2893" customWidth="1"/>
    <col min="7697" max="7936" width="8.88671875" style="2893"/>
    <col min="7937" max="7937" width="43" style="2893" customWidth="1"/>
    <col min="7938" max="7938" width="7.109375" style="2893" customWidth="1"/>
    <col min="7939" max="7939" width="15.88671875" style="2893" customWidth="1"/>
    <col min="7940" max="7940" width="43" style="2893" customWidth="1"/>
    <col min="7941" max="7941" width="9" style="2893" customWidth="1"/>
    <col min="7942" max="7943" width="15.88671875" style="2893" customWidth="1"/>
    <col min="7944" max="7944" width="22.77734375" style="2893" customWidth="1"/>
    <col min="7945" max="7945" width="10.21875" style="2893" customWidth="1"/>
    <col min="7946" max="7946" width="57.33203125" style="2893" customWidth="1"/>
    <col min="7947" max="7948" width="12.109375" style="2893" customWidth="1"/>
    <col min="7949" max="7949" width="16.33203125" style="2893" customWidth="1"/>
    <col min="7950" max="7950" width="7.109375" style="2893" customWidth="1"/>
    <col min="7951" max="7951" width="18.44140625" style="2893" customWidth="1"/>
    <col min="7952" max="7952" width="9" style="2893" customWidth="1"/>
    <col min="7953" max="8192" width="8.88671875" style="2893"/>
    <col min="8193" max="8193" width="43" style="2893" customWidth="1"/>
    <col min="8194" max="8194" width="7.109375" style="2893" customWidth="1"/>
    <col min="8195" max="8195" width="15.88671875" style="2893" customWidth="1"/>
    <col min="8196" max="8196" width="43" style="2893" customWidth="1"/>
    <col min="8197" max="8197" width="9" style="2893" customWidth="1"/>
    <col min="8198" max="8199" width="15.88671875" style="2893" customWidth="1"/>
    <col min="8200" max="8200" width="22.77734375" style="2893" customWidth="1"/>
    <col min="8201" max="8201" width="10.21875" style="2893" customWidth="1"/>
    <col min="8202" max="8202" width="57.33203125" style="2893" customWidth="1"/>
    <col min="8203" max="8204" width="12.109375" style="2893" customWidth="1"/>
    <col min="8205" max="8205" width="16.33203125" style="2893" customWidth="1"/>
    <col min="8206" max="8206" width="7.109375" style="2893" customWidth="1"/>
    <col min="8207" max="8207" width="18.44140625" style="2893" customWidth="1"/>
    <col min="8208" max="8208" width="9" style="2893" customWidth="1"/>
    <col min="8209" max="8448" width="8.88671875" style="2893"/>
    <col min="8449" max="8449" width="43" style="2893" customWidth="1"/>
    <col min="8450" max="8450" width="7.109375" style="2893" customWidth="1"/>
    <col min="8451" max="8451" width="15.88671875" style="2893" customWidth="1"/>
    <col min="8452" max="8452" width="43" style="2893" customWidth="1"/>
    <col min="8453" max="8453" width="9" style="2893" customWidth="1"/>
    <col min="8454" max="8455" width="15.88671875" style="2893" customWidth="1"/>
    <col min="8456" max="8456" width="22.77734375" style="2893" customWidth="1"/>
    <col min="8457" max="8457" width="10.21875" style="2893" customWidth="1"/>
    <col min="8458" max="8458" width="57.33203125" style="2893" customWidth="1"/>
    <col min="8459" max="8460" width="12.109375" style="2893" customWidth="1"/>
    <col min="8461" max="8461" width="16.33203125" style="2893" customWidth="1"/>
    <col min="8462" max="8462" width="7.109375" style="2893" customWidth="1"/>
    <col min="8463" max="8463" width="18.44140625" style="2893" customWidth="1"/>
    <col min="8464" max="8464" width="9" style="2893" customWidth="1"/>
    <col min="8465" max="8704" width="8.88671875" style="2893"/>
    <col min="8705" max="8705" width="43" style="2893" customWidth="1"/>
    <col min="8706" max="8706" width="7.109375" style="2893" customWidth="1"/>
    <col min="8707" max="8707" width="15.88671875" style="2893" customWidth="1"/>
    <col min="8708" max="8708" width="43" style="2893" customWidth="1"/>
    <col min="8709" max="8709" width="9" style="2893" customWidth="1"/>
    <col min="8710" max="8711" width="15.88671875" style="2893" customWidth="1"/>
    <col min="8712" max="8712" width="22.77734375" style="2893" customWidth="1"/>
    <col min="8713" max="8713" width="10.21875" style="2893" customWidth="1"/>
    <col min="8714" max="8714" width="57.33203125" style="2893" customWidth="1"/>
    <col min="8715" max="8716" width="12.109375" style="2893" customWidth="1"/>
    <col min="8717" max="8717" width="16.33203125" style="2893" customWidth="1"/>
    <col min="8718" max="8718" width="7.109375" style="2893" customWidth="1"/>
    <col min="8719" max="8719" width="18.44140625" style="2893" customWidth="1"/>
    <col min="8720" max="8720" width="9" style="2893" customWidth="1"/>
    <col min="8721" max="8960" width="8.88671875" style="2893"/>
    <col min="8961" max="8961" width="43" style="2893" customWidth="1"/>
    <col min="8962" max="8962" width="7.109375" style="2893" customWidth="1"/>
    <col min="8963" max="8963" width="15.88671875" style="2893" customWidth="1"/>
    <col min="8964" max="8964" width="43" style="2893" customWidth="1"/>
    <col min="8965" max="8965" width="9" style="2893" customWidth="1"/>
    <col min="8966" max="8967" width="15.88671875" style="2893" customWidth="1"/>
    <col min="8968" max="8968" width="22.77734375" style="2893" customWidth="1"/>
    <col min="8969" max="8969" width="10.21875" style="2893" customWidth="1"/>
    <col min="8970" max="8970" width="57.33203125" style="2893" customWidth="1"/>
    <col min="8971" max="8972" width="12.109375" style="2893" customWidth="1"/>
    <col min="8973" max="8973" width="16.33203125" style="2893" customWidth="1"/>
    <col min="8974" max="8974" width="7.109375" style="2893" customWidth="1"/>
    <col min="8975" max="8975" width="18.44140625" style="2893" customWidth="1"/>
    <col min="8976" max="8976" width="9" style="2893" customWidth="1"/>
    <col min="8977" max="9216" width="8.88671875" style="2893"/>
    <col min="9217" max="9217" width="43" style="2893" customWidth="1"/>
    <col min="9218" max="9218" width="7.109375" style="2893" customWidth="1"/>
    <col min="9219" max="9219" width="15.88671875" style="2893" customWidth="1"/>
    <col min="9220" max="9220" width="43" style="2893" customWidth="1"/>
    <col min="9221" max="9221" width="9" style="2893" customWidth="1"/>
    <col min="9222" max="9223" width="15.88671875" style="2893" customWidth="1"/>
    <col min="9224" max="9224" width="22.77734375" style="2893" customWidth="1"/>
    <col min="9225" max="9225" width="10.21875" style="2893" customWidth="1"/>
    <col min="9226" max="9226" width="57.33203125" style="2893" customWidth="1"/>
    <col min="9227" max="9228" width="12.109375" style="2893" customWidth="1"/>
    <col min="9229" max="9229" width="16.33203125" style="2893" customWidth="1"/>
    <col min="9230" max="9230" width="7.109375" style="2893" customWidth="1"/>
    <col min="9231" max="9231" width="18.44140625" style="2893" customWidth="1"/>
    <col min="9232" max="9232" width="9" style="2893" customWidth="1"/>
    <col min="9233" max="9472" width="8.88671875" style="2893"/>
    <col min="9473" max="9473" width="43" style="2893" customWidth="1"/>
    <col min="9474" max="9474" width="7.109375" style="2893" customWidth="1"/>
    <col min="9475" max="9475" width="15.88671875" style="2893" customWidth="1"/>
    <col min="9476" max="9476" width="43" style="2893" customWidth="1"/>
    <col min="9477" max="9477" width="9" style="2893" customWidth="1"/>
    <col min="9478" max="9479" width="15.88671875" style="2893" customWidth="1"/>
    <col min="9480" max="9480" width="22.77734375" style="2893" customWidth="1"/>
    <col min="9481" max="9481" width="10.21875" style="2893" customWidth="1"/>
    <col min="9482" max="9482" width="57.33203125" style="2893" customWidth="1"/>
    <col min="9483" max="9484" width="12.109375" style="2893" customWidth="1"/>
    <col min="9485" max="9485" width="16.33203125" style="2893" customWidth="1"/>
    <col min="9486" max="9486" width="7.109375" style="2893" customWidth="1"/>
    <col min="9487" max="9487" width="18.44140625" style="2893" customWidth="1"/>
    <col min="9488" max="9488" width="9" style="2893" customWidth="1"/>
    <col min="9489" max="9728" width="8.88671875" style="2893"/>
    <col min="9729" max="9729" width="43" style="2893" customWidth="1"/>
    <col min="9730" max="9730" width="7.109375" style="2893" customWidth="1"/>
    <col min="9731" max="9731" width="15.88671875" style="2893" customWidth="1"/>
    <col min="9732" max="9732" width="43" style="2893" customWidth="1"/>
    <col min="9733" max="9733" width="9" style="2893" customWidth="1"/>
    <col min="9734" max="9735" width="15.88671875" style="2893" customWidth="1"/>
    <col min="9736" max="9736" width="22.77734375" style="2893" customWidth="1"/>
    <col min="9737" max="9737" width="10.21875" style="2893" customWidth="1"/>
    <col min="9738" max="9738" width="57.33203125" style="2893" customWidth="1"/>
    <col min="9739" max="9740" width="12.109375" style="2893" customWidth="1"/>
    <col min="9741" max="9741" width="16.33203125" style="2893" customWidth="1"/>
    <col min="9742" max="9742" width="7.109375" style="2893" customWidth="1"/>
    <col min="9743" max="9743" width="18.44140625" style="2893" customWidth="1"/>
    <col min="9744" max="9744" width="9" style="2893" customWidth="1"/>
    <col min="9745" max="9984" width="8.88671875" style="2893"/>
    <col min="9985" max="9985" width="43" style="2893" customWidth="1"/>
    <col min="9986" max="9986" width="7.109375" style="2893" customWidth="1"/>
    <col min="9987" max="9987" width="15.88671875" style="2893" customWidth="1"/>
    <col min="9988" max="9988" width="43" style="2893" customWidth="1"/>
    <col min="9989" max="9989" width="9" style="2893" customWidth="1"/>
    <col min="9990" max="9991" width="15.88671875" style="2893" customWidth="1"/>
    <col min="9992" max="9992" width="22.77734375" style="2893" customWidth="1"/>
    <col min="9993" max="9993" width="10.21875" style="2893" customWidth="1"/>
    <col min="9994" max="9994" width="57.33203125" style="2893" customWidth="1"/>
    <col min="9995" max="9996" width="12.109375" style="2893" customWidth="1"/>
    <col min="9997" max="9997" width="16.33203125" style="2893" customWidth="1"/>
    <col min="9998" max="9998" width="7.109375" style="2893" customWidth="1"/>
    <col min="9999" max="9999" width="18.44140625" style="2893" customWidth="1"/>
    <col min="10000" max="10000" width="9" style="2893" customWidth="1"/>
    <col min="10001" max="10240" width="8.88671875" style="2893"/>
    <col min="10241" max="10241" width="43" style="2893" customWidth="1"/>
    <col min="10242" max="10242" width="7.109375" style="2893" customWidth="1"/>
    <col min="10243" max="10243" width="15.88671875" style="2893" customWidth="1"/>
    <col min="10244" max="10244" width="43" style="2893" customWidth="1"/>
    <col min="10245" max="10245" width="9" style="2893" customWidth="1"/>
    <col min="10246" max="10247" width="15.88671875" style="2893" customWidth="1"/>
    <col min="10248" max="10248" width="22.77734375" style="2893" customWidth="1"/>
    <col min="10249" max="10249" width="10.21875" style="2893" customWidth="1"/>
    <col min="10250" max="10250" width="57.33203125" style="2893" customWidth="1"/>
    <col min="10251" max="10252" width="12.109375" style="2893" customWidth="1"/>
    <col min="10253" max="10253" width="16.33203125" style="2893" customWidth="1"/>
    <col min="10254" max="10254" width="7.109375" style="2893" customWidth="1"/>
    <col min="10255" max="10255" width="18.44140625" style="2893" customWidth="1"/>
    <col min="10256" max="10256" width="9" style="2893" customWidth="1"/>
    <col min="10257" max="10496" width="8.88671875" style="2893"/>
    <col min="10497" max="10497" width="43" style="2893" customWidth="1"/>
    <col min="10498" max="10498" width="7.109375" style="2893" customWidth="1"/>
    <col min="10499" max="10499" width="15.88671875" style="2893" customWidth="1"/>
    <col min="10500" max="10500" width="43" style="2893" customWidth="1"/>
    <col min="10501" max="10501" width="9" style="2893" customWidth="1"/>
    <col min="10502" max="10503" width="15.88671875" style="2893" customWidth="1"/>
    <col min="10504" max="10504" width="22.77734375" style="2893" customWidth="1"/>
    <col min="10505" max="10505" width="10.21875" style="2893" customWidth="1"/>
    <col min="10506" max="10506" width="57.33203125" style="2893" customWidth="1"/>
    <col min="10507" max="10508" width="12.109375" style="2893" customWidth="1"/>
    <col min="10509" max="10509" width="16.33203125" style="2893" customWidth="1"/>
    <col min="10510" max="10510" width="7.109375" style="2893" customWidth="1"/>
    <col min="10511" max="10511" width="18.44140625" style="2893" customWidth="1"/>
    <col min="10512" max="10512" width="9" style="2893" customWidth="1"/>
    <col min="10513" max="10752" width="8.88671875" style="2893"/>
    <col min="10753" max="10753" width="43" style="2893" customWidth="1"/>
    <col min="10754" max="10754" width="7.109375" style="2893" customWidth="1"/>
    <col min="10755" max="10755" width="15.88671875" style="2893" customWidth="1"/>
    <col min="10756" max="10756" width="43" style="2893" customWidth="1"/>
    <col min="10757" max="10757" width="9" style="2893" customWidth="1"/>
    <col min="10758" max="10759" width="15.88671875" style="2893" customWidth="1"/>
    <col min="10760" max="10760" width="22.77734375" style="2893" customWidth="1"/>
    <col min="10761" max="10761" width="10.21875" style="2893" customWidth="1"/>
    <col min="10762" max="10762" width="57.33203125" style="2893" customWidth="1"/>
    <col min="10763" max="10764" width="12.109375" style="2893" customWidth="1"/>
    <col min="10765" max="10765" width="16.33203125" style="2893" customWidth="1"/>
    <col min="10766" max="10766" width="7.109375" style="2893" customWidth="1"/>
    <col min="10767" max="10767" width="18.44140625" style="2893" customWidth="1"/>
    <col min="10768" max="10768" width="9" style="2893" customWidth="1"/>
    <col min="10769" max="11008" width="8.88671875" style="2893"/>
    <col min="11009" max="11009" width="43" style="2893" customWidth="1"/>
    <col min="11010" max="11010" width="7.109375" style="2893" customWidth="1"/>
    <col min="11011" max="11011" width="15.88671875" style="2893" customWidth="1"/>
    <col min="11012" max="11012" width="43" style="2893" customWidth="1"/>
    <col min="11013" max="11013" width="9" style="2893" customWidth="1"/>
    <col min="11014" max="11015" width="15.88671875" style="2893" customWidth="1"/>
    <col min="11016" max="11016" width="22.77734375" style="2893" customWidth="1"/>
    <col min="11017" max="11017" width="10.21875" style="2893" customWidth="1"/>
    <col min="11018" max="11018" width="57.33203125" style="2893" customWidth="1"/>
    <col min="11019" max="11020" width="12.109375" style="2893" customWidth="1"/>
    <col min="11021" max="11021" width="16.33203125" style="2893" customWidth="1"/>
    <col min="11022" max="11022" width="7.109375" style="2893" customWidth="1"/>
    <col min="11023" max="11023" width="18.44140625" style="2893" customWidth="1"/>
    <col min="11024" max="11024" width="9" style="2893" customWidth="1"/>
    <col min="11025" max="11264" width="8.88671875" style="2893"/>
    <col min="11265" max="11265" width="43" style="2893" customWidth="1"/>
    <col min="11266" max="11266" width="7.109375" style="2893" customWidth="1"/>
    <col min="11267" max="11267" width="15.88671875" style="2893" customWidth="1"/>
    <col min="11268" max="11268" width="43" style="2893" customWidth="1"/>
    <col min="11269" max="11269" width="9" style="2893" customWidth="1"/>
    <col min="11270" max="11271" width="15.88671875" style="2893" customWidth="1"/>
    <col min="11272" max="11272" width="22.77734375" style="2893" customWidth="1"/>
    <col min="11273" max="11273" width="10.21875" style="2893" customWidth="1"/>
    <col min="11274" max="11274" width="57.33203125" style="2893" customWidth="1"/>
    <col min="11275" max="11276" width="12.109375" style="2893" customWidth="1"/>
    <col min="11277" max="11277" width="16.33203125" style="2893" customWidth="1"/>
    <col min="11278" max="11278" width="7.109375" style="2893" customWidth="1"/>
    <col min="11279" max="11279" width="18.44140625" style="2893" customWidth="1"/>
    <col min="11280" max="11280" width="9" style="2893" customWidth="1"/>
    <col min="11281" max="11520" width="8.88671875" style="2893"/>
    <col min="11521" max="11521" width="43" style="2893" customWidth="1"/>
    <col min="11522" max="11522" width="7.109375" style="2893" customWidth="1"/>
    <col min="11523" max="11523" width="15.88671875" style="2893" customWidth="1"/>
    <col min="11524" max="11524" width="43" style="2893" customWidth="1"/>
    <col min="11525" max="11525" width="9" style="2893" customWidth="1"/>
    <col min="11526" max="11527" width="15.88671875" style="2893" customWidth="1"/>
    <col min="11528" max="11528" width="22.77734375" style="2893" customWidth="1"/>
    <col min="11529" max="11529" width="10.21875" style="2893" customWidth="1"/>
    <col min="11530" max="11530" width="57.33203125" style="2893" customWidth="1"/>
    <col min="11531" max="11532" width="12.109375" style="2893" customWidth="1"/>
    <col min="11533" max="11533" width="16.33203125" style="2893" customWidth="1"/>
    <col min="11534" max="11534" width="7.109375" style="2893" customWidth="1"/>
    <col min="11535" max="11535" width="18.44140625" style="2893" customWidth="1"/>
    <col min="11536" max="11536" width="9" style="2893" customWidth="1"/>
    <col min="11537" max="11776" width="8.88671875" style="2893"/>
    <col min="11777" max="11777" width="43" style="2893" customWidth="1"/>
    <col min="11778" max="11778" width="7.109375" style="2893" customWidth="1"/>
    <col min="11779" max="11779" width="15.88671875" style="2893" customWidth="1"/>
    <col min="11780" max="11780" width="43" style="2893" customWidth="1"/>
    <col min="11781" max="11781" width="9" style="2893" customWidth="1"/>
    <col min="11782" max="11783" width="15.88671875" style="2893" customWidth="1"/>
    <col min="11784" max="11784" width="22.77734375" style="2893" customWidth="1"/>
    <col min="11785" max="11785" width="10.21875" style="2893" customWidth="1"/>
    <col min="11786" max="11786" width="57.33203125" style="2893" customWidth="1"/>
    <col min="11787" max="11788" width="12.109375" style="2893" customWidth="1"/>
    <col min="11789" max="11789" width="16.33203125" style="2893" customWidth="1"/>
    <col min="11790" max="11790" width="7.109375" style="2893" customWidth="1"/>
    <col min="11791" max="11791" width="18.44140625" style="2893" customWidth="1"/>
    <col min="11792" max="11792" width="9" style="2893" customWidth="1"/>
    <col min="11793" max="12032" width="8.88671875" style="2893"/>
    <col min="12033" max="12033" width="43" style="2893" customWidth="1"/>
    <col min="12034" max="12034" width="7.109375" style="2893" customWidth="1"/>
    <col min="12035" max="12035" width="15.88671875" style="2893" customWidth="1"/>
    <col min="12036" max="12036" width="43" style="2893" customWidth="1"/>
    <col min="12037" max="12037" width="9" style="2893" customWidth="1"/>
    <col min="12038" max="12039" width="15.88671875" style="2893" customWidth="1"/>
    <col min="12040" max="12040" width="22.77734375" style="2893" customWidth="1"/>
    <col min="12041" max="12041" width="10.21875" style="2893" customWidth="1"/>
    <col min="12042" max="12042" width="57.33203125" style="2893" customWidth="1"/>
    <col min="12043" max="12044" width="12.109375" style="2893" customWidth="1"/>
    <col min="12045" max="12045" width="16.33203125" style="2893" customWidth="1"/>
    <col min="12046" max="12046" width="7.109375" style="2893" customWidth="1"/>
    <col min="12047" max="12047" width="18.44140625" style="2893" customWidth="1"/>
    <col min="12048" max="12048" width="9" style="2893" customWidth="1"/>
    <col min="12049" max="12288" width="8.88671875" style="2893"/>
    <col min="12289" max="12289" width="43" style="2893" customWidth="1"/>
    <col min="12290" max="12290" width="7.109375" style="2893" customWidth="1"/>
    <col min="12291" max="12291" width="15.88671875" style="2893" customWidth="1"/>
    <col min="12292" max="12292" width="43" style="2893" customWidth="1"/>
    <col min="12293" max="12293" width="9" style="2893" customWidth="1"/>
    <col min="12294" max="12295" width="15.88671875" style="2893" customWidth="1"/>
    <col min="12296" max="12296" width="22.77734375" style="2893" customWidth="1"/>
    <col min="12297" max="12297" width="10.21875" style="2893" customWidth="1"/>
    <col min="12298" max="12298" width="57.33203125" style="2893" customWidth="1"/>
    <col min="12299" max="12300" width="12.109375" style="2893" customWidth="1"/>
    <col min="12301" max="12301" width="16.33203125" style="2893" customWidth="1"/>
    <col min="12302" max="12302" width="7.109375" style="2893" customWidth="1"/>
    <col min="12303" max="12303" width="18.44140625" style="2893" customWidth="1"/>
    <col min="12304" max="12304" width="9" style="2893" customWidth="1"/>
    <col min="12305" max="12544" width="8.88671875" style="2893"/>
    <col min="12545" max="12545" width="43" style="2893" customWidth="1"/>
    <col min="12546" max="12546" width="7.109375" style="2893" customWidth="1"/>
    <col min="12547" max="12547" width="15.88671875" style="2893" customWidth="1"/>
    <col min="12548" max="12548" width="43" style="2893" customWidth="1"/>
    <col min="12549" max="12549" width="9" style="2893" customWidth="1"/>
    <col min="12550" max="12551" width="15.88671875" style="2893" customWidth="1"/>
    <col min="12552" max="12552" width="22.77734375" style="2893" customWidth="1"/>
    <col min="12553" max="12553" width="10.21875" style="2893" customWidth="1"/>
    <col min="12554" max="12554" width="57.33203125" style="2893" customWidth="1"/>
    <col min="12555" max="12556" width="12.109375" style="2893" customWidth="1"/>
    <col min="12557" max="12557" width="16.33203125" style="2893" customWidth="1"/>
    <col min="12558" max="12558" width="7.109375" style="2893" customWidth="1"/>
    <col min="12559" max="12559" width="18.44140625" style="2893" customWidth="1"/>
    <col min="12560" max="12560" width="9" style="2893" customWidth="1"/>
    <col min="12561" max="12800" width="8.88671875" style="2893"/>
    <col min="12801" max="12801" width="43" style="2893" customWidth="1"/>
    <col min="12802" max="12802" width="7.109375" style="2893" customWidth="1"/>
    <col min="12803" max="12803" width="15.88671875" style="2893" customWidth="1"/>
    <col min="12804" max="12804" width="43" style="2893" customWidth="1"/>
    <col min="12805" max="12805" width="9" style="2893" customWidth="1"/>
    <col min="12806" max="12807" width="15.88671875" style="2893" customWidth="1"/>
    <col min="12808" max="12808" width="22.77734375" style="2893" customWidth="1"/>
    <col min="12809" max="12809" width="10.21875" style="2893" customWidth="1"/>
    <col min="12810" max="12810" width="57.33203125" style="2893" customWidth="1"/>
    <col min="12811" max="12812" width="12.109375" style="2893" customWidth="1"/>
    <col min="12813" max="12813" width="16.33203125" style="2893" customWidth="1"/>
    <col min="12814" max="12814" width="7.109375" style="2893" customWidth="1"/>
    <col min="12815" max="12815" width="18.44140625" style="2893" customWidth="1"/>
    <col min="12816" max="12816" width="9" style="2893" customWidth="1"/>
    <col min="12817" max="13056" width="8.88671875" style="2893"/>
    <col min="13057" max="13057" width="43" style="2893" customWidth="1"/>
    <col min="13058" max="13058" width="7.109375" style="2893" customWidth="1"/>
    <col min="13059" max="13059" width="15.88671875" style="2893" customWidth="1"/>
    <col min="13060" max="13060" width="43" style="2893" customWidth="1"/>
    <col min="13061" max="13061" width="9" style="2893" customWidth="1"/>
    <col min="13062" max="13063" width="15.88671875" style="2893" customWidth="1"/>
    <col min="13064" max="13064" width="22.77734375" style="2893" customWidth="1"/>
    <col min="13065" max="13065" width="10.21875" style="2893" customWidth="1"/>
    <col min="13066" max="13066" width="57.33203125" style="2893" customWidth="1"/>
    <col min="13067" max="13068" width="12.109375" style="2893" customWidth="1"/>
    <col min="13069" max="13069" width="16.33203125" style="2893" customWidth="1"/>
    <col min="13070" max="13070" width="7.109375" style="2893" customWidth="1"/>
    <col min="13071" max="13071" width="18.44140625" style="2893" customWidth="1"/>
    <col min="13072" max="13072" width="9" style="2893" customWidth="1"/>
    <col min="13073" max="13312" width="8.88671875" style="2893"/>
    <col min="13313" max="13313" width="43" style="2893" customWidth="1"/>
    <col min="13314" max="13314" width="7.109375" style="2893" customWidth="1"/>
    <col min="13315" max="13315" width="15.88671875" style="2893" customWidth="1"/>
    <col min="13316" max="13316" width="43" style="2893" customWidth="1"/>
    <col min="13317" max="13317" width="9" style="2893" customWidth="1"/>
    <col min="13318" max="13319" width="15.88671875" style="2893" customWidth="1"/>
    <col min="13320" max="13320" width="22.77734375" style="2893" customWidth="1"/>
    <col min="13321" max="13321" width="10.21875" style="2893" customWidth="1"/>
    <col min="13322" max="13322" width="57.33203125" style="2893" customWidth="1"/>
    <col min="13323" max="13324" width="12.109375" style="2893" customWidth="1"/>
    <col min="13325" max="13325" width="16.33203125" style="2893" customWidth="1"/>
    <col min="13326" max="13326" width="7.109375" style="2893" customWidth="1"/>
    <col min="13327" max="13327" width="18.44140625" style="2893" customWidth="1"/>
    <col min="13328" max="13328" width="9" style="2893" customWidth="1"/>
    <col min="13329" max="13568" width="8.88671875" style="2893"/>
    <col min="13569" max="13569" width="43" style="2893" customWidth="1"/>
    <col min="13570" max="13570" width="7.109375" style="2893" customWidth="1"/>
    <col min="13571" max="13571" width="15.88671875" style="2893" customWidth="1"/>
    <col min="13572" max="13572" width="43" style="2893" customWidth="1"/>
    <col min="13573" max="13573" width="9" style="2893" customWidth="1"/>
    <col min="13574" max="13575" width="15.88671875" style="2893" customWidth="1"/>
    <col min="13576" max="13576" width="22.77734375" style="2893" customWidth="1"/>
    <col min="13577" max="13577" width="10.21875" style="2893" customWidth="1"/>
    <col min="13578" max="13578" width="57.33203125" style="2893" customWidth="1"/>
    <col min="13579" max="13580" width="12.109375" style="2893" customWidth="1"/>
    <col min="13581" max="13581" width="16.33203125" style="2893" customWidth="1"/>
    <col min="13582" max="13582" width="7.109375" style="2893" customWidth="1"/>
    <col min="13583" max="13583" width="18.44140625" style="2893" customWidth="1"/>
    <col min="13584" max="13584" width="9" style="2893" customWidth="1"/>
    <col min="13585" max="13824" width="8.88671875" style="2893"/>
    <col min="13825" max="13825" width="43" style="2893" customWidth="1"/>
    <col min="13826" max="13826" width="7.109375" style="2893" customWidth="1"/>
    <col min="13827" max="13827" width="15.88671875" style="2893" customWidth="1"/>
    <col min="13828" max="13828" width="43" style="2893" customWidth="1"/>
    <col min="13829" max="13829" width="9" style="2893" customWidth="1"/>
    <col min="13830" max="13831" width="15.88671875" style="2893" customWidth="1"/>
    <col min="13832" max="13832" width="22.77734375" style="2893" customWidth="1"/>
    <col min="13833" max="13833" width="10.21875" style="2893" customWidth="1"/>
    <col min="13834" max="13834" width="57.33203125" style="2893" customWidth="1"/>
    <col min="13835" max="13836" width="12.109375" style="2893" customWidth="1"/>
    <col min="13837" max="13837" width="16.33203125" style="2893" customWidth="1"/>
    <col min="13838" max="13838" width="7.109375" style="2893" customWidth="1"/>
    <col min="13839" max="13839" width="18.44140625" style="2893" customWidth="1"/>
    <col min="13840" max="13840" width="9" style="2893" customWidth="1"/>
    <col min="13841" max="14080" width="8.88671875" style="2893"/>
    <col min="14081" max="14081" width="43" style="2893" customWidth="1"/>
    <col min="14082" max="14082" width="7.109375" style="2893" customWidth="1"/>
    <col min="14083" max="14083" width="15.88671875" style="2893" customWidth="1"/>
    <col min="14084" max="14084" width="43" style="2893" customWidth="1"/>
    <col min="14085" max="14085" width="9" style="2893" customWidth="1"/>
    <col min="14086" max="14087" width="15.88671875" style="2893" customWidth="1"/>
    <col min="14088" max="14088" width="22.77734375" style="2893" customWidth="1"/>
    <col min="14089" max="14089" width="10.21875" style="2893" customWidth="1"/>
    <col min="14090" max="14090" width="57.33203125" style="2893" customWidth="1"/>
    <col min="14091" max="14092" width="12.109375" style="2893" customWidth="1"/>
    <col min="14093" max="14093" width="16.33203125" style="2893" customWidth="1"/>
    <col min="14094" max="14094" width="7.109375" style="2893" customWidth="1"/>
    <col min="14095" max="14095" width="18.44140625" style="2893" customWidth="1"/>
    <col min="14096" max="14096" width="9" style="2893" customWidth="1"/>
    <col min="14097" max="14336" width="8.88671875" style="2893"/>
    <col min="14337" max="14337" width="43" style="2893" customWidth="1"/>
    <col min="14338" max="14338" width="7.109375" style="2893" customWidth="1"/>
    <col min="14339" max="14339" width="15.88671875" style="2893" customWidth="1"/>
    <col min="14340" max="14340" width="43" style="2893" customWidth="1"/>
    <col min="14341" max="14341" width="9" style="2893" customWidth="1"/>
    <col min="14342" max="14343" width="15.88671875" style="2893" customWidth="1"/>
    <col min="14344" max="14344" width="22.77734375" style="2893" customWidth="1"/>
    <col min="14345" max="14345" width="10.21875" style="2893" customWidth="1"/>
    <col min="14346" max="14346" width="57.33203125" style="2893" customWidth="1"/>
    <col min="14347" max="14348" width="12.109375" style="2893" customWidth="1"/>
    <col min="14349" max="14349" width="16.33203125" style="2893" customWidth="1"/>
    <col min="14350" max="14350" width="7.109375" style="2893" customWidth="1"/>
    <col min="14351" max="14351" width="18.44140625" style="2893" customWidth="1"/>
    <col min="14352" max="14352" width="9" style="2893" customWidth="1"/>
    <col min="14353" max="14592" width="8.88671875" style="2893"/>
    <col min="14593" max="14593" width="43" style="2893" customWidth="1"/>
    <col min="14594" max="14594" width="7.109375" style="2893" customWidth="1"/>
    <col min="14595" max="14595" width="15.88671875" style="2893" customWidth="1"/>
    <col min="14596" max="14596" width="43" style="2893" customWidth="1"/>
    <col min="14597" max="14597" width="9" style="2893" customWidth="1"/>
    <col min="14598" max="14599" width="15.88671875" style="2893" customWidth="1"/>
    <col min="14600" max="14600" width="22.77734375" style="2893" customWidth="1"/>
    <col min="14601" max="14601" width="10.21875" style="2893" customWidth="1"/>
    <col min="14602" max="14602" width="57.33203125" style="2893" customWidth="1"/>
    <col min="14603" max="14604" width="12.109375" style="2893" customWidth="1"/>
    <col min="14605" max="14605" width="16.33203125" style="2893" customWidth="1"/>
    <col min="14606" max="14606" width="7.109375" style="2893" customWidth="1"/>
    <col min="14607" max="14607" width="18.44140625" style="2893" customWidth="1"/>
    <col min="14608" max="14608" width="9" style="2893" customWidth="1"/>
    <col min="14609" max="14848" width="8.88671875" style="2893"/>
    <col min="14849" max="14849" width="43" style="2893" customWidth="1"/>
    <col min="14850" max="14850" width="7.109375" style="2893" customWidth="1"/>
    <col min="14851" max="14851" width="15.88671875" style="2893" customWidth="1"/>
    <col min="14852" max="14852" width="43" style="2893" customWidth="1"/>
    <col min="14853" max="14853" width="9" style="2893" customWidth="1"/>
    <col min="14854" max="14855" width="15.88671875" style="2893" customWidth="1"/>
    <col min="14856" max="14856" width="22.77734375" style="2893" customWidth="1"/>
    <col min="14857" max="14857" width="10.21875" style="2893" customWidth="1"/>
    <col min="14858" max="14858" width="57.33203125" style="2893" customWidth="1"/>
    <col min="14859" max="14860" width="12.109375" style="2893" customWidth="1"/>
    <col min="14861" max="14861" width="16.33203125" style="2893" customWidth="1"/>
    <col min="14862" max="14862" width="7.109375" style="2893" customWidth="1"/>
    <col min="14863" max="14863" width="18.44140625" style="2893" customWidth="1"/>
    <col min="14864" max="14864" width="9" style="2893" customWidth="1"/>
    <col min="14865" max="15104" width="8.88671875" style="2893"/>
    <col min="15105" max="15105" width="43" style="2893" customWidth="1"/>
    <col min="15106" max="15106" width="7.109375" style="2893" customWidth="1"/>
    <col min="15107" max="15107" width="15.88671875" style="2893" customWidth="1"/>
    <col min="15108" max="15108" width="43" style="2893" customWidth="1"/>
    <col min="15109" max="15109" width="9" style="2893" customWidth="1"/>
    <col min="15110" max="15111" width="15.88671875" style="2893" customWidth="1"/>
    <col min="15112" max="15112" width="22.77734375" style="2893" customWidth="1"/>
    <col min="15113" max="15113" width="10.21875" style="2893" customWidth="1"/>
    <col min="15114" max="15114" width="57.33203125" style="2893" customWidth="1"/>
    <col min="15115" max="15116" width="12.109375" style="2893" customWidth="1"/>
    <col min="15117" max="15117" width="16.33203125" style="2893" customWidth="1"/>
    <col min="15118" max="15118" width="7.109375" style="2893" customWidth="1"/>
    <col min="15119" max="15119" width="18.44140625" style="2893" customWidth="1"/>
    <col min="15120" max="15120" width="9" style="2893" customWidth="1"/>
    <col min="15121" max="15360" width="8.88671875" style="2893"/>
    <col min="15361" max="15361" width="43" style="2893" customWidth="1"/>
    <col min="15362" max="15362" width="7.109375" style="2893" customWidth="1"/>
    <col min="15363" max="15363" width="15.88671875" style="2893" customWidth="1"/>
    <col min="15364" max="15364" width="43" style="2893" customWidth="1"/>
    <col min="15365" max="15365" width="9" style="2893" customWidth="1"/>
    <col min="15366" max="15367" width="15.88671875" style="2893" customWidth="1"/>
    <col min="15368" max="15368" width="22.77734375" style="2893" customWidth="1"/>
    <col min="15369" max="15369" width="10.21875" style="2893" customWidth="1"/>
    <col min="15370" max="15370" width="57.33203125" style="2893" customWidth="1"/>
    <col min="15371" max="15372" width="12.109375" style="2893" customWidth="1"/>
    <col min="15373" max="15373" width="16.33203125" style="2893" customWidth="1"/>
    <col min="15374" max="15374" width="7.109375" style="2893" customWidth="1"/>
    <col min="15375" max="15375" width="18.44140625" style="2893" customWidth="1"/>
    <col min="15376" max="15376" width="9" style="2893" customWidth="1"/>
    <col min="15377" max="15616" width="8.88671875" style="2893"/>
    <col min="15617" max="15617" width="43" style="2893" customWidth="1"/>
    <col min="15618" max="15618" width="7.109375" style="2893" customWidth="1"/>
    <col min="15619" max="15619" width="15.88671875" style="2893" customWidth="1"/>
    <col min="15620" max="15620" width="43" style="2893" customWidth="1"/>
    <col min="15621" max="15621" width="9" style="2893" customWidth="1"/>
    <col min="15622" max="15623" width="15.88671875" style="2893" customWidth="1"/>
    <col min="15624" max="15624" width="22.77734375" style="2893" customWidth="1"/>
    <col min="15625" max="15625" width="10.21875" style="2893" customWidth="1"/>
    <col min="15626" max="15626" width="57.33203125" style="2893" customWidth="1"/>
    <col min="15627" max="15628" width="12.109375" style="2893" customWidth="1"/>
    <col min="15629" max="15629" width="16.33203125" style="2893" customWidth="1"/>
    <col min="15630" max="15630" width="7.109375" style="2893" customWidth="1"/>
    <col min="15631" max="15631" width="18.44140625" style="2893" customWidth="1"/>
    <col min="15632" max="15632" width="9" style="2893" customWidth="1"/>
    <col min="15633" max="15872" width="8.88671875" style="2893"/>
    <col min="15873" max="15873" width="43" style="2893" customWidth="1"/>
    <col min="15874" max="15874" width="7.109375" style="2893" customWidth="1"/>
    <col min="15875" max="15875" width="15.88671875" style="2893" customWidth="1"/>
    <col min="15876" max="15876" width="43" style="2893" customWidth="1"/>
    <col min="15877" max="15877" width="9" style="2893" customWidth="1"/>
    <col min="15878" max="15879" width="15.88671875" style="2893" customWidth="1"/>
    <col min="15880" max="15880" width="22.77734375" style="2893" customWidth="1"/>
    <col min="15881" max="15881" width="10.21875" style="2893" customWidth="1"/>
    <col min="15882" max="15882" width="57.33203125" style="2893" customWidth="1"/>
    <col min="15883" max="15884" width="12.109375" style="2893" customWidth="1"/>
    <col min="15885" max="15885" width="16.33203125" style="2893" customWidth="1"/>
    <col min="15886" max="15886" width="7.109375" style="2893" customWidth="1"/>
    <col min="15887" max="15887" width="18.44140625" style="2893" customWidth="1"/>
    <col min="15888" max="15888" width="9" style="2893" customWidth="1"/>
    <col min="15889" max="16128" width="8.88671875" style="2893"/>
    <col min="16129" max="16129" width="43" style="2893" customWidth="1"/>
    <col min="16130" max="16130" width="7.109375" style="2893" customWidth="1"/>
    <col min="16131" max="16131" width="15.88671875" style="2893" customWidth="1"/>
    <col min="16132" max="16132" width="43" style="2893" customWidth="1"/>
    <col min="16133" max="16133" width="9" style="2893" customWidth="1"/>
    <col min="16134" max="16135" width="15.88671875" style="2893" customWidth="1"/>
    <col min="16136" max="16136" width="22.77734375" style="2893" customWidth="1"/>
    <col min="16137" max="16137" width="10.21875" style="2893" customWidth="1"/>
    <col min="16138" max="16138" width="57.33203125" style="2893" customWidth="1"/>
    <col min="16139" max="16140" width="12.109375" style="2893" customWidth="1"/>
    <col min="16141" max="16141" width="16.33203125" style="2893" customWidth="1"/>
    <col min="16142" max="16142" width="7.109375" style="2893" customWidth="1"/>
    <col min="16143" max="16143" width="18.44140625" style="2893" customWidth="1"/>
    <col min="16144" max="16144" width="9" style="2893" customWidth="1"/>
    <col min="16145" max="16384" width="8.88671875" style="2893"/>
  </cols>
  <sheetData>
    <row r="1" spans="1:16">
      <c r="A1" s="2893" t="s">
        <v>3067</v>
      </c>
      <c r="B1" s="2893" t="s">
        <v>3068</v>
      </c>
      <c r="C1" s="2893" t="s">
        <v>3069</v>
      </c>
      <c r="D1" s="2893" t="s">
        <v>3070</v>
      </c>
      <c r="E1" s="2893" t="s">
        <v>3071</v>
      </c>
      <c r="F1" s="2893" t="s">
        <v>3072</v>
      </c>
      <c r="G1" s="2893" t="s">
        <v>3073</v>
      </c>
      <c r="H1" s="2893" t="s">
        <v>2028</v>
      </c>
      <c r="I1" s="2893" t="s">
        <v>3074</v>
      </c>
      <c r="J1" s="2893" t="s">
        <v>3075</v>
      </c>
      <c r="K1" s="2893" t="s">
        <v>3076</v>
      </c>
      <c r="L1" s="2893" t="s">
        <v>3077</v>
      </c>
      <c r="M1" s="2893" t="s">
        <v>3078</v>
      </c>
      <c r="N1" s="2893" t="s">
        <v>3079</v>
      </c>
      <c r="O1" s="2893" t="s">
        <v>3080</v>
      </c>
      <c r="P1" s="2893" t="s">
        <v>3081</v>
      </c>
    </row>
    <row r="2" spans="1:16">
      <c r="A2" s="2893" t="s">
        <v>3082</v>
      </c>
      <c r="B2" s="2893" t="s">
        <v>3083</v>
      </c>
      <c r="C2" s="2893" t="s">
        <v>3084</v>
      </c>
      <c r="D2" s="2893" t="s">
        <v>3082</v>
      </c>
      <c r="E2" s="2893" t="s">
        <v>3085</v>
      </c>
      <c r="F2" s="2893">
        <v>25822.11</v>
      </c>
      <c r="G2" s="2893">
        <v>36150.949999999997</v>
      </c>
      <c r="H2" s="2893" t="s">
        <v>3086</v>
      </c>
      <c r="I2" s="2893" t="s">
        <v>3087</v>
      </c>
      <c r="J2" s="2893" t="s">
        <v>3088</v>
      </c>
      <c r="K2" s="2893">
        <v>43532.51</v>
      </c>
      <c r="L2" s="2893">
        <v>43532.51</v>
      </c>
      <c r="M2" s="2893">
        <v>12041.87</v>
      </c>
      <c r="N2" s="2893">
        <v>0</v>
      </c>
      <c r="O2" s="2893" t="s">
        <v>3089</v>
      </c>
      <c r="P2" s="2893" t="s">
        <v>3090</v>
      </c>
    </row>
    <row r="3" spans="1:16">
      <c r="A3" s="2893" t="s">
        <v>3082</v>
      </c>
      <c r="B3" s="2893" t="s">
        <v>3083</v>
      </c>
      <c r="C3" s="2893" t="s">
        <v>3084</v>
      </c>
      <c r="D3" s="2893" t="s">
        <v>3082</v>
      </c>
      <c r="E3" s="2893" t="s">
        <v>3085</v>
      </c>
      <c r="F3" s="2893">
        <v>55229.24</v>
      </c>
      <c r="G3" s="2893">
        <v>77320.94</v>
      </c>
      <c r="H3" s="2893" t="s">
        <v>3086</v>
      </c>
      <c r="I3" s="2893" t="s">
        <v>3087</v>
      </c>
      <c r="J3" s="2893" t="s">
        <v>3091</v>
      </c>
      <c r="K3" s="2893">
        <v>93112.16</v>
      </c>
      <c r="L3" s="2893">
        <v>93112.16</v>
      </c>
      <c r="M3" s="2893">
        <v>12042.29</v>
      </c>
      <c r="N3" s="2893">
        <v>0</v>
      </c>
      <c r="O3" s="2893" t="s">
        <v>3089</v>
      </c>
      <c r="P3" s="2893" t="s">
        <v>3090</v>
      </c>
    </row>
    <row r="4" spans="1:16">
      <c r="A4" s="2893" t="s">
        <v>3082</v>
      </c>
      <c r="B4" s="2893" t="s">
        <v>3083</v>
      </c>
      <c r="C4" s="2893" t="s">
        <v>3084</v>
      </c>
      <c r="D4" s="2893" t="s">
        <v>3082</v>
      </c>
      <c r="E4" s="2893" t="s">
        <v>3085</v>
      </c>
      <c r="F4" s="2893">
        <v>40105.61</v>
      </c>
      <c r="G4" s="2893">
        <v>56147.85</v>
      </c>
      <c r="H4" s="2893" t="s">
        <v>3086</v>
      </c>
      <c r="I4" s="2893" t="s">
        <v>3087</v>
      </c>
      <c r="J4" s="2893" t="s">
        <v>3091</v>
      </c>
      <c r="K4" s="2893">
        <v>67619.83</v>
      </c>
      <c r="L4" s="2893">
        <v>67619.83</v>
      </c>
      <c r="M4" s="2893">
        <v>12043.18</v>
      </c>
      <c r="N4" s="2893">
        <v>0</v>
      </c>
      <c r="O4" s="2893" t="s">
        <v>3089</v>
      </c>
      <c r="P4" s="2893" t="s">
        <v>3090</v>
      </c>
    </row>
    <row r="5" spans="1:16">
      <c r="A5" s="2893" t="s">
        <v>3082</v>
      </c>
      <c r="B5" s="2893" t="s">
        <v>3083</v>
      </c>
      <c r="C5" s="2893" t="s">
        <v>3084</v>
      </c>
      <c r="D5" s="2893" t="s">
        <v>3082</v>
      </c>
      <c r="E5" s="2893" t="s">
        <v>3085</v>
      </c>
      <c r="F5" s="2893">
        <v>46328.92</v>
      </c>
      <c r="G5" s="2893">
        <v>50035.23</v>
      </c>
      <c r="H5" s="2893" t="s">
        <v>3092</v>
      </c>
      <c r="I5" s="2893" t="s">
        <v>3087</v>
      </c>
      <c r="J5" s="2893" t="s">
        <v>3091</v>
      </c>
      <c r="K5" s="2893">
        <v>67127.33</v>
      </c>
      <c r="L5" s="2893">
        <v>67127.33</v>
      </c>
      <c r="M5" s="2893">
        <v>13416.02</v>
      </c>
      <c r="N5" s="2893">
        <v>0</v>
      </c>
      <c r="O5" s="2893" t="s">
        <v>3093</v>
      </c>
      <c r="P5" s="2893" t="s">
        <v>3090</v>
      </c>
    </row>
    <row r="6" spans="1:16">
      <c r="A6" s="2893" t="s">
        <v>3082</v>
      </c>
      <c r="B6" s="2893" t="s">
        <v>3083</v>
      </c>
      <c r="C6" s="2893" t="s">
        <v>3084</v>
      </c>
      <c r="D6" s="2893" t="s">
        <v>3082</v>
      </c>
      <c r="E6" s="2893" t="s">
        <v>3085</v>
      </c>
      <c r="F6" s="2893">
        <v>52534.59</v>
      </c>
      <c r="G6" s="2893">
        <v>56212.01</v>
      </c>
      <c r="H6" s="2893" t="s">
        <v>3094</v>
      </c>
      <c r="I6" s="2893" t="s">
        <v>3087</v>
      </c>
      <c r="J6" s="2893" t="s">
        <v>3088</v>
      </c>
      <c r="K6" s="2893">
        <v>76042</v>
      </c>
      <c r="L6" s="2893">
        <v>76042</v>
      </c>
      <c r="M6" s="2893">
        <v>13527.7</v>
      </c>
      <c r="N6" s="2893">
        <v>0</v>
      </c>
      <c r="O6" s="2893" t="s">
        <v>3093</v>
      </c>
      <c r="P6" s="2893" t="s">
        <v>3090</v>
      </c>
    </row>
    <row r="7" spans="1:16">
      <c r="A7" s="2893" t="s">
        <v>3082</v>
      </c>
      <c r="B7" s="2893" t="s">
        <v>3083</v>
      </c>
      <c r="C7" s="2893" t="s">
        <v>3095</v>
      </c>
      <c r="D7" s="2893" t="s">
        <v>3082</v>
      </c>
      <c r="E7" s="2893" t="s">
        <v>3096</v>
      </c>
      <c r="F7" s="2893">
        <v>38055.5</v>
      </c>
      <c r="G7" s="2893">
        <v>191799.72</v>
      </c>
      <c r="H7" s="2893" t="s">
        <v>3097</v>
      </c>
      <c r="I7" s="2893" t="s">
        <v>3098</v>
      </c>
      <c r="J7" s="2893" t="s">
        <v>3099</v>
      </c>
      <c r="K7" s="2893">
        <v>84826.96</v>
      </c>
      <c r="L7" s="2893">
        <v>84826.96</v>
      </c>
      <c r="M7" s="2893">
        <v>4422.68</v>
      </c>
      <c r="N7" s="2893">
        <v>0</v>
      </c>
      <c r="O7" s="2893" t="s">
        <v>3100</v>
      </c>
      <c r="P7" s="2893" t="s">
        <v>3101</v>
      </c>
    </row>
    <row r="8" spans="1:16">
      <c r="A8" s="2893" t="s">
        <v>3102</v>
      </c>
      <c r="B8" s="2893" t="s">
        <v>3083</v>
      </c>
      <c r="C8" s="2893" t="s">
        <v>3084</v>
      </c>
      <c r="D8" s="2893" t="s">
        <v>3102</v>
      </c>
      <c r="E8" s="2893" t="s">
        <v>3096</v>
      </c>
      <c r="F8" s="2893">
        <v>50973.57</v>
      </c>
      <c r="G8" s="2893">
        <v>201855.34</v>
      </c>
      <c r="H8" s="2893" t="s">
        <v>3103</v>
      </c>
      <c r="I8" s="2893" t="s">
        <v>3104</v>
      </c>
      <c r="J8" s="2893" t="s">
        <v>3105</v>
      </c>
      <c r="K8" s="2893">
        <v>17356.41</v>
      </c>
      <c r="L8" s="2893">
        <v>17356.41</v>
      </c>
      <c r="M8" s="2893">
        <v>859.84</v>
      </c>
      <c r="N8" s="2893">
        <v>0</v>
      </c>
      <c r="O8" s="2893" t="s">
        <v>3093</v>
      </c>
      <c r="P8" s="2893" t="s">
        <v>3090</v>
      </c>
    </row>
    <row r="9" spans="1:16" s="3494" customFormat="1">
      <c r="A9" s="3494" t="s">
        <v>3106</v>
      </c>
      <c r="B9" s="3494" t="s">
        <v>3083</v>
      </c>
      <c r="C9" s="3494" t="s">
        <v>3095</v>
      </c>
      <c r="D9" s="3494" t="s">
        <v>3106</v>
      </c>
      <c r="E9" s="3494" t="s">
        <v>3096</v>
      </c>
      <c r="F9" s="3494">
        <v>1940.78</v>
      </c>
      <c r="G9" s="3494">
        <v>7374.96</v>
      </c>
      <c r="H9" s="3494" t="s">
        <v>3107</v>
      </c>
      <c r="I9" s="3494" t="s">
        <v>3104</v>
      </c>
      <c r="J9" s="3494" t="s">
        <v>3108</v>
      </c>
      <c r="K9" s="3494">
        <v>2939.09</v>
      </c>
      <c r="L9" s="3494">
        <v>2939.09</v>
      </c>
      <c r="M9" s="3494">
        <v>3985.23</v>
      </c>
      <c r="N9" s="3494">
        <v>0</v>
      </c>
      <c r="O9" s="3494" t="s">
        <v>3109</v>
      </c>
      <c r="P9" s="3494" t="s">
        <v>3101</v>
      </c>
    </row>
    <row r="10" spans="1:16">
      <c r="A10" s="2893" t="s">
        <v>3102</v>
      </c>
      <c r="B10" s="2893" t="s">
        <v>3083</v>
      </c>
      <c r="C10" s="2893" t="s">
        <v>3084</v>
      </c>
      <c r="D10" s="2893" t="s">
        <v>3102</v>
      </c>
      <c r="E10" s="2893" t="s">
        <v>3096</v>
      </c>
      <c r="F10" s="2893">
        <v>58600.13</v>
      </c>
      <c r="G10" s="2893">
        <v>169940.38</v>
      </c>
      <c r="H10" s="2893" t="s">
        <v>3110</v>
      </c>
      <c r="I10" s="2893" t="s">
        <v>3104</v>
      </c>
      <c r="J10" s="2893" t="s">
        <v>3105</v>
      </c>
      <c r="K10" s="2893">
        <v>19953.29</v>
      </c>
      <c r="L10" s="2893">
        <v>19953.29</v>
      </c>
      <c r="M10" s="2893">
        <v>1174.1400000000001</v>
      </c>
      <c r="N10" s="2893">
        <v>0</v>
      </c>
      <c r="O10" s="2893" t="s">
        <v>3093</v>
      </c>
      <c r="P10" s="2893" t="s">
        <v>3090</v>
      </c>
    </row>
    <row r="11" spans="1:16">
      <c r="A11" s="2893" t="s">
        <v>3111</v>
      </c>
      <c r="B11" s="2893" t="s">
        <v>3083</v>
      </c>
      <c r="C11" s="2893" t="s">
        <v>3084</v>
      </c>
      <c r="D11" s="2893" t="s">
        <v>3111</v>
      </c>
      <c r="E11" s="2893" t="s">
        <v>3085</v>
      </c>
      <c r="F11" s="2893">
        <v>38524.410000000003</v>
      </c>
      <c r="G11" s="2893">
        <v>154097.64000000001</v>
      </c>
      <c r="H11" s="2893" t="s">
        <v>3112</v>
      </c>
      <c r="I11" s="2893" t="s">
        <v>3113</v>
      </c>
      <c r="J11" s="2893" t="s">
        <v>3114</v>
      </c>
      <c r="K11" s="2893">
        <v>94299.24</v>
      </c>
      <c r="L11" s="2893">
        <v>94299.24</v>
      </c>
      <c r="M11" s="2893">
        <v>6119.44</v>
      </c>
      <c r="N11" s="2893">
        <v>0</v>
      </c>
      <c r="O11" s="2893" t="s">
        <v>3093</v>
      </c>
      <c r="P11" s="2893" t="s">
        <v>3101</v>
      </c>
    </row>
    <row r="12" spans="1:16">
      <c r="A12" s="2893" t="s">
        <v>3111</v>
      </c>
      <c r="B12" s="2893" t="s">
        <v>3083</v>
      </c>
      <c r="C12" s="2893" t="s">
        <v>3084</v>
      </c>
      <c r="D12" s="2893" t="s">
        <v>3111</v>
      </c>
      <c r="E12" s="2893" t="s">
        <v>3085</v>
      </c>
      <c r="F12" s="2893">
        <v>44136.2</v>
      </c>
      <c r="G12" s="2893">
        <v>141235.84</v>
      </c>
      <c r="H12" s="2893" t="s">
        <v>3115</v>
      </c>
      <c r="I12" s="2893" t="s">
        <v>3113</v>
      </c>
      <c r="J12" s="2893" t="s">
        <v>3116</v>
      </c>
      <c r="K12" s="2893">
        <v>108033.88</v>
      </c>
      <c r="L12" s="2893">
        <v>108033.88</v>
      </c>
      <c r="M12" s="2893">
        <v>7649.18</v>
      </c>
      <c r="N12" s="2893">
        <v>0</v>
      </c>
      <c r="O12" s="2893" t="s">
        <v>3093</v>
      </c>
      <c r="P12" s="2893" t="s">
        <v>3101</v>
      </c>
    </row>
    <row r="13" spans="1:16">
      <c r="A13" s="2893" t="s">
        <v>3111</v>
      </c>
      <c r="B13" s="2893" t="s">
        <v>3083</v>
      </c>
      <c r="C13" s="2893" t="s">
        <v>3084</v>
      </c>
      <c r="D13" s="2893" t="s">
        <v>3111</v>
      </c>
      <c r="E13" s="2893" t="s">
        <v>3085</v>
      </c>
      <c r="F13" s="2893">
        <v>48097.42</v>
      </c>
      <c r="G13" s="2893">
        <v>192389.68</v>
      </c>
      <c r="H13" s="2893" t="s">
        <v>3112</v>
      </c>
      <c r="I13" s="2893" t="s">
        <v>3113</v>
      </c>
      <c r="J13" s="2893" t="s">
        <v>3114</v>
      </c>
      <c r="K13" s="2893">
        <v>117739.47</v>
      </c>
      <c r="L13" s="2893">
        <v>117739.47</v>
      </c>
      <c r="M13" s="2893">
        <v>6119.84</v>
      </c>
      <c r="N13" s="2893">
        <v>0</v>
      </c>
      <c r="O13" s="2893" t="s">
        <v>3093</v>
      </c>
      <c r="P13" s="2893" t="s">
        <v>3101</v>
      </c>
    </row>
    <row r="14" spans="1:16">
      <c r="A14" s="2893" t="s">
        <v>3106</v>
      </c>
      <c r="B14" s="2893" t="s">
        <v>3083</v>
      </c>
      <c r="C14" s="2893" t="s">
        <v>3084</v>
      </c>
      <c r="D14" s="2893" t="s">
        <v>3106</v>
      </c>
      <c r="E14" s="2893" t="s">
        <v>3096</v>
      </c>
      <c r="F14" s="2893">
        <v>19443.18</v>
      </c>
      <c r="G14" s="2893">
        <v>98188.06</v>
      </c>
      <c r="H14" s="2893" t="s">
        <v>3117</v>
      </c>
      <c r="I14" s="2893" t="s">
        <v>3118</v>
      </c>
      <c r="J14" s="2893" t="s">
        <v>3119</v>
      </c>
      <c r="K14" s="2893">
        <v>54867.45</v>
      </c>
      <c r="L14" s="2893">
        <v>54867.45</v>
      </c>
      <c r="M14" s="2893">
        <v>5588</v>
      </c>
      <c r="N14" s="2893">
        <v>0</v>
      </c>
      <c r="O14" s="2893" t="s">
        <v>3093</v>
      </c>
      <c r="P14" s="2893" t="s">
        <v>3090</v>
      </c>
    </row>
    <row r="15" spans="1:16">
      <c r="A15" s="2893" t="s">
        <v>3111</v>
      </c>
      <c r="B15" s="2893" t="s">
        <v>3083</v>
      </c>
      <c r="C15" s="2893" t="s">
        <v>3084</v>
      </c>
      <c r="D15" s="2893" t="s">
        <v>3111</v>
      </c>
      <c r="E15" s="2893" t="s">
        <v>3096</v>
      </c>
      <c r="F15" s="2893">
        <v>31817.1</v>
      </c>
      <c r="G15" s="2893">
        <v>164176.24</v>
      </c>
      <c r="H15" s="2893" t="s">
        <v>3120</v>
      </c>
      <c r="I15" s="2893" t="s">
        <v>3121</v>
      </c>
      <c r="J15" s="2893" t="s">
        <v>3122</v>
      </c>
      <c r="K15" s="2893">
        <v>104867.19</v>
      </c>
      <c r="L15" s="2893">
        <v>104867.19</v>
      </c>
      <c r="M15" s="2893">
        <v>6387.47</v>
      </c>
      <c r="N15" s="2893">
        <v>0</v>
      </c>
      <c r="O15" s="2893" t="s">
        <v>3093</v>
      </c>
      <c r="P15" s="2893" t="s">
        <v>3101</v>
      </c>
    </row>
    <row r="16" spans="1:16">
      <c r="A16" s="2893" t="s">
        <v>3123</v>
      </c>
      <c r="B16" s="2893" t="s">
        <v>3083</v>
      </c>
      <c r="C16" s="2893" t="s">
        <v>3095</v>
      </c>
      <c r="D16" s="2893" t="s">
        <v>3123</v>
      </c>
      <c r="E16" s="2893" t="s">
        <v>3096</v>
      </c>
      <c r="F16" s="2893">
        <v>30446.959999999999</v>
      </c>
      <c r="G16" s="2893">
        <v>137011.29999999999</v>
      </c>
      <c r="H16" s="2893" t="s">
        <v>3124</v>
      </c>
      <c r="I16" s="2893" t="s">
        <v>3125</v>
      </c>
      <c r="J16" s="2893" t="s">
        <v>3126</v>
      </c>
      <c r="K16" s="2893">
        <v>109751</v>
      </c>
      <c r="L16" s="2893">
        <v>109751.1</v>
      </c>
      <c r="M16" s="2893">
        <v>8010.36</v>
      </c>
      <c r="N16" s="2893">
        <v>0</v>
      </c>
      <c r="O16" s="2893" t="s">
        <v>3127</v>
      </c>
      <c r="P16" s="2893" t="s">
        <v>3101</v>
      </c>
    </row>
    <row r="17" spans="1:16">
      <c r="A17" s="2893" t="s">
        <v>3123</v>
      </c>
      <c r="B17" s="2893" t="s">
        <v>3083</v>
      </c>
      <c r="C17" s="2893" t="s">
        <v>3095</v>
      </c>
      <c r="D17" s="2893" t="s">
        <v>3123</v>
      </c>
      <c r="E17" s="2893" t="s">
        <v>3096</v>
      </c>
      <c r="F17" s="2893">
        <v>13484.07</v>
      </c>
      <c r="G17" s="2893">
        <v>97220.14</v>
      </c>
      <c r="H17" s="2893" t="s">
        <v>3128</v>
      </c>
      <c r="I17" s="2893" t="s">
        <v>3125</v>
      </c>
      <c r="J17" s="2893" t="s">
        <v>3126</v>
      </c>
      <c r="K17" s="2893">
        <v>48594.080000000002</v>
      </c>
      <c r="L17" s="2893">
        <v>48594.080000000002</v>
      </c>
      <c r="M17" s="2893">
        <v>4998.3500000000004</v>
      </c>
      <c r="N17" s="2893">
        <v>0</v>
      </c>
      <c r="O17" s="2893" t="s">
        <v>3127</v>
      </c>
      <c r="P17" s="2893" t="s">
        <v>3101</v>
      </c>
    </row>
    <row r="18" spans="1:16">
      <c r="A18" s="2893" t="s">
        <v>3123</v>
      </c>
      <c r="B18" s="2893" t="s">
        <v>3083</v>
      </c>
      <c r="C18" s="2893" t="s">
        <v>3095</v>
      </c>
      <c r="D18" s="2893" t="s">
        <v>3123</v>
      </c>
      <c r="E18" s="2893" t="s">
        <v>3096</v>
      </c>
      <c r="F18" s="2893">
        <v>51589.86</v>
      </c>
      <c r="G18" s="2893">
        <v>296125.8</v>
      </c>
      <c r="H18" s="2893" t="s">
        <v>3129</v>
      </c>
      <c r="I18" s="2893" t="s">
        <v>3125</v>
      </c>
      <c r="J18" s="2893" t="s">
        <v>3126</v>
      </c>
      <c r="K18" s="2893">
        <v>185969.1</v>
      </c>
      <c r="L18" s="2893">
        <v>185969.1</v>
      </c>
      <c r="M18" s="2893">
        <v>6280.06</v>
      </c>
      <c r="N18" s="2893">
        <v>0</v>
      </c>
      <c r="O18" s="2893" t="s">
        <v>3127</v>
      </c>
      <c r="P18" s="2893" t="s">
        <v>3101</v>
      </c>
    </row>
    <row r="19" spans="1:16">
      <c r="A19" s="2893" t="s">
        <v>3130</v>
      </c>
      <c r="B19" s="2893" t="s">
        <v>3083</v>
      </c>
      <c r="C19" s="2893" t="s">
        <v>3084</v>
      </c>
      <c r="D19" s="2893" t="s">
        <v>3130</v>
      </c>
      <c r="E19" s="2893" t="s">
        <v>3085</v>
      </c>
      <c r="F19" s="2893">
        <v>93186.07</v>
      </c>
      <c r="G19" s="2893">
        <v>111823.3</v>
      </c>
      <c r="H19" s="2893" t="s">
        <v>3131</v>
      </c>
      <c r="I19" s="2893" t="s">
        <v>3132</v>
      </c>
      <c r="J19" s="2893" t="s">
        <v>3133</v>
      </c>
      <c r="K19" s="2893">
        <v>42465.45</v>
      </c>
      <c r="L19" s="2893">
        <v>42889.97</v>
      </c>
      <c r="M19" s="2893">
        <v>3835.51</v>
      </c>
      <c r="N19" s="2893">
        <v>1</v>
      </c>
      <c r="O19" s="2893">
        <v>70</v>
      </c>
      <c r="P19" s="2893" t="s">
        <v>3090</v>
      </c>
    </row>
    <row r="20" spans="1:16">
      <c r="A20" s="2893" t="s">
        <v>3130</v>
      </c>
      <c r="B20" s="2893" t="s">
        <v>3083</v>
      </c>
      <c r="C20" s="2893" t="s">
        <v>3084</v>
      </c>
      <c r="D20" s="2893" t="s">
        <v>3130</v>
      </c>
      <c r="E20" s="2893" t="s">
        <v>3085</v>
      </c>
      <c r="F20" s="2893">
        <v>114472.6</v>
      </c>
      <c r="G20" s="2893">
        <v>137367.1</v>
      </c>
      <c r="H20" s="2893" t="s">
        <v>3131</v>
      </c>
      <c r="I20" s="2893" t="s">
        <v>3132</v>
      </c>
      <c r="J20" s="2893" t="s">
        <v>3133</v>
      </c>
      <c r="K20" s="2893">
        <v>52165.86</v>
      </c>
      <c r="L20" s="2893">
        <v>52687.33</v>
      </c>
      <c r="M20" s="2893">
        <v>3835.51</v>
      </c>
      <c r="N20" s="2893">
        <v>1</v>
      </c>
      <c r="O20" s="2893">
        <v>70</v>
      </c>
      <c r="P20" s="2893" t="s">
        <v>3090</v>
      </c>
    </row>
    <row r="21" spans="1:16">
      <c r="A21" s="2893" t="s">
        <v>3130</v>
      </c>
      <c r="B21" s="2893" t="s">
        <v>3083</v>
      </c>
      <c r="C21" s="2893" t="s">
        <v>3084</v>
      </c>
      <c r="D21" s="2893" t="s">
        <v>3130</v>
      </c>
      <c r="E21" s="2893" t="s">
        <v>3085</v>
      </c>
      <c r="F21" s="2893">
        <v>46723.06</v>
      </c>
      <c r="G21" s="2893">
        <v>84101.51</v>
      </c>
      <c r="H21" s="2893" t="s">
        <v>3134</v>
      </c>
      <c r="I21" s="2893" t="s">
        <v>3132</v>
      </c>
      <c r="J21" s="2893" t="s">
        <v>3133</v>
      </c>
      <c r="K21" s="2893">
        <v>21290.45</v>
      </c>
      <c r="L21" s="2893">
        <v>21503.27</v>
      </c>
      <c r="M21" s="2893">
        <v>2556.8200000000002</v>
      </c>
      <c r="N21" s="2893">
        <v>1</v>
      </c>
      <c r="O21" s="2893">
        <v>70</v>
      </c>
      <c r="P21" s="2893" t="s">
        <v>3090</v>
      </c>
    </row>
    <row r="22" spans="1:16">
      <c r="A22" s="2893" t="s">
        <v>3130</v>
      </c>
      <c r="B22" s="2893" t="s">
        <v>3083</v>
      </c>
      <c r="C22" s="2893" t="s">
        <v>3084</v>
      </c>
      <c r="D22" s="2893" t="s">
        <v>3130</v>
      </c>
      <c r="E22" s="2893" t="s">
        <v>3085</v>
      </c>
      <c r="F22" s="2893">
        <v>109783.2</v>
      </c>
      <c r="G22" s="2893">
        <v>197609.8</v>
      </c>
      <c r="H22" s="2893" t="s">
        <v>3134</v>
      </c>
      <c r="I22" s="2893" t="s">
        <v>3132</v>
      </c>
      <c r="J22" s="2893" t="s">
        <v>3133</v>
      </c>
      <c r="K22" s="2893">
        <v>50027.08</v>
      </c>
      <c r="L22" s="2893">
        <v>50527.19</v>
      </c>
      <c r="M22" s="2893">
        <v>2556.92</v>
      </c>
      <c r="N22" s="2893">
        <v>1</v>
      </c>
      <c r="O22" s="2893">
        <v>70</v>
      </c>
      <c r="P22" s="2893" t="s">
        <v>3090</v>
      </c>
    </row>
    <row r="23" spans="1:16">
      <c r="A23" s="2893" t="s">
        <v>3135</v>
      </c>
      <c r="B23" s="2893" t="s">
        <v>3083</v>
      </c>
      <c r="C23" s="2893" t="s">
        <v>3084</v>
      </c>
      <c r="D23" s="2893" t="s">
        <v>3135</v>
      </c>
      <c r="E23" s="2893" t="s">
        <v>3096</v>
      </c>
      <c r="F23" s="2893">
        <v>37372.07</v>
      </c>
      <c r="G23" s="2893">
        <v>183123.1</v>
      </c>
      <c r="H23" s="2893" t="s">
        <v>3136</v>
      </c>
      <c r="I23" s="2893" t="s">
        <v>3137</v>
      </c>
      <c r="J23" s="2893" t="s">
        <v>3119</v>
      </c>
      <c r="K23" s="2893">
        <v>60390.69</v>
      </c>
      <c r="L23" s="2893">
        <v>60390.69</v>
      </c>
      <c r="M23" s="2893">
        <v>3297.82</v>
      </c>
      <c r="N23" s="2893">
        <v>0</v>
      </c>
      <c r="O23" s="2893" t="s">
        <v>3093</v>
      </c>
      <c r="P23" s="2893" t="s">
        <v>3090</v>
      </c>
    </row>
    <row r="24" spans="1:16">
      <c r="A24" s="2893" t="s">
        <v>3135</v>
      </c>
      <c r="B24" s="2893" t="s">
        <v>3083</v>
      </c>
      <c r="C24" s="2893" t="s">
        <v>3084</v>
      </c>
      <c r="D24" s="2893" t="s">
        <v>3135</v>
      </c>
      <c r="E24" s="2893" t="s">
        <v>3096</v>
      </c>
      <c r="F24" s="2893">
        <v>52766.66</v>
      </c>
      <c r="G24" s="2893">
        <v>243254.3</v>
      </c>
      <c r="H24" s="2893" t="s">
        <v>3138</v>
      </c>
      <c r="I24" s="2893" t="s">
        <v>3137</v>
      </c>
      <c r="J24" s="2893" t="s">
        <v>3139</v>
      </c>
      <c r="K24" s="2893">
        <v>118448.5</v>
      </c>
      <c r="L24" s="2893">
        <v>118448.5</v>
      </c>
      <c r="M24" s="2893">
        <v>4869.32</v>
      </c>
      <c r="N24" s="2893">
        <v>0</v>
      </c>
      <c r="O24" s="2893" t="s">
        <v>3093</v>
      </c>
      <c r="P24" s="2893" t="s">
        <v>3101</v>
      </c>
    </row>
    <row r="25" spans="1:16" s="3494" customFormat="1">
      <c r="A25" s="3494" t="s">
        <v>3135</v>
      </c>
      <c r="B25" s="3494" t="s">
        <v>3083</v>
      </c>
      <c r="C25" s="3494" t="s">
        <v>3084</v>
      </c>
      <c r="D25" s="3494" t="s">
        <v>3135</v>
      </c>
      <c r="E25" s="3494" t="s">
        <v>3096</v>
      </c>
      <c r="F25" s="3494">
        <v>31675.02</v>
      </c>
      <c r="G25" s="3494">
        <v>134302.1</v>
      </c>
      <c r="H25" s="3494" t="s">
        <v>3140</v>
      </c>
      <c r="I25" s="3494" t="s">
        <v>3137</v>
      </c>
      <c r="J25" s="3494" t="s">
        <v>3119</v>
      </c>
      <c r="K25" s="3494">
        <v>51183.48</v>
      </c>
      <c r="L25" s="3494">
        <v>51183.48</v>
      </c>
      <c r="M25" s="3494">
        <v>3811.07</v>
      </c>
      <c r="N25" s="3494">
        <v>0</v>
      </c>
      <c r="O25" s="3494" t="s">
        <v>3093</v>
      </c>
      <c r="P25" s="3494" t="s">
        <v>3090</v>
      </c>
    </row>
    <row r="26" spans="1:16">
      <c r="A26" s="2893" t="s">
        <v>3123</v>
      </c>
      <c r="B26" s="2893" t="s">
        <v>3083</v>
      </c>
      <c r="C26" s="2893" t="s">
        <v>3095</v>
      </c>
      <c r="D26" s="2893" t="s">
        <v>3123</v>
      </c>
      <c r="E26" s="2893" t="s">
        <v>3096</v>
      </c>
      <c r="F26" s="2893">
        <v>7592.1</v>
      </c>
      <c r="G26" s="2893">
        <v>68860.350000000006</v>
      </c>
      <c r="H26" s="2893" t="s">
        <v>3141</v>
      </c>
      <c r="I26" s="2893" t="s">
        <v>3142</v>
      </c>
      <c r="J26" s="2893" t="s">
        <v>3143</v>
      </c>
      <c r="K26" s="2893">
        <v>13096</v>
      </c>
      <c r="L26" s="2893">
        <v>13096</v>
      </c>
      <c r="M26" s="2893">
        <v>1901.81</v>
      </c>
      <c r="N26" s="2893">
        <v>0</v>
      </c>
      <c r="O26" s="2893" t="s">
        <v>3127</v>
      </c>
      <c r="P26" s="2893" t="s">
        <v>3101</v>
      </c>
    </row>
    <row r="27" spans="1:16" s="3494" customFormat="1">
      <c r="A27" s="3494" t="s">
        <v>3123</v>
      </c>
      <c r="B27" s="3494" t="s">
        <v>3083</v>
      </c>
      <c r="C27" s="3494" t="s">
        <v>3095</v>
      </c>
      <c r="D27" s="3494" t="s">
        <v>3123</v>
      </c>
      <c r="E27" s="3494" t="s">
        <v>3096</v>
      </c>
      <c r="F27" s="3494">
        <v>27357.94</v>
      </c>
      <c r="G27" s="3494">
        <v>127488</v>
      </c>
      <c r="H27" s="3494" t="s">
        <v>3144</v>
      </c>
      <c r="I27" s="3494" t="s">
        <v>3142</v>
      </c>
      <c r="J27" s="3494" t="s">
        <v>3143</v>
      </c>
      <c r="K27" s="3494">
        <v>47199</v>
      </c>
      <c r="L27" s="3494">
        <v>47199</v>
      </c>
      <c r="M27" s="3494">
        <v>3702.23</v>
      </c>
      <c r="N27" s="3494">
        <v>0</v>
      </c>
      <c r="O27" s="3494" t="s">
        <v>3127</v>
      </c>
      <c r="P27" s="3494" t="s">
        <v>3101</v>
      </c>
    </row>
    <row r="28" spans="1:16">
      <c r="A28" s="2893" t="s">
        <v>3145</v>
      </c>
      <c r="B28" s="2893" t="s">
        <v>3083</v>
      </c>
      <c r="C28" s="2893" t="s">
        <v>3084</v>
      </c>
      <c r="D28" s="2893" t="s">
        <v>3145</v>
      </c>
      <c r="E28" s="2893" t="s">
        <v>3096</v>
      </c>
      <c r="F28" s="2893">
        <v>12664.48</v>
      </c>
      <c r="G28" s="2893">
        <v>95236.89</v>
      </c>
      <c r="H28" s="2893" t="s">
        <v>3146</v>
      </c>
      <c r="I28" s="2893" t="s">
        <v>3147</v>
      </c>
      <c r="J28" s="2893" t="s">
        <v>3148</v>
      </c>
      <c r="K28" s="2893">
        <v>34181</v>
      </c>
      <c r="L28" s="2893">
        <v>34181</v>
      </c>
      <c r="M28" s="2893">
        <v>3589.05</v>
      </c>
      <c r="N28" s="2893">
        <v>0</v>
      </c>
      <c r="O28" s="2893" t="s">
        <v>3093</v>
      </c>
      <c r="P28" s="2893" t="s">
        <v>3101</v>
      </c>
    </row>
    <row r="29" spans="1:16">
      <c r="A29" s="2893" t="s">
        <v>3149</v>
      </c>
      <c r="B29" s="2893" t="s">
        <v>3083</v>
      </c>
      <c r="C29" s="2893" t="s">
        <v>3084</v>
      </c>
      <c r="D29" s="2893" t="s">
        <v>3149</v>
      </c>
      <c r="E29" s="2893" t="s">
        <v>3085</v>
      </c>
      <c r="F29" s="2893">
        <v>22660.66</v>
      </c>
      <c r="G29" s="2893">
        <v>56651.65</v>
      </c>
      <c r="H29" s="2893" t="s">
        <v>3150</v>
      </c>
      <c r="I29" s="2893" t="s">
        <v>3151</v>
      </c>
      <c r="J29" s="2893" t="s">
        <v>3152</v>
      </c>
      <c r="K29" s="2893">
        <v>10197</v>
      </c>
      <c r="L29" s="2893">
        <v>10197</v>
      </c>
      <c r="M29" s="2893">
        <v>1799.95</v>
      </c>
      <c r="N29" s="2893">
        <v>0</v>
      </c>
      <c r="O29" s="2893" t="s">
        <v>3093</v>
      </c>
      <c r="P29" s="2893" t="s">
        <v>3153</v>
      </c>
    </row>
    <row r="30" spans="1:16">
      <c r="A30" s="2893" t="s">
        <v>3149</v>
      </c>
      <c r="B30" s="2893" t="s">
        <v>3083</v>
      </c>
      <c r="C30" s="2893" t="s">
        <v>3084</v>
      </c>
      <c r="D30" s="2893" t="s">
        <v>3149</v>
      </c>
      <c r="E30" s="2893" t="s">
        <v>3085</v>
      </c>
      <c r="F30" s="2893">
        <v>45685.67</v>
      </c>
      <c r="G30" s="2893">
        <v>182742.7</v>
      </c>
      <c r="H30" s="2893" t="s">
        <v>3154</v>
      </c>
      <c r="I30" s="2893" t="s">
        <v>3151</v>
      </c>
      <c r="J30" s="2893" t="s">
        <v>3152</v>
      </c>
      <c r="K30" s="2893">
        <v>32894.400000000001</v>
      </c>
      <c r="L30" s="2893">
        <v>32894.400000000001</v>
      </c>
      <c r="M30" s="2893">
        <v>1800.03</v>
      </c>
      <c r="N30" s="2893">
        <v>0</v>
      </c>
      <c r="O30" s="2893" t="s">
        <v>3093</v>
      </c>
      <c r="P30" s="2893" t="s">
        <v>3153</v>
      </c>
    </row>
    <row r="31" spans="1:16">
      <c r="A31" s="2893" t="s">
        <v>3149</v>
      </c>
      <c r="B31" s="2893" t="s">
        <v>3083</v>
      </c>
      <c r="C31" s="2893" t="s">
        <v>3084</v>
      </c>
      <c r="D31" s="2893" t="s">
        <v>3149</v>
      </c>
      <c r="E31" s="2893" t="s">
        <v>3085</v>
      </c>
      <c r="F31" s="2893">
        <v>17228.400000000001</v>
      </c>
      <c r="G31" s="2893">
        <v>43071</v>
      </c>
      <c r="H31" s="2893" t="s">
        <v>3150</v>
      </c>
      <c r="I31" s="2893" t="s">
        <v>3151</v>
      </c>
      <c r="J31" s="2893" t="s">
        <v>3152</v>
      </c>
      <c r="K31" s="2893">
        <v>7752</v>
      </c>
      <c r="L31" s="2893">
        <v>7752</v>
      </c>
      <c r="M31" s="2893">
        <v>1799.81</v>
      </c>
      <c r="N31" s="2893">
        <v>0</v>
      </c>
      <c r="O31" s="2893" t="s">
        <v>3093</v>
      </c>
      <c r="P31" s="2893" t="s">
        <v>3155</v>
      </c>
    </row>
    <row r="32" spans="1:16">
      <c r="A32" s="2893" t="s">
        <v>3156</v>
      </c>
      <c r="B32" s="2893" t="s">
        <v>3083</v>
      </c>
      <c r="C32" s="2893" t="s">
        <v>3084</v>
      </c>
      <c r="D32" s="2893" t="s">
        <v>3156</v>
      </c>
      <c r="E32" s="2893" t="s">
        <v>3085</v>
      </c>
      <c r="F32" s="2893">
        <v>1544.11</v>
      </c>
      <c r="G32" s="2893">
        <v>2316.17</v>
      </c>
      <c r="H32" s="2893" t="s">
        <v>3157</v>
      </c>
      <c r="I32" s="2893" t="s">
        <v>3158</v>
      </c>
      <c r="J32" s="2893" t="s">
        <v>3159</v>
      </c>
      <c r="K32" s="2893">
        <v>348</v>
      </c>
      <c r="L32" s="2893">
        <v>348</v>
      </c>
      <c r="M32" s="2893">
        <v>1502.48</v>
      </c>
      <c r="N32" s="2893">
        <v>0</v>
      </c>
      <c r="O32" s="2893" t="s">
        <v>3093</v>
      </c>
      <c r="P32" s="2893" t="s">
        <v>3153</v>
      </c>
    </row>
    <row r="33" spans="1:16">
      <c r="A33" s="2893" t="s">
        <v>3160</v>
      </c>
      <c r="B33" s="2893" t="s">
        <v>3083</v>
      </c>
      <c r="C33" s="2893" t="s">
        <v>3084</v>
      </c>
      <c r="D33" s="2893" t="s">
        <v>3160</v>
      </c>
      <c r="E33" s="2893" t="s">
        <v>3096</v>
      </c>
      <c r="F33" s="2893">
        <v>38941.519999999997</v>
      </c>
      <c r="G33" s="2893">
        <v>64642.92</v>
      </c>
      <c r="H33" s="2893" t="s">
        <v>3161</v>
      </c>
      <c r="I33" s="2893" t="s">
        <v>3162</v>
      </c>
      <c r="J33" s="2893" t="s">
        <v>3163</v>
      </c>
      <c r="K33" s="2893">
        <v>35746.910000000003</v>
      </c>
      <c r="L33" s="2893">
        <v>35746.910000000003</v>
      </c>
      <c r="M33" s="2893">
        <v>5529.89</v>
      </c>
      <c r="N33" s="2893">
        <v>0</v>
      </c>
      <c r="O33" s="2893" t="s">
        <v>3093</v>
      </c>
      <c r="P33" s="2893" t="s">
        <v>3090</v>
      </c>
    </row>
    <row r="34" spans="1:16">
      <c r="A34" s="2893" t="s">
        <v>3160</v>
      </c>
      <c r="B34" s="2893" t="s">
        <v>3083</v>
      </c>
      <c r="C34" s="2893" t="s">
        <v>3084</v>
      </c>
      <c r="D34" s="2893" t="s">
        <v>3160</v>
      </c>
      <c r="E34" s="2893" t="s">
        <v>3096</v>
      </c>
      <c r="F34" s="2893">
        <v>99113.18</v>
      </c>
      <c r="G34" s="2893">
        <v>168492.4</v>
      </c>
      <c r="H34" s="2893" t="s">
        <v>3164</v>
      </c>
      <c r="I34" s="2893" t="s">
        <v>3162</v>
      </c>
      <c r="J34" s="2893" t="s">
        <v>3163</v>
      </c>
      <c r="K34" s="2893">
        <v>90986.03</v>
      </c>
      <c r="L34" s="2893">
        <v>90986.03</v>
      </c>
      <c r="M34" s="2893">
        <v>5400.01</v>
      </c>
      <c r="N34" s="2893">
        <v>0</v>
      </c>
      <c r="O34" s="2893" t="s">
        <v>3093</v>
      </c>
      <c r="P34" s="2893" t="s">
        <v>3090</v>
      </c>
    </row>
    <row r="35" spans="1:16">
      <c r="A35" s="2893" t="s">
        <v>3082</v>
      </c>
      <c r="B35" s="2893" t="s">
        <v>3083</v>
      </c>
      <c r="C35" s="2893" t="s">
        <v>3084</v>
      </c>
      <c r="D35" s="2893" t="s">
        <v>3082</v>
      </c>
      <c r="E35" s="2893" t="s">
        <v>3085</v>
      </c>
      <c r="F35" s="2893">
        <v>53140.88</v>
      </c>
      <c r="G35" s="2893">
        <v>55797.919999999998</v>
      </c>
      <c r="H35" s="2893" t="s">
        <v>3165</v>
      </c>
      <c r="I35" s="2893" t="s">
        <v>3166</v>
      </c>
      <c r="J35" s="2893" t="s">
        <v>3167</v>
      </c>
      <c r="K35" s="2893">
        <v>64963.65</v>
      </c>
      <c r="L35" s="2893">
        <v>70604.28</v>
      </c>
      <c r="M35" s="2893">
        <v>12653.56</v>
      </c>
      <c r="N35" s="2893">
        <v>8.68</v>
      </c>
      <c r="O35" s="2893">
        <v>70</v>
      </c>
      <c r="P35" s="2893" t="s">
        <v>3101</v>
      </c>
    </row>
    <row r="36" spans="1:16">
      <c r="A36" s="2893" t="s">
        <v>3082</v>
      </c>
      <c r="B36" s="2893" t="s">
        <v>3083</v>
      </c>
      <c r="C36" s="2893" t="s">
        <v>3084</v>
      </c>
      <c r="D36" s="2893" t="s">
        <v>3082</v>
      </c>
      <c r="E36" s="2893" t="s">
        <v>3085</v>
      </c>
      <c r="F36" s="2893">
        <v>19479.009999999998</v>
      </c>
      <c r="G36" s="2893">
        <v>19673.8</v>
      </c>
      <c r="H36" s="2893" t="s">
        <v>3168</v>
      </c>
      <c r="I36" s="2893" t="s">
        <v>3166</v>
      </c>
      <c r="J36" s="2893" t="s">
        <v>3169</v>
      </c>
      <c r="K36" s="2893">
        <v>22850.04</v>
      </c>
      <c r="L36" s="2893">
        <v>22850.04</v>
      </c>
      <c r="M36" s="2893">
        <v>11614.45</v>
      </c>
      <c r="N36" s="2893">
        <v>0</v>
      </c>
      <c r="O36" s="2893">
        <v>70</v>
      </c>
      <c r="P36" s="2893" t="s">
        <v>3101</v>
      </c>
    </row>
    <row r="37" spans="1:16">
      <c r="A37" s="2893" t="s">
        <v>3082</v>
      </c>
      <c r="B37" s="2893" t="s">
        <v>3083</v>
      </c>
      <c r="C37" s="2893" t="s">
        <v>3084</v>
      </c>
      <c r="D37" s="2893" t="s">
        <v>3082</v>
      </c>
      <c r="E37" s="2893" t="s">
        <v>3085</v>
      </c>
      <c r="F37" s="2893">
        <v>20331.03</v>
      </c>
      <c r="G37" s="2893">
        <v>32529.65</v>
      </c>
      <c r="H37" s="2893" t="s">
        <v>3170</v>
      </c>
      <c r="I37" s="2893" t="s">
        <v>3166</v>
      </c>
      <c r="J37" s="2893" t="s">
        <v>3169</v>
      </c>
      <c r="K37" s="2893">
        <v>33733</v>
      </c>
      <c r="L37" s="2893">
        <v>33733</v>
      </c>
      <c r="M37" s="2893">
        <v>10369.92</v>
      </c>
      <c r="N37" s="2893">
        <v>0</v>
      </c>
      <c r="O37" s="2893">
        <v>70</v>
      </c>
      <c r="P37" s="2893" t="s">
        <v>3101</v>
      </c>
    </row>
    <row r="38" spans="1:16">
      <c r="A38" s="2893" t="s">
        <v>3082</v>
      </c>
      <c r="B38" s="2893" t="s">
        <v>3083</v>
      </c>
      <c r="C38" s="2893" t="s">
        <v>3084</v>
      </c>
      <c r="D38" s="2893" t="s">
        <v>3082</v>
      </c>
      <c r="E38" s="2893" t="s">
        <v>3085</v>
      </c>
      <c r="F38" s="2893">
        <v>33722.92</v>
      </c>
      <c r="G38" s="2893">
        <v>34060.15</v>
      </c>
      <c r="H38" s="2893" t="s">
        <v>3168</v>
      </c>
      <c r="I38" s="2893" t="s">
        <v>3166</v>
      </c>
      <c r="J38" s="2893" t="s">
        <v>3169</v>
      </c>
      <c r="K38" s="2893">
        <v>39553.550000000003</v>
      </c>
      <c r="L38" s="2893">
        <v>39553.550000000003</v>
      </c>
      <c r="M38" s="2893">
        <v>11612.86</v>
      </c>
      <c r="N38" s="2893">
        <v>0</v>
      </c>
      <c r="O38" s="2893">
        <v>70</v>
      </c>
      <c r="P38" s="2893" t="s">
        <v>3101</v>
      </c>
    </row>
    <row r="39" spans="1:16">
      <c r="A39" s="2893" t="s">
        <v>3082</v>
      </c>
      <c r="B39" s="2893" t="s">
        <v>3083</v>
      </c>
      <c r="C39" s="2893" t="s">
        <v>3084</v>
      </c>
      <c r="D39" s="2893" t="s">
        <v>3082</v>
      </c>
      <c r="E39" s="2893" t="s">
        <v>3085</v>
      </c>
      <c r="F39" s="2893">
        <v>66671.070000000007</v>
      </c>
      <c r="G39" s="2893">
        <v>80671.990000000005</v>
      </c>
      <c r="H39" s="2893" t="s">
        <v>3171</v>
      </c>
      <c r="I39" s="2893" t="s">
        <v>3166</v>
      </c>
      <c r="J39" s="2893" t="s">
        <v>3172</v>
      </c>
      <c r="K39" s="2893">
        <v>96709.66</v>
      </c>
      <c r="L39" s="2893">
        <v>96709.66</v>
      </c>
      <c r="M39" s="2893">
        <v>11988.01</v>
      </c>
      <c r="N39" s="2893">
        <v>0</v>
      </c>
      <c r="O39" s="2893">
        <v>70</v>
      </c>
      <c r="P39" s="2893" t="s">
        <v>3101</v>
      </c>
    </row>
    <row r="40" spans="1:16">
      <c r="A40" s="2893" t="s">
        <v>3082</v>
      </c>
      <c r="B40" s="2893" t="s">
        <v>3083</v>
      </c>
      <c r="C40" s="2893" t="s">
        <v>3084</v>
      </c>
      <c r="D40" s="2893" t="s">
        <v>3082</v>
      </c>
      <c r="E40" s="2893" t="s">
        <v>3085</v>
      </c>
      <c r="F40" s="2893">
        <v>26480.41</v>
      </c>
      <c r="G40" s="2893">
        <v>26745.21</v>
      </c>
      <c r="H40" s="2893" t="s">
        <v>3168</v>
      </c>
      <c r="I40" s="2893" t="s">
        <v>3166</v>
      </c>
      <c r="J40" s="2893" t="s">
        <v>3169</v>
      </c>
      <c r="K40" s="2893">
        <v>31061.040000000001</v>
      </c>
      <c r="L40" s="2893">
        <v>31061.040000000001</v>
      </c>
      <c r="M40" s="2893">
        <v>11613.68</v>
      </c>
      <c r="N40" s="2893">
        <v>0</v>
      </c>
      <c r="O40" s="2893">
        <v>70</v>
      </c>
      <c r="P40" s="2893" t="s">
        <v>3101</v>
      </c>
    </row>
    <row r="41" spans="1:16">
      <c r="A41" s="2893" t="s">
        <v>3082</v>
      </c>
      <c r="B41" s="2893" t="s">
        <v>3083</v>
      </c>
      <c r="C41" s="2893" t="s">
        <v>3084</v>
      </c>
      <c r="D41" s="2893" t="s">
        <v>3082</v>
      </c>
      <c r="E41" s="2893" t="s">
        <v>3085</v>
      </c>
      <c r="F41" s="2893">
        <v>87381.38</v>
      </c>
      <c r="G41" s="2893">
        <v>119712.49</v>
      </c>
      <c r="H41" s="2893" t="s">
        <v>3173</v>
      </c>
      <c r="I41" s="2893" t="s">
        <v>3166</v>
      </c>
      <c r="J41" s="2893" t="s">
        <v>3172</v>
      </c>
      <c r="K41" s="2893">
        <v>141424.51999999999</v>
      </c>
      <c r="L41" s="2893">
        <v>141424.51999999999</v>
      </c>
      <c r="M41" s="2893">
        <v>11813.68</v>
      </c>
      <c r="N41" s="2893">
        <v>0</v>
      </c>
      <c r="O41" s="2893">
        <v>70</v>
      </c>
      <c r="P41" s="2893" t="s">
        <v>3090</v>
      </c>
    </row>
    <row r="42" spans="1:16">
      <c r="A42" s="2893" t="s">
        <v>3174</v>
      </c>
      <c r="B42" s="2893" t="s">
        <v>3083</v>
      </c>
      <c r="C42" s="2893" t="s">
        <v>3084</v>
      </c>
      <c r="D42" s="2893" t="s">
        <v>3174</v>
      </c>
      <c r="E42" s="2893" t="s">
        <v>3085</v>
      </c>
      <c r="F42" s="2893">
        <v>1576.5</v>
      </c>
      <c r="G42" s="2893">
        <v>3941.25</v>
      </c>
      <c r="H42" s="2893" t="s">
        <v>3175</v>
      </c>
      <c r="I42" s="2893" t="s">
        <v>3176</v>
      </c>
      <c r="J42" s="2893" t="s">
        <v>3159</v>
      </c>
      <c r="K42" s="2893">
        <v>1062</v>
      </c>
      <c r="L42" s="2893">
        <v>1062</v>
      </c>
      <c r="M42" s="2893">
        <v>2694.57</v>
      </c>
      <c r="N42" s="2893">
        <v>0</v>
      </c>
      <c r="O42" s="2893" t="s">
        <v>3093</v>
      </c>
      <c r="P42" s="2893" t="s">
        <v>3101</v>
      </c>
    </row>
    <row r="43" spans="1:16">
      <c r="A43" s="2893" t="s">
        <v>3174</v>
      </c>
      <c r="B43" s="2893" t="s">
        <v>3083</v>
      </c>
      <c r="C43" s="2893" t="s">
        <v>3084</v>
      </c>
      <c r="D43" s="2893" t="s">
        <v>3174</v>
      </c>
      <c r="E43" s="2893" t="s">
        <v>3085</v>
      </c>
      <c r="F43" s="2893">
        <v>660.1</v>
      </c>
      <c r="G43" s="2893">
        <v>1320.2</v>
      </c>
      <c r="H43" s="2893" t="s">
        <v>3177</v>
      </c>
      <c r="I43" s="2893" t="s">
        <v>3176</v>
      </c>
      <c r="J43" s="2893" t="s">
        <v>3159</v>
      </c>
      <c r="K43" s="2893">
        <v>445.5</v>
      </c>
      <c r="L43" s="2893">
        <v>445.5</v>
      </c>
      <c r="M43" s="2893">
        <v>3374.48</v>
      </c>
      <c r="N43" s="2893">
        <v>0</v>
      </c>
      <c r="O43" s="2893" t="s">
        <v>3093</v>
      </c>
      <c r="P43" s="2893" t="s">
        <v>3101</v>
      </c>
    </row>
    <row r="44" spans="1:16">
      <c r="A44" s="2893" t="s">
        <v>3160</v>
      </c>
      <c r="B44" s="2893" t="s">
        <v>3083</v>
      </c>
      <c r="C44" s="2893" t="s">
        <v>3084</v>
      </c>
      <c r="D44" s="2893" t="s">
        <v>3160</v>
      </c>
      <c r="E44" s="2893" t="s">
        <v>3096</v>
      </c>
      <c r="F44" s="2893">
        <v>51824.11</v>
      </c>
      <c r="G44" s="2893">
        <v>88619.23</v>
      </c>
      <c r="H44" s="2893" t="s">
        <v>3178</v>
      </c>
      <c r="I44" s="2893" t="s">
        <v>3179</v>
      </c>
      <c r="J44" s="2893" t="s">
        <v>3163</v>
      </c>
      <c r="K44" s="2893">
        <v>35133.949999999997</v>
      </c>
      <c r="L44" s="2893">
        <v>35133.949999999997</v>
      </c>
      <c r="M44" s="2893">
        <v>3964.59</v>
      </c>
      <c r="N44" s="2893">
        <v>0</v>
      </c>
      <c r="O44" s="2893" t="s">
        <v>3093</v>
      </c>
      <c r="P44" s="2893" t="s">
        <v>3101</v>
      </c>
    </row>
    <row r="45" spans="1:16">
      <c r="A45" s="2893" t="s">
        <v>3160</v>
      </c>
      <c r="B45" s="2893" t="s">
        <v>3083</v>
      </c>
      <c r="C45" s="2893" t="s">
        <v>3084</v>
      </c>
      <c r="D45" s="2893" t="s">
        <v>3160</v>
      </c>
      <c r="E45" s="2893" t="s">
        <v>3096</v>
      </c>
      <c r="F45" s="2893">
        <v>53284.21</v>
      </c>
      <c r="G45" s="2893">
        <v>85254.74</v>
      </c>
      <c r="H45" s="2893" t="s">
        <v>3180</v>
      </c>
      <c r="I45" s="2893" t="s">
        <v>3179</v>
      </c>
      <c r="J45" s="2893" t="s">
        <v>3163</v>
      </c>
      <c r="K45" s="2893">
        <v>36128.36</v>
      </c>
      <c r="L45" s="2893">
        <v>36128.36</v>
      </c>
      <c r="M45" s="2893">
        <v>4237.6899999999996</v>
      </c>
      <c r="N45" s="2893">
        <v>0</v>
      </c>
      <c r="O45" s="2893" t="s">
        <v>3093</v>
      </c>
      <c r="P45" s="2893" t="s">
        <v>3090</v>
      </c>
    </row>
    <row r="46" spans="1:16">
      <c r="A46" s="2893" t="s">
        <v>3160</v>
      </c>
      <c r="B46" s="2893" t="s">
        <v>3083</v>
      </c>
      <c r="C46" s="2893" t="s">
        <v>3084</v>
      </c>
      <c r="D46" s="2893" t="s">
        <v>3160</v>
      </c>
      <c r="E46" s="2893" t="s">
        <v>3096</v>
      </c>
      <c r="F46" s="2893">
        <v>26959.96</v>
      </c>
      <c r="G46" s="2893">
        <v>46101.53</v>
      </c>
      <c r="H46" s="2893" t="s">
        <v>3178</v>
      </c>
      <c r="I46" s="2893" t="s">
        <v>3179</v>
      </c>
      <c r="J46" s="2893" t="s">
        <v>3163</v>
      </c>
      <c r="K46" s="2893">
        <v>18278.88</v>
      </c>
      <c r="L46" s="2893">
        <v>18278.88</v>
      </c>
      <c r="M46" s="2893">
        <v>3964.92</v>
      </c>
      <c r="N46" s="2893">
        <v>0</v>
      </c>
      <c r="O46" s="2893" t="s">
        <v>3093</v>
      </c>
      <c r="P46" s="2893" t="s">
        <v>3090</v>
      </c>
    </row>
    <row r="47" spans="1:16">
      <c r="A47" s="2893" t="s">
        <v>3181</v>
      </c>
      <c r="B47" s="2893" t="s">
        <v>3083</v>
      </c>
      <c r="C47" s="2893" t="s">
        <v>3084</v>
      </c>
      <c r="D47" s="2893" t="s">
        <v>3181</v>
      </c>
      <c r="E47" s="2893" t="s">
        <v>3096</v>
      </c>
      <c r="F47" s="2893">
        <v>22595.72</v>
      </c>
      <c r="G47" s="2893">
        <v>136026.20000000001</v>
      </c>
      <c r="H47" s="2893" t="s">
        <v>3182</v>
      </c>
      <c r="I47" s="2893" t="s">
        <v>3183</v>
      </c>
      <c r="J47" s="2893" t="s">
        <v>3184</v>
      </c>
      <c r="K47" s="2893">
        <v>38171.4</v>
      </c>
      <c r="L47" s="2893">
        <v>38171.4</v>
      </c>
      <c r="M47" s="2893">
        <v>2806.17</v>
      </c>
      <c r="N47" s="2893">
        <v>0</v>
      </c>
      <c r="O47" s="2893" t="s">
        <v>3093</v>
      </c>
      <c r="P47" s="2893" t="s">
        <v>3101</v>
      </c>
    </row>
    <row r="48" spans="1:16">
      <c r="A48" s="2893" t="s">
        <v>3181</v>
      </c>
      <c r="B48" s="2893" t="s">
        <v>3083</v>
      </c>
      <c r="C48" s="2893" t="s">
        <v>3084</v>
      </c>
      <c r="D48" s="2893" t="s">
        <v>3181</v>
      </c>
      <c r="E48" s="2893" t="s">
        <v>3096</v>
      </c>
      <c r="F48" s="2893">
        <v>15846.79</v>
      </c>
      <c r="G48" s="2893">
        <v>95873.08</v>
      </c>
      <c r="H48" s="2893" t="s">
        <v>3185</v>
      </c>
      <c r="I48" s="2893" t="s">
        <v>3183</v>
      </c>
      <c r="J48" s="2893" t="s">
        <v>3184</v>
      </c>
      <c r="K48" s="2893">
        <v>26765.02</v>
      </c>
      <c r="L48" s="2893">
        <v>26765.02</v>
      </c>
      <c r="M48" s="2893">
        <v>2791.71</v>
      </c>
      <c r="N48" s="2893">
        <v>0</v>
      </c>
      <c r="O48" s="2893" t="s">
        <v>3093</v>
      </c>
      <c r="P48" s="2893" t="s">
        <v>3101</v>
      </c>
    </row>
    <row r="49" spans="1:16">
      <c r="A49" s="2893" t="s">
        <v>3181</v>
      </c>
      <c r="B49" s="2893" t="s">
        <v>3083</v>
      </c>
      <c r="C49" s="2893" t="s">
        <v>3084</v>
      </c>
      <c r="D49" s="2893" t="s">
        <v>3181</v>
      </c>
      <c r="E49" s="2893" t="s">
        <v>3096</v>
      </c>
      <c r="F49" s="2893">
        <v>33821.72</v>
      </c>
      <c r="G49" s="2893">
        <v>173505.4</v>
      </c>
      <c r="H49" s="2893" t="s">
        <v>3186</v>
      </c>
      <c r="I49" s="2893" t="s">
        <v>3183</v>
      </c>
      <c r="J49" s="2893" t="s">
        <v>3184</v>
      </c>
      <c r="K49" s="2893">
        <v>57121.98</v>
      </c>
      <c r="L49" s="2893">
        <v>57121.98</v>
      </c>
      <c r="M49" s="2893">
        <v>3292.23</v>
      </c>
      <c r="N49" s="2893">
        <v>0</v>
      </c>
      <c r="O49" s="2893" t="s">
        <v>3093</v>
      </c>
      <c r="P49" s="2893" t="s">
        <v>3101</v>
      </c>
    </row>
    <row r="50" spans="1:16">
      <c r="A50" s="2893" t="s">
        <v>3187</v>
      </c>
      <c r="B50" s="2893" t="s">
        <v>3083</v>
      </c>
      <c r="C50" s="2893" t="s">
        <v>3084</v>
      </c>
      <c r="D50" s="2893" t="s">
        <v>3187</v>
      </c>
      <c r="E50" s="2893" t="s">
        <v>3096</v>
      </c>
      <c r="F50" s="2893">
        <v>75409.990000000005</v>
      </c>
      <c r="G50" s="2893">
        <v>178721.68</v>
      </c>
      <c r="H50" s="2893" t="s">
        <v>3188</v>
      </c>
      <c r="I50" s="2893" t="s">
        <v>3189</v>
      </c>
      <c r="J50" s="2893" t="s">
        <v>3190</v>
      </c>
      <c r="K50" s="2893">
        <v>20502.330000000002</v>
      </c>
      <c r="L50" s="2893">
        <v>20502.330000000002</v>
      </c>
      <c r="M50" s="2893">
        <v>1147.17</v>
      </c>
      <c r="N50" s="2893">
        <v>0</v>
      </c>
      <c r="O50" s="2893" t="s">
        <v>3093</v>
      </c>
      <c r="P50" s="2893" t="s">
        <v>3153</v>
      </c>
    </row>
    <row r="51" spans="1:16">
      <c r="A51" s="2893" t="s">
        <v>3187</v>
      </c>
      <c r="B51" s="2893" t="s">
        <v>3083</v>
      </c>
      <c r="C51" s="2893" t="s">
        <v>3084</v>
      </c>
      <c r="D51" s="2893" t="s">
        <v>3187</v>
      </c>
      <c r="E51" s="2893" t="s">
        <v>3096</v>
      </c>
      <c r="F51" s="2893">
        <v>41544.949999999997</v>
      </c>
      <c r="G51" s="2893">
        <v>124634.9</v>
      </c>
      <c r="H51" s="2893" t="s">
        <v>3191</v>
      </c>
      <c r="I51" s="2893" t="s">
        <v>3189</v>
      </c>
      <c r="J51" s="2893" t="s">
        <v>3190</v>
      </c>
      <c r="K51" s="2893">
        <v>13103.67</v>
      </c>
      <c r="L51" s="2893">
        <v>13103.67</v>
      </c>
      <c r="M51" s="2893">
        <v>1051.3499999999999</v>
      </c>
      <c r="N51" s="2893">
        <v>0</v>
      </c>
      <c r="O51" s="2893" t="s">
        <v>3093</v>
      </c>
      <c r="P51" s="2893" t="s">
        <v>3153</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CF3E-9110-44C1-A169-07318316531B}">
  <dimension ref="A1"/>
  <sheetViews>
    <sheetView topLeftCell="A16" workbookViewId="0">
      <selection activeCell="J20" sqref="J20"/>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4.4">
      <c r="A4" s="512" t="s">
        <v>521</v>
      </c>
      <c r="B4" s="513"/>
      <c r="C4" s="3354" t="s">
        <v>522</v>
      </c>
      <c r="D4" s="3355"/>
      <c r="E4" s="3388" t="s">
        <v>523</v>
      </c>
      <c r="F4" s="3389"/>
      <c r="G4" s="3354" t="s">
        <v>524</v>
      </c>
      <c r="H4" s="3355"/>
      <c r="I4" s="3354" t="s">
        <v>525</v>
      </c>
      <c r="J4" s="3355"/>
      <c r="K4" s="514" t="s">
        <v>526</v>
      </c>
      <c r="L4" s="2117"/>
      <c r="M4" s="2118"/>
      <c r="N4" s="2118"/>
      <c r="O4" s="2118"/>
      <c r="P4" s="3356" t="s">
        <v>527</v>
      </c>
      <c r="Q4" s="3357"/>
      <c r="R4" s="3362" t="s">
        <v>523</v>
      </c>
      <c r="S4" s="3363"/>
      <c r="T4" s="3362" t="s">
        <v>524</v>
      </c>
      <c r="U4" s="3363"/>
      <c r="V4" s="3349" t="s">
        <v>525</v>
      </c>
      <c r="W4" s="3349"/>
      <c r="X4" s="1553"/>
      <c r="Y4" s="3362" t="s">
        <v>527</v>
      </c>
      <c r="Z4" s="3363"/>
      <c r="AA4" s="3351" t="s">
        <v>523</v>
      </c>
      <c r="AB4" s="3349" t="s">
        <v>524</v>
      </c>
      <c r="AC4" s="3351" t="s">
        <v>525</v>
      </c>
    </row>
    <row r="5" spans="1:29">
      <c r="A5" s="515"/>
      <c r="B5" s="516"/>
      <c r="C5" s="3370" t="s">
        <v>2926</v>
      </c>
      <c r="D5" s="3371"/>
      <c r="E5" s="3390" t="s">
        <v>2927</v>
      </c>
      <c r="F5" s="3391"/>
      <c r="G5" s="3370" t="s">
        <v>2928</v>
      </c>
      <c r="H5" s="3371"/>
      <c r="I5" s="3370" t="s">
        <v>2929</v>
      </c>
      <c r="J5" s="3371"/>
      <c r="K5" s="514"/>
      <c r="L5" s="2117"/>
      <c r="M5" s="2118"/>
      <c r="N5" s="2118"/>
      <c r="O5" s="2118"/>
      <c r="P5" s="3358"/>
      <c r="Q5" s="3359"/>
      <c r="R5" s="3364"/>
      <c r="S5" s="3365"/>
      <c r="T5" s="3364"/>
      <c r="U5" s="3365"/>
      <c r="V5" s="3349"/>
      <c r="W5" s="3349"/>
      <c r="X5" s="1553"/>
      <c r="Y5" s="3364"/>
      <c r="Z5" s="3365"/>
      <c r="AA5" s="3352"/>
      <c r="AB5" s="3349"/>
      <c r="AC5" s="3352"/>
    </row>
    <row r="6" spans="1:29" ht="15" thickBot="1">
      <c r="A6" s="517"/>
      <c r="B6" s="518"/>
      <c r="C6" s="3368" t="s">
        <v>2930</v>
      </c>
      <c r="D6" s="3369"/>
      <c r="E6" s="3386" t="s">
        <v>2930</v>
      </c>
      <c r="F6" s="3387"/>
      <c r="G6" s="3368" t="s">
        <v>2930</v>
      </c>
      <c r="H6" s="3369"/>
      <c r="I6" s="3368" t="s">
        <v>2930</v>
      </c>
      <c r="J6" s="3369"/>
      <c r="K6" s="514" t="s">
        <v>528</v>
      </c>
      <c r="L6" s="2117"/>
      <c r="M6" s="2118"/>
      <c r="N6" s="2118"/>
      <c r="O6" s="2118"/>
      <c r="P6" s="3360"/>
      <c r="Q6" s="3361"/>
      <c r="R6" s="3364"/>
      <c r="S6" s="3365"/>
      <c r="T6" s="3366"/>
      <c r="U6" s="3367"/>
      <c r="V6" s="3349"/>
      <c r="W6" s="3349"/>
      <c r="X6" s="1553"/>
      <c r="Y6" s="3366"/>
      <c r="Z6" s="3367"/>
      <c r="AA6" s="3353"/>
      <c r="AB6" s="3349"/>
      <c r="AC6" s="3353"/>
    </row>
    <row r="7" spans="1:29" s="1215" customFormat="1" ht="15" thickBot="1">
      <c r="A7" s="2866"/>
      <c r="B7" s="2873" t="s">
        <v>529</v>
      </c>
      <c r="C7" s="519">
        <f>'数据-取费表'!B2</f>
        <v>43895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9" t="s">
        <v>530</v>
      </c>
      <c r="Q7" s="3381"/>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9" t="s">
        <v>533</v>
      </c>
      <c r="Q8" s="3380"/>
      <c r="R8" s="1554" t="s">
        <v>8</v>
      </c>
      <c r="S8" s="1555">
        <f t="shared" si="0"/>
        <v>0</v>
      </c>
      <c r="T8" s="1554" t="s">
        <v>8</v>
      </c>
      <c r="U8" s="1555">
        <f t="shared" si="1"/>
        <v>0</v>
      </c>
      <c r="V8" s="1554" t="s">
        <v>8</v>
      </c>
      <c r="W8" s="1555">
        <f t="shared" si="2"/>
        <v>0</v>
      </c>
      <c r="X8" s="1556"/>
      <c r="Y8" s="3379" t="s">
        <v>533</v>
      </c>
      <c r="Z8" s="3380"/>
      <c r="AA8" s="1557" t="e">
        <f t="shared" ref="AA8:AA46" si="3">D8/F8</f>
        <v>#DIV/0!</v>
      </c>
      <c r="AB8" s="1557" t="e">
        <f t="shared" ref="AB8:AB46" si="4">D8/H8</f>
        <v>#DIV/0!</v>
      </c>
      <c r="AC8" s="1557" t="e">
        <f t="shared" ref="AC8:AC46" si="5">D8/J8</f>
        <v>#DIV/0!</v>
      </c>
    </row>
    <row r="9" spans="1:29" s="1215" customFormat="1" ht="14.4">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48" t="s">
        <v>535</v>
      </c>
      <c r="Q9" s="1146" t="str">
        <f t="shared" ref="Q9:Q15" si="6">B9</f>
        <v>用途</v>
      </c>
      <c r="R9" s="1554" t="s">
        <v>8</v>
      </c>
      <c r="S9" s="1555">
        <f t="shared" si="0"/>
        <v>100</v>
      </c>
      <c r="T9" s="1554" t="s">
        <v>8</v>
      </c>
      <c r="U9" s="1555">
        <f t="shared" si="1"/>
        <v>100</v>
      </c>
      <c r="V9" s="1554" t="s">
        <v>8</v>
      </c>
      <c r="W9" s="1555">
        <f t="shared" si="2"/>
        <v>100</v>
      </c>
      <c r="X9" s="1556"/>
      <c r="Y9" s="3294"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48"/>
      <c r="Q11" s="1146" t="str">
        <f t="shared" si="6"/>
        <v>容积率</v>
      </c>
      <c r="R11" s="1554" t="s">
        <v>8</v>
      </c>
      <c r="S11" s="1555" t="e">
        <f t="shared" si="0"/>
        <v>#N/A</v>
      </c>
      <c r="T11" s="1554" t="s">
        <v>8</v>
      </c>
      <c r="U11" s="1555" t="e">
        <f t="shared" si="1"/>
        <v>#N/A</v>
      </c>
      <c r="V11" s="1554" t="s">
        <v>8</v>
      </c>
      <c r="W11" s="1555" t="e">
        <f t="shared" si="2"/>
        <v>#N/A</v>
      </c>
      <c r="X11" s="1556"/>
      <c r="Y11" s="329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48"/>
      <c r="Q12" s="1146">
        <f t="shared" si="6"/>
        <v>111</v>
      </c>
      <c r="R12" s="1554" t="s">
        <v>8</v>
      </c>
      <c r="S12" s="1555">
        <f t="shared" si="0"/>
        <v>100</v>
      </c>
      <c r="T12" s="1554" t="s">
        <v>8</v>
      </c>
      <c r="U12" s="1555">
        <f t="shared" si="1"/>
        <v>100</v>
      </c>
      <c r="V12" s="1554" t="s">
        <v>8</v>
      </c>
      <c r="W12" s="1555">
        <f t="shared" si="2"/>
        <v>100</v>
      </c>
      <c r="X12" s="1556"/>
      <c r="Y12" s="3294"/>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48"/>
      <c r="Q13" s="1146">
        <f t="shared" si="6"/>
        <v>111</v>
      </c>
      <c r="R13" s="1554" t="s">
        <v>8</v>
      </c>
      <c r="S13" s="1555">
        <f t="shared" si="0"/>
        <v>100</v>
      </c>
      <c r="T13" s="1554" t="s">
        <v>8</v>
      </c>
      <c r="U13" s="1555">
        <f t="shared" si="1"/>
        <v>100</v>
      </c>
      <c r="V13" s="1554" t="s">
        <v>8</v>
      </c>
      <c r="W13" s="1555">
        <f t="shared" si="2"/>
        <v>100</v>
      </c>
      <c r="X13" s="1556"/>
      <c r="Y13" s="3294"/>
      <c r="Z13" s="1145">
        <f t="shared" si="7"/>
        <v>111</v>
      </c>
      <c r="AA13" s="1557">
        <f t="shared" si="3"/>
        <v>1</v>
      </c>
      <c r="AB13" s="1557">
        <f t="shared" si="4"/>
        <v>1</v>
      </c>
      <c r="AC13" s="1557">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48"/>
      <c r="Q14" s="1146">
        <f t="shared" si="6"/>
        <v>111</v>
      </c>
      <c r="R14" s="1554" t="s">
        <v>8</v>
      </c>
      <c r="S14" s="1555">
        <f t="shared" si="0"/>
        <v>100</v>
      </c>
      <c r="T14" s="1554" t="s">
        <v>8</v>
      </c>
      <c r="U14" s="1555">
        <f t="shared" si="1"/>
        <v>100</v>
      </c>
      <c r="V14" s="1554" t="s">
        <v>8</v>
      </c>
      <c r="W14" s="1555">
        <f t="shared" si="2"/>
        <v>100</v>
      </c>
      <c r="X14" s="1556"/>
      <c r="Y14" s="3294"/>
      <c r="Z14" s="1145">
        <f t="shared" si="7"/>
        <v>111</v>
      </c>
      <c r="AA14" s="1557">
        <f t="shared" si="3"/>
        <v>1</v>
      </c>
      <c r="AB14" s="1557">
        <f t="shared" si="4"/>
        <v>1</v>
      </c>
      <c r="AC14" s="1557">
        <f t="shared" si="5"/>
        <v>1</v>
      </c>
    </row>
    <row r="15" spans="1:29" ht="82.8">
      <c r="A15" s="2864" t="s">
        <v>2749</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82" t="s">
        <v>540</v>
      </c>
      <c r="Q15" s="1558" t="str">
        <f t="shared" si="6"/>
        <v>商业繁华度</v>
      </c>
      <c r="R15" s="1559" t="s">
        <v>8</v>
      </c>
      <c r="S15" s="1560">
        <f t="shared" si="0"/>
        <v>100</v>
      </c>
      <c r="T15" s="1559" t="s">
        <v>8</v>
      </c>
      <c r="U15" s="1560">
        <f t="shared" si="1"/>
        <v>100</v>
      </c>
      <c r="V15" s="1559" t="s">
        <v>8</v>
      </c>
      <c r="W15" s="1560">
        <f t="shared" si="2"/>
        <v>100</v>
      </c>
      <c r="X15" s="1553"/>
      <c r="Y15" s="338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6"/>
      <c r="M16" s="2118"/>
      <c r="N16" s="2118"/>
      <c r="O16" s="2125"/>
      <c r="P16" s="3383"/>
      <c r="Q16" s="1558"/>
      <c r="R16" s="1559"/>
      <c r="S16" s="1560"/>
      <c r="T16" s="1559"/>
      <c r="U16" s="1560"/>
      <c r="V16" s="1559"/>
      <c r="W16" s="1560"/>
      <c r="X16" s="1553"/>
      <c r="Y16" s="3383"/>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83"/>
      <c r="Q17" s="1558" t="str">
        <f>B17</f>
        <v>交通便捷度</v>
      </c>
      <c r="R17" s="1559" t="s">
        <v>8</v>
      </c>
      <c r="S17" s="1560">
        <f>F17</f>
        <v>100</v>
      </c>
      <c r="T17" s="1559" t="s">
        <v>8</v>
      </c>
      <c r="U17" s="1560">
        <f>H17</f>
        <v>100</v>
      </c>
      <c r="V17" s="1559" t="s">
        <v>8</v>
      </c>
      <c r="W17" s="1560">
        <f>J17</f>
        <v>100</v>
      </c>
      <c r="X17" s="1553"/>
      <c r="Y17" s="338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6"/>
      <c r="M18" s="2118"/>
      <c r="N18" s="2118"/>
      <c r="O18" s="2125"/>
      <c r="P18" s="3383"/>
      <c r="Q18" s="1558"/>
      <c r="R18" s="1559"/>
      <c r="S18" s="1560"/>
      <c r="T18" s="1559"/>
      <c r="U18" s="1560"/>
      <c r="V18" s="1559"/>
      <c r="W18" s="1560"/>
      <c r="X18" s="1553"/>
      <c r="Y18" s="3383"/>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83"/>
      <c r="Q19" s="1558" t="str">
        <f>B19</f>
        <v>公共配套设施</v>
      </c>
      <c r="R19" s="1559" t="s">
        <v>8</v>
      </c>
      <c r="S19" s="1560">
        <f>F19</f>
        <v>100</v>
      </c>
      <c r="T19" s="1559" t="s">
        <v>8</v>
      </c>
      <c r="U19" s="1560">
        <f>H19</f>
        <v>100</v>
      </c>
      <c r="V19" s="1559" t="s">
        <v>8</v>
      </c>
      <c r="W19" s="1560">
        <f>J19</f>
        <v>100</v>
      </c>
      <c r="X19" s="1553"/>
      <c r="Y19" s="338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6"/>
      <c r="M20" s="2118"/>
      <c r="N20" s="2118"/>
      <c r="O20" s="2125"/>
      <c r="P20" s="3383"/>
      <c r="Q20" s="1558"/>
      <c r="R20" s="1559"/>
      <c r="S20" s="1560"/>
      <c r="T20" s="1559"/>
      <c r="U20" s="1560"/>
      <c r="V20" s="1559"/>
      <c r="W20" s="1560"/>
      <c r="X20" s="1553"/>
      <c r="Y20" s="3383"/>
      <c r="Z20" s="1561"/>
      <c r="AA20" s="1562">
        <v>1</v>
      </c>
      <c r="AB20" s="1562">
        <v>1</v>
      </c>
      <c r="AC20" s="1562">
        <v>1</v>
      </c>
    </row>
    <row r="21" spans="1:29" ht="41.4">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83"/>
      <c r="Q21" s="2542" t="str">
        <f>B21</f>
        <v>基础设施水平</v>
      </c>
      <c r="R21" s="1559" t="s">
        <v>8</v>
      </c>
      <c r="S21" s="1560">
        <f>F21</f>
        <v>100</v>
      </c>
      <c r="T21" s="1559" t="s">
        <v>8</v>
      </c>
      <c r="U21" s="1560">
        <f>H21</f>
        <v>100</v>
      </c>
      <c r="V21" s="1559" t="s">
        <v>8</v>
      </c>
      <c r="W21" s="1560">
        <f>J21</f>
        <v>100</v>
      </c>
      <c r="X21" s="2544"/>
      <c r="Y21" s="3383"/>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6"/>
      <c r="M22" s="2118"/>
      <c r="N22" s="2118"/>
      <c r="O22" s="2125"/>
      <c r="P22" s="3383"/>
      <c r="Q22" s="2542"/>
      <c r="R22" s="1559"/>
      <c r="S22" s="1560"/>
      <c r="T22" s="1559"/>
      <c r="U22" s="1560"/>
      <c r="V22" s="1559"/>
      <c r="W22" s="1560"/>
      <c r="X22" s="2544"/>
      <c r="Y22" s="3383"/>
      <c r="Z22" s="2543"/>
      <c r="AA22" s="1562">
        <v>1</v>
      </c>
      <c r="AB22" s="1562">
        <v>1</v>
      </c>
      <c r="AC22" s="1562">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83"/>
      <c r="Q23" s="1558" t="str">
        <f>B23</f>
        <v>自然及人文环境</v>
      </c>
      <c r="R23" s="1559" t="s">
        <v>8</v>
      </c>
      <c r="S23" s="1560">
        <f>F23</f>
        <v>100</v>
      </c>
      <c r="T23" s="1559" t="s">
        <v>8</v>
      </c>
      <c r="U23" s="1560">
        <f>H23</f>
        <v>100</v>
      </c>
      <c r="V23" s="1559" t="s">
        <v>8</v>
      </c>
      <c r="W23" s="1560">
        <f>J23</f>
        <v>100</v>
      </c>
      <c r="X23" s="1553"/>
      <c r="Y23" s="338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6"/>
      <c r="M24" s="2118"/>
      <c r="N24" s="2118"/>
      <c r="O24" s="2125"/>
      <c r="P24" s="3383"/>
      <c r="Q24" s="1558"/>
      <c r="R24" s="1559"/>
      <c r="S24" s="1560"/>
      <c r="T24" s="1559"/>
      <c r="U24" s="1560"/>
      <c r="V24" s="1559"/>
      <c r="W24" s="1560"/>
      <c r="X24" s="1553"/>
      <c r="Y24" s="338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3"/>
      <c r="Q25" s="1558" t="str">
        <f t="shared" ref="Q25:Q46" si="11">B25</f>
        <v>临街状况</v>
      </c>
      <c r="R25" s="1559" t="s">
        <v>8</v>
      </c>
      <c r="S25" s="1560">
        <f>F25</f>
        <v>100</v>
      </c>
      <c r="T25" s="1559" t="s">
        <v>8</v>
      </c>
      <c r="U25" s="1560">
        <f>H25</f>
        <v>100</v>
      </c>
      <c r="V25" s="1559" t="s">
        <v>8</v>
      </c>
      <c r="W25" s="1560">
        <f>J25</f>
        <v>100</v>
      </c>
      <c r="X25" s="1553"/>
      <c r="Y25" s="338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3"/>
      <c r="Q26" s="1558" t="str">
        <f t="shared" si="11"/>
        <v>平面位置/可视性</v>
      </c>
      <c r="R26" s="1559" t="s">
        <v>8</v>
      </c>
      <c r="S26" s="1560">
        <f>F26</f>
        <v>100</v>
      </c>
      <c r="T26" s="1559" t="s">
        <v>8</v>
      </c>
      <c r="U26" s="1560">
        <f>H26</f>
        <v>100</v>
      </c>
      <c r="V26" s="1559" t="s">
        <v>8</v>
      </c>
      <c r="W26" s="1560">
        <f>J26</f>
        <v>100</v>
      </c>
      <c r="X26" s="1553"/>
      <c r="Y26" s="3383"/>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83"/>
      <c r="Q27" s="1146" t="str">
        <f t="shared" si="11"/>
        <v>人流量</v>
      </c>
      <c r="R27" s="1554" t="s">
        <v>8</v>
      </c>
      <c r="S27" s="1555">
        <f>F27</f>
        <v>100</v>
      </c>
      <c r="T27" s="1554" t="s">
        <v>8</v>
      </c>
      <c r="U27" s="1555">
        <f>H27</f>
        <v>100</v>
      </c>
      <c r="V27" s="1554" t="s">
        <v>8</v>
      </c>
      <c r="W27" s="1555">
        <f>J27</f>
        <v>100</v>
      </c>
      <c r="X27" s="1556"/>
      <c r="Y27" s="3383"/>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3"/>
      <c r="Q29" s="1558">
        <f t="shared" si="11"/>
        <v>111</v>
      </c>
      <c r="R29" s="1559" t="s">
        <v>8</v>
      </c>
      <c r="S29" s="1560">
        <f t="shared" si="12"/>
        <v>100</v>
      </c>
      <c r="T29" s="1559" t="s">
        <v>8</v>
      </c>
      <c r="U29" s="1560">
        <f t="shared" si="13"/>
        <v>100</v>
      </c>
      <c r="V29" s="1559" t="s">
        <v>8</v>
      </c>
      <c r="W29" s="1560">
        <f t="shared" si="14"/>
        <v>100</v>
      </c>
      <c r="X29" s="1553"/>
      <c r="Y29" s="338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3"/>
      <c r="Q30" s="1558">
        <f t="shared" si="11"/>
        <v>111</v>
      </c>
      <c r="R30" s="1559" t="s">
        <v>8</v>
      </c>
      <c r="S30" s="1560">
        <f t="shared" si="12"/>
        <v>100</v>
      </c>
      <c r="T30" s="1559" t="s">
        <v>8</v>
      </c>
      <c r="U30" s="1560">
        <f t="shared" si="13"/>
        <v>100</v>
      </c>
      <c r="V30" s="1559" t="s">
        <v>8</v>
      </c>
      <c r="W30" s="1560">
        <f t="shared" si="14"/>
        <v>100</v>
      </c>
      <c r="X30" s="1553"/>
      <c r="Y30" s="338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3"/>
      <c r="Q31" s="1558">
        <f t="shared" si="11"/>
        <v>111</v>
      </c>
      <c r="R31" s="1559" t="s">
        <v>8</v>
      </c>
      <c r="S31" s="1560">
        <f t="shared" si="12"/>
        <v>100</v>
      </c>
      <c r="T31" s="1559" t="s">
        <v>8</v>
      </c>
      <c r="U31" s="1560">
        <f t="shared" si="13"/>
        <v>100</v>
      </c>
      <c r="V31" s="1559" t="s">
        <v>8</v>
      </c>
      <c r="W31" s="1560">
        <f t="shared" si="14"/>
        <v>100</v>
      </c>
      <c r="X31" s="1553"/>
      <c r="Y31" s="3383"/>
      <c r="Z31" s="1561">
        <f t="shared" si="15"/>
        <v>111</v>
      </c>
      <c r="AA31" s="1562">
        <f t="shared" si="3"/>
        <v>1</v>
      </c>
      <c r="AB31" s="1562">
        <f t="shared" si="4"/>
        <v>1</v>
      </c>
      <c r="AC31" s="1562">
        <f t="shared" si="5"/>
        <v>1</v>
      </c>
    </row>
    <row r="32" spans="1:29" ht="15">
      <c r="A32" s="2861"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4" t="s">
        <v>550</v>
      </c>
      <c r="Q32" s="1558" t="str">
        <f t="shared" si="11"/>
        <v>商业类型</v>
      </c>
      <c r="R32" s="1559" t="s">
        <v>8</v>
      </c>
      <c r="S32" s="1560">
        <f t="shared" si="12"/>
        <v>100</v>
      </c>
      <c r="T32" s="1559" t="s">
        <v>8</v>
      </c>
      <c r="U32" s="1560">
        <f t="shared" si="13"/>
        <v>100</v>
      </c>
      <c r="V32" s="1559" t="s">
        <v>8</v>
      </c>
      <c r="W32" s="1560">
        <f t="shared" si="14"/>
        <v>100</v>
      </c>
      <c r="X32" s="1553"/>
      <c r="Y32" s="3385"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85"/>
      <c r="Q33" s="1590" t="str">
        <f t="shared" si="11"/>
        <v>项目建筑规模</v>
      </c>
      <c r="R33" s="1563" t="s">
        <v>8</v>
      </c>
      <c r="S33" s="1564" t="e">
        <f t="shared" si="12"/>
        <v>#N/A</v>
      </c>
      <c r="T33" s="1563" t="s">
        <v>8</v>
      </c>
      <c r="U33" s="1564" t="e">
        <f t="shared" si="13"/>
        <v>#N/A</v>
      </c>
      <c r="V33" s="1563" t="s">
        <v>8</v>
      </c>
      <c r="W33" s="1564" t="e">
        <f t="shared" si="14"/>
        <v>#N/A</v>
      </c>
      <c r="X33" s="1565"/>
      <c r="Y33" s="3385"/>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85"/>
      <c r="Q34" s="1558" t="str">
        <f t="shared" si="11"/>
        <v>建筑结构</v>
      </c>
      <c r="R34" s="1559" t="s">
        <v>8</v>
      </c>
      <c r="S34" s="1560">
        <f t="shared" si="12"/>
        <v>100</v>
      </c>
      <c r="T34" s="1559" t="s">
        <v>8</v>
      </c>
      <c r="U34" s="1560">
        <f t="shared" si="13"/>
        <v>100</v>
      </c>
      <c r="V34" s="1559" t="s">
        <v>8</v>
      </c>
      <c r="W34" s="1560">
        <f t="shared" si="14"/>
        <v>100</v>
      </c>
      <c r="X34" s="1553"/>
      <c r="Y34" s="338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85"/>
      <c r="Q35" s="1558" t="str">
        <f t="shared" si="11"/>
        <v>公共部分装修</v>
      </c>
      <c r="R35" s="1559" t="s">
        <v>8</v>
      </c>
      <c r="S35" s="1560">
        <f t="shared" si="12"/>
        <v>100</v>
      </c>
      <c r="T35" s="1559" t="s">
        <v>8</v>
      </c>
      <c r="U35" s="1560">
        <f t="shared" si="13"/>
        <v>100</v>
      </c>
      <c r="V35" s="1559" t="s">
        <v>8</v>
      </c>
      <c r="W35" s="1560">
        <f t="shared" si="14"/>
        <v>100</v>
      </c>
      <c r="X35" s="1553"/>
      <c r="Y35" s="3385"/>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85"/>
      <c r="Q36" s="1558" t="str">
        <f t="shared" si="11"/>
        <v>成新度</v>
      </c>
      <c r="R36" s="1559" t="s">
        <v>8</v>
      </c>
      <c r="S36" s="1560" t="e">
        <f t="shared" si="12"/>
        <v>#N/A</v>
      </c>
      <c r="T36" s="1559" t="s">
        <v>8</v>
      </c>
      <c r="U36" s="1560" t="e">
        <f t="shared" si="13"/>
        <v>#N/A</v>
      </c>
      <c r="V36" s="1559" t="s">
        <v>8</v>
      </c>
      <c r="W36" s="1560" t="e">
        <f t="shared" si="14"/>
        <v>#N/A</v>
      </c>
      <c r="X36" s="1553"/>
      <c r="Y36" s="3385"/>
      <c r="Z36" s="1561" t="str">
        <f t="shared" si="15"/>
        <v>成新度</v>
      </c>
      <c r="AA36" s="1562" t="e">
        <f t="shared" si="3"/>
        <v>#N/A</v>
      </c>
      <c r="AB36" s="1562" t="e">
        <f t="shared" si="4"/>
        <v>#N/A</v>
      </c>
      <c r="AC36" s="1562" t="e">
        <f t="shared" si="5"/>
        <v>#N/A</v>
      </c>
    </row>
    <row r="37" spans="1:29" s="1215"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85"/>
      <c r="Q37" s="1146" t="str">
        <f t="shared" si="11"/>
        <v>市政基础设施</v>
      </c>
      <c r="R37" s="1554" t="s">
        <v>8</v>
      </c>
      <c r="S37" s="1555">
        <f t="shared" si="12"/>
        <v>100</v>
      </c>
      <c r="T37" s="1554" t="s">
        <v>8</v>
      </c>
      <c r="U37" s="1555">
        <f t="shared" si="13"/>
        <v>100</v>
      </c>
      <c r="V37" s="1554" t="s">
        <v>8</v>
      </c>
      <c r="W37" s="1555">
        <f t="shared" si="14"/>
        <v>100</v>
      </c>
      <c r="X37" s="1556"/>
      <c r="Y37" s="3385"/>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85" t="s">
        <v>766</v>
      </c>
      <c r="Q38" s="1558" t="str">
        <f t="shared" si="11"/>
        <v>业态</v>
      </c>
      <c r="R38" s="1559" t="s">
        <v>8</v>
      </c>
      <c r="S38" s="1560">
        <f t="shared" si="12"/>
        <v>100</v>
      </c>
      <c r="T38" s="1559" t="s">
        <v>8</v>
      </c>
      <c r="U38" s="1560">
        <f t="shared" si="13"/>
        <v>100</v>
      </c>
      <c r="V38" s="1559" t="s">
        <v>8</v>
      </c>
      <c r="W38" s="1560">
        <f t="shared" si="14"/>
        <v>100</v>
      </c>
      <c r="X38" s="1553"/>
      <c r="Y38" s="338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5"/>
      <c r="Q39" s="1558" t="str">
        <f t="shared" si="11"/>
        <v>层高</v>
      </c>
      <c r="R39" s="1559" t="s">
        <v>8</v>
      </c>
      <c r="S39" s="1560">
        <f t="shared" si="12"/>
        <v>100</v>
      </c>
      <c r="T39" s="1559" t="s">
        <v>8</v>
      </c>
      <c r="U39" s="1560">
        <f t="shared" si="13"/>
        <v>100</v>
      </c>
      <c r="V39" s="1559" t="s">
        <v>8</v>
      </c>
      <c r="W39" s="1560">
        <f t="shared" si="14"/>
        <v>100</v>
      </c>
      <c r="X39" s="1553"/>
      <c r="Y39" s="3385"/>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85"/>
      <c r="Q40" s="1558" t="str">
        <f t="shared" si="11"/>
        <v>单套建筑面积</v>
      </c>
      <c r="R40" s="1559" t="s">
        <v>8</v>
      </c>
      <c r="S40" s="1560">
        <f t="shared" si="12"/>
        <v>100</v>
      </c>
      <c r="T40" s="1559" t="s">
        <v>8</v>
      </c>
      <c r="U40" s="1560">
        <f t="shared" si="13"/>
        <v>100</v>
      </c>
      <c r="V40" s="1559" t="s">
        <v>8</v>
      </c>
      <c r="W40" s="1560">
        <f t="shared" si="14"/>
        <v>100</v>
      </c>
      <c r="X40" s="1553"/>
      <c r="Y40" s="3385"/>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85"/>
      <c r="Q41" s="1590" t="str">
        <f t="shared" si="11"/>
        <v>进深比</v>
      </c>
      <c r="R41" s="1563" t="s">
        <v>8</v>
      </c>
      <c r="S41" s="1564">
        <f t="shared" si="12"/>
        <v>100</v>
      </c>
      <c r="T41" s="1563" t="s">
        <v>8</v>
      </c>
      <c r="U41" s="1564">
        <f t="shared" si="13"/>
        <v>100</v>
      </c>
      <c r="V41" s="1563" t="s">
        <v>8</v>
      </c>
      <c r="W41" s="1564">
        <f t="shared" si="14"/>
        <v>100</v>
      </c>
      <c r="X41" s="1565"/>
      <c r="Y41" s="338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85"/>
      <c r="Q42" s="1558" t="str">
        <f t="shared" si="11"/>
        <v>内部装修</v>
      </c>
      <c r="R42" s="1559" t="s">
        <v>8</v>
      </c>
      <c r="S42" s="1560">
        <f t="shared" si="12"/>
        <v>100</v>
      </c>
      <c r="T42" s="1559" t="s">
        <v>8</v>
      </c>
      <c r="U42" s="1560">
        <f t="shared" si="13"/>
        <v>100</v>
      </c>
      <c r="V42" s="1559" t="s">
        <v>8</v>
      </c>
      <c r="W42" s="1560">
        <f t="shared" si="14"/>
        <v>100</v>
      </c>
      <c r="X42" s="1553"/>
      <c r="Y42" s="3385"/>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85"/>
      <c r="Q43" s="1558" t="str">
        <f t="shared" si="11"/>
        <v>内部装修维护情况</v>
      </c>
      <c r="R43" s="1559" t="s">
        <v>8</v>
      </c>
      <c r="S43" s="1560">
        <f t="shared" si="12"/>
        <v>100</v>
      </c>
      <c r="T43" s="1559" t="s">
        <v>8</v>
      </c>
      <c r="U43" s="1560">
        <f t="shared" si="13"/>
        <v>100</v>
      </c>
      <c r="V43" s="1559" t="s">
        <v>8</v>
      </c>
      <c r="W43" s="1560">
        <f t="shared" si="14"/>
        <v>100</v>
      </c>
      <c r="X43" s="1553"/>
      <c r="Y43" s="338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85"/>
      <c r="Q44" s="1146">
        <f t="shared" si="11"/>
        <v>111</v>
      </c>
      <c r="R44" s="1554" t="s">
        <v>8</v>
      </c>
      <c r="S44" s="1555">
        <f t="shared" si="12"/>
        <v>100</v>
      </c>
      <c r="T44" s="1554" t="s">
        <v>8</v>
      </c>
      <c r="U44" s="1555">
        <f t="shared" si="13"/>
        <v>100</v>
      </c>
      <c r="V44" s="1554" t="s">
        <v>8</v>
      </c>
      <c r="W44" s="1555">
        <f t="shared" si="14"/>
        <v>100</v>
      </c>
      <c r="X44" s="1556"/>
      <c r="Y44" s="338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85"/>
      <c r="Q45" s="1558">
        <f t="shared" si="11"/>
        <v>111</v>
      </c>
      <c r="R45" s="1559" t="s">
        <v>8</v>
      </c>
      <c r="S45" s="1560">
        <f t="shared" si="12"/>
        <v>100</v>
      </c>
      <c r="T45" s="1559" t="s">
        <v>8</v>
      </c>
      <c r="U45" s="1560">
        <f t="shared" si="13"/>
        <v>100</v>
      </c>
      <c r="V45" s="1559" t="s">
        <v>8</v>
      </c>
      <c r="W45" s="1560">
        <f t="shared" si="14"/>
        <v>100</v>
      </c>
      <c r="X45" s="1553"/>
      <c r="Y45" s="3385"/>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66"/>
      <c r="Q46" s="1558">
        <f t="shared" si="11"/>
        <v>111</v>
      </c>
      <c r="R46" s="1559" t="s">
        <v>8</v>
      </c>
      <c r="S46" s="1560">
        <f t="shared" si="12"/>
        <v>100</v>
      </c>
      <c r="T46" s="1559" t="s">
        <v>8</v>
      </c>
      <c r="U46" s="1560">
        <f t="shared" si="13"/>
        <v>100</v>
      </c>
      <c r="V46" s="1559" t="s">
        <v>8</v>
      </c>
      <c r="W46" s="1560">
        <f t="shared" si="14"/>
        <v>100</v>
      </c>
      <c r="X46" s="1553"/>
      <c r="Y46" s="3466"/>
      <c r="Z46" s="1561">
        <f t="shared" si="15"/>
        <v>111</v>
      </c>
      <c r="AA46" s="1562">
        <f t="shared" si="3"/>
        <v>1</v>
      </c>
      <c r="AB46" s="1562">
        <f t="shared" si="4"/>
        <v>1</v>
      </c>
      <c r="AC46" s="1562">
        <f t="shared" si="5"/>
        <v>1</v>
      </c>
    </row>
    <row r="47" spans="1:29" ht="14.4">
      <c r="A47" s="607" t="s">
        <v>736</v>
      </c>
      <c r="B47" s="886"/>
      <c r="C47" s="2590" t="s">
        <v>1</v>
      </c>
      <c r="D47" s="2591"/>
      <c r="E47" s="2592"/>
      <c r="F47" s="2593"/>
      <c r="G47" s="2594"/>
      <c r="H47" s="2595"/>
      <c r="I47" s="2592"/>
      <c r="J47" s="2595"/>
      <c r="K47" s="1596"/>
      <c r="L47" s="2128"/>
      <c r="M47" s="2129"/>
      <c r="N47" s="2118"/>
      <c r="O47" s="2129"/>
      <c r="P47" s="3348" t="str">
        <f>A47</f>
        <v>成交单价（元/平方米）</v>
      </c>
      <c r="Q47" s="3348"/>
      <c r="R47" s="3465">
        <f>E47</f>
        <v>0</v>
      </c>
      <c r="S47" s="3465"/>
      <c r="T47" s="3465">
        <f>G47</f>
        <v>0</v>
      </c>
      <c r="U47" s="3465"/>
      <c r="V47" s="3465">
        <f>I47</f>
        <v>0</v>
      </c>
      <c r="W47" s="3465"/>
      <c r="X47" s="1545"/>
      <c r="Y47" s="1567"/>
      <c r="Z47" s="1545"/>
      <c r="AA47" s="1545"/>
      <c r="AB47" s="1545"/>
      <c r="AC47" s="1545"/>
    </row>
    <row r="48" spans="1:29" ht="15" thickBot="1">
      <c r="A48" s="615" t="s">
        <v>2755</v>
      </c>
      <c r="B48" s="887"/>
      <c r="C48" s="2596" t="e">
        <f>R49</f>
        <v>#DIV/0!</v>
      </c>
      <c r="D48" s="2597"/>
      <c r="E48" s="2598" t="e">
        <f>R48</f>
        <v>#DIV/0!</v>
      </c>
      <c r="F48" s="2598"/>
      <c r="G48" s="2596" t="e">
        <f>T48</f>
        <v>#DIV/0!</v>
      </c>
      <c r="H48" s="2597"/>
      <c r="I48" s="2598" t="e">
        <f>V48</f>
        <v>#DIV/0!</v>
      </c>
      <c r="J48" s="2597"/>
      <c r="K48" s="1597"/>
      <c r="L48" s="2128"/>
      <c r="M48" s="2129"/>
      <c r="N48" s="2118"/>
      <c r="O48" s="2129"/>
      <c r="P48" s="3348" t="str">
        <f>A48</f>
        <v>比较价格（元/平方米）</v>
      </c>
      <c r="Q48" s="3348"/>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45"/>
      <c r="Y48" s="1545"/>
      <c r="Z48" s="1545"/>
      <c r="AA48" s="1545"/>
      <c r="AB48" s="1545"/>
      <c r="AC48" s="1545"/>
    </row>
    <row r="49" spans="1:29" ht="15" thickBot="1">
      <c r="A49" s="621" t="s">
        <v>2932</v>
      </c>
      <c r="B49" s="622"/>
      <c r="C49" s="2599" t="e">
        <f>R49</f>
        <v>#DIV/0!</v>
      </c>
      <c r="D49" s="2599"/>
      <c r="E49" s="2599"/>
      <c r="F49" s="2599"/>
      <c r="G49" s="2599"/>
      <c r="H49" s="2599"/>
      <c r="I49" s="2599"/>
      <c r="J49" s="2599"/>
      <c r="K49" s="1598"/>
      <c r="L49" s="2128"/>
      <c r="M49" s="2129"/>
      <c r="N49" s="2118"/>
      <c r="O49" s="2129"/>
      <c r="P49" s="3345" t="str">
        <f>A49</f>
        <v>估价对象XX用房的比较价格（楼面单价，元/平方米）</v>
      </c>
      <c r="Q49" s="3346"/>
      <c r="R49" s="3464" t="e">
        <f>IF(F1="售价",ROUND(AVERAGE(R48:V48),0),ROUND(AVERAGE(R48:V48),1))</f>
        <v>#DIV/0!</v>
      </c>
      <c r="S49" s="3464"/>
      <c r="T49" s="3464"/>
      <c r="U49" s="3464"/>
      <c r="V49" s="3464"/>
      <c r="W49" s="3464"/>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2" t="s">
        <v>521</v>
      </c>
      <c r="B4" s="513"/>
      <c r="C4" s="3354" t="s">
        <v>522</v>
      </c>
      <c r="D4" s="3355"/>
      <c r="E4" s="3388" t="s">
        <v>523</v>
      </c>
      <c r="F4" s="3389"/>
      <c r="G4" s="3354" t="s">
        <v>524</v>
      </c>
      <c r="H4" s="3355"/>
      <c r="I4" s="3354" t="s">
        <v>525</v>
      </c>
      <c r="J4" s="3355"/>
      <c r="K4" s="514" t="s">
        <v>526</v>
      </c>
      <c r="L4" s="2117"/>
      <c r="M4" s="2118"/>
      <c r="N4" s="2118"/>
      <c r="O4" s="2118"/>
      <c r="P4" s="3468" t="s">
        <v>527</v>
      </c>
      <c r="Q4" s="3357"/>
      <c r="R4" s="3362" t="s">
        <v>523</v>
      </c>
      <c r="S4" s="3363"/>
      <c r="T4" s="3362" t="s">
        <v>524</v>
      </c>
      <c r="U4" s="3363"/>
      <c r="V4" s="3349" t="s">
        <v>525</v>
      </c>
      <c r="W4" s="3349"/>
      <c r="X4" s="1553"/>
      <c r="Y4" s="3362" t="s">
        <v>527</v>
      </c>
      <c r="Z4" s="3363"/>
      <c r="AA4" s="3351" t="s">
        <v>523</v>
      </c>
      <c r="AB4" s="3351" t="s">
        <v>524</v>
      </c>
      <c r="AC4" s="3351" t="s">
        <v>525</v>
      </c>
    </row>
    <row r="5" spans="1:29">
      <c r="A5" s="515"/>
      <c r="B5" s="516"/>
      <c r="C5" s="3370" t="s">
        <v>2926</v>
      </c>
      <c r="D5" s="3371"/>
      <c r="E5" s="3390" t="s">
        <v>2927</v>
      </c>
      <c r="F5" s="3391"/>
      <c r="G5" s="3370" t="s">
        <v>2928</v>
      </c>
      <c r="H5" s="3371"/>
      <c r="I5" s="3370" t="s">
        <v>2929</v>
      </c>
      <c r="J5" s="3371"/>
      <c r="K5" s="514"/>
      <c r="L5" s="2117"/>
      <c r="M5" s="2118"/>
      <c r="N5" s="2118"/>
      <c r="O5" s="2118"/>
      <c r="P5" s="3469"/>
      <c r="Q5" s="3359"/>
      <c r="R5" s="3364"/>
      <c r="S5" s="3365"/>
      <c r="T5" s="3364"/>
      <c r="U5" s="3365"/>
      <c r="V5" s="3349"/>
      <c r="W5" s="3349"/>
      <c r="X5" s="1553"/>
      <c r="Y5" s="3364"/>
      <c r="Z5" s="3365"/>
      <c r="AA5" s="3352"/>
      <c r="AB5" s="3352"/>
      <c r="AC5" s="3352"/>
    </row>
    <row r="6" spans="1:29" ht="15" thickBot="1">
      <c r="A6" s="517"/>
      <c r="B6" s="518"/>
      <c r="C6" s="3368" t="s">
        <v>2930</v>
      </c>
      <c r="D6" s="3369"/>
      <c r="E6" s="3386" t="s">
        <v>2930</v>
      </c>
      <c r="F6" s="3387"/>
      <c r="G6" s="3368" t="s">
        <v>2930</v>
      </c>
      <c r="H6" s="3369"/>
      <c r="I6" s="3368" t="s">
        <v>2930</v>
      </c>
      <c r="J6" s="3369"/>
      <c r="K6" s="514" t="s">
        <v>528</v>
      </c>
      <c r="L6" s="2117"/>
      <c r="M6" s="2118"/>
      <c r="N6" s="2118"/>
      <c r="O6" s="2118"/>
      <c r="P6" s="3470"/>
      <c r="Q6" s="3361"/>
      <c r="R6" s="3364"/>
      <c r="S6" s="3365"/>
      <c r="T6" s="3366"/>
      <c r="U6" s="3367"/>
      <c r="V6" s="3349"/>
      <c r="W6" s="3349"/>
      <c r="X6" s="1553"/>
      <c r="Y6" s="3366"/>
      <c r="Z6" s="3367"/>
      <c r="AA6" s="3353"/>
      <c r="AB6" s="3353"/>
      <c r="AC6" s="3353"/>
    </row>
    <row r="7" spans="1:29" s="1215" customFormat="1" ht="15" thickBot="1">
      <c r="A7" s="2866"/>
      <c r="B7" s="2873" t="s">
        <v>529</v>
      </c>
      <c r="C7" s="519">
        <f>'数据-取费表'!B2</f>
        <v>43895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1" t="s">
        <v>530</v>
      </c>
      <c r="Q7" s="3381"/>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1" t="s">
        <v>533</v>
      </c>
      <c r="Q8" s="3380"/>
      <c r="R8" s="1554" t="s">
        <v>8</v>
      </c>
      <c r="S8" s="1555">
        <f t="shared" si="0"/>
        <v>0</v>
      </c>
      <c r="T8" s="1554" t="s">
        <v>8</v>
      </c>
      <c r="U8" s="1555">
        <f t="shared" si="1"/>
        <v>0</v>
      </c>
      <c r="V8" s="1554" t="s">
        <v>8</v>
      </c>
      <c r="W8" s="1555">
        <f t="shared" si="2"/>
        <v>0</v>
      </c>
      <c r="X8" s="1556"/>
      <c r="Y8" s="3379" t="s">
        <v>533</v>
      </c>
      <c r="Z8" s="3380"/>
      <c r="AA8" s="1557" t="e">
        <f t="shared" ref="AA8:AA47" si="3">D8/F8</f>
        <v>#DIV/0!</v>
      </c>
      <c r="AB8" s="1557" t="e">
        <f t="shared" ref="AB8:AB47" si="4">D8/H8</f>
        <v>#DIV/0!</v>
      </c>
      <c r="AC8" s="1557" t="e">
        <f t="shared" ref="AC8:AC47" si="5">D8/J8</f>
        <v>#DIV/0!</v>
      </c>
    </row>
    <row r="9" spans="1:29" s="1215" customFormat="1" ht="14.4">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48" t="s">
        <v>535</v>
      </c>
      <c r="Q9" s="1146" t="str">
        <f t="shared" ref="Q9:Q15" si="6">B9</f>
        <v>用途</v>
      </c>
      <c r="R9" s="1554" t="s">
        <v>8</v>
      </c>
      <c r="S9" s="1555">
        <f t="shared" si="0"/>
        <v>100</v>
      </c>
      <c r="T9" s="1554" t="s">
        <v>8</v>
      </c>
      <c r="U9" s="1555">
        <f t="shared" si="1"/>
        <v>100</v>
      </c>
      <c r="V9" s="1554" t="s">
        <v>8</v>
      </c>
      <c r="W9" s="1555">
        <f t="shared" si="2"/>
        <v>100</v>
      </c>
      <c r="X9" s="1556"/>
      <c r="Y9" s="3294"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48"/>
      <c r="Q11" s="1146" t="str">
        <f t="shared" si="6"/>
        <v>容积率</v>
      </c>
      <c r="R11" s="1554" t="s">
        <v>8</v>
      </c>
      <c r="S11" s="1555" t="e">
        <f t="shared" si="0"/>
        <v>#N/A</v>
      </c>
      <c r="T11" s="1554" t="s">
        <v>8</v>
      </c>
      <c r="U11" s="1555" t="e">
        <f t="shared" si="1"/>
        <v>#N/A</v>
      </c>
      <c r="V11" s="1554" t="s">
        <v>8</v>
      </c>
      <c r="W11" s="1555" t="e">
        <f t="shared" si="2"/>
        <v>#N/A</v>
      </c>
      <c r="X11" s="1556"/>
      <c r="Y11" s="329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48"/>
      <c r="Q12" s="1146">
        <f t="shared" si="6"/>
        <v>111</v>
      </c>
      <c r="R12" s="1554" t="s">
        <v>8</v>
      </c>
      <c r="S12" s="1555">
        <f t="shared" si="0"/>
        <v>100</v>
      </c>
      <c r="T12" s="1554" t="s">
        <v>8</v>
      </c>
      <c r="U12" s="1555">
        <f t="shared" si="1"/>
        <v>100</v>
      </c>
      <c r="V12" s="1554" t="s">
        <v>8</v>
      </c>
      <c r="W12" s="1555">
        <f t="shared" si="2"/>
        <v>100</v>
      </c>
      <c r="X12" s="1556"/>
      <c r="Y12" s="3294"/>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48"/>
      <c r="Q13" s="1146">
        <f t="shared" si="6"/>
        <v>111</v>
      </c>
      <c r="R13" s="1554" t="s">
        <v>8</v>
      </c>
      <c r="S13" s="1555">
        <f t="shared" si="0"/>
        <v>100</v>
      </c>
      <c r="T13" s="1554" t="s">
        <v>8</v>
      </c>
      <c r="U13" s="1555">
        <f t="shared" si="1"/>
        <v>100</v>
      </c>
      <c r="V13" s="1554" t="s">
        <v>8</v>
      </c>
      <c r="W13" s="1555">
        <f t="shared" si="2"/>
        <v>100</v>
      </c>
      <c r="X13" s="1556"/>
      <c r="Y13" s="3294"/>
      <c r="Z13" s="1145">
        <f t="shared" si="7"/>
        <v>111</v>
      </c>
      <c r="AA13" s="1557">
        <f t="shared" si="3"/>
        <v>1</v>
      </c>
      <c r="AB13" s="1557">
        <f t="shared" si="4"/>
        <v>1</v>
      </c>
      <c r="AC13" s="1557">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48"/>
      <c r="Q14" s="1146">
        <f t="shared" si="6"/>
        <v>111</v>
      </c>
      <c r="R14" s="1554" t="s">
        <v>8</v>
      </c>
      <c r="S14" s="1555">
        <f t="shared" si="0"/>
        <v>100</v>
      </c>
      <c r="T14" s="1554" t="s">
        <v>8</v>
      </c>
      <c r="U14" s="1555">
        <f t="shared" si="1"/>
        <v>100</v>
      </c>
      <c r="V14" s="1554" t="s">
        <v>8</v>
      </c>
      <c r="W14" s="1555">
        <f t="shared" si="2"/>
        <v>100</v>
      </c>
      <c r="X14" s="1556"/>
      <c r="Y14" s="3294"/>
      <c r="Z14" s="1145">
        <f t="shared" si="7"/>
        <v>111</v>
      </c>
      <c r="AA14" s="1557">
        <f t="shared" si="3"/>
        <v>1</v>
      </c>
      <c r="AB14" s="1557">
        <f t="shared" si="4"/>
        <v>1</v>
      </c>
      <c r="AC14" s="1557">
        <f t="shared" si="5"/>
        <v>1</v>
      </c>
    </row>
    <row r="15" spans="1:29" ht="82.8">
      <c r="A15" s="2864" t="s">
        <v>2749</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82" t="s">
        <v>540</v>
      </c>
      <c r="Q15" s="1558" t="str">
        <f t="shared" si="6"/>
        <v>办公集聚程度</v>
      </c>
      <c r="R15" s="1559" t="s">
        <v>8</v>
      </c>
      <c r="S15" s="1560">
        <f t="shared" si="0"/>
        <v>100</v>
      </c>
      <c r="T15" s="1559" t="s">
        <v>8</v>
      </c>
      <c r="U15" s="1560">
        <f t="shared" si="1"/>
        <v>100</v>
      </c>
      <c r="V15" s="1559" t="s">
        <v>8</v>
      </c>
      <c r="W15" s="1560">
        <f t="shared" si="2"/>
        <v>100</v>
      </c>
      <c r="X15" s="1553"/>
      <c r="Y15" s="338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6"/>
      <c r="M16" s="2118"/>
      <c r="N16" s="2118"/>
      <c r="O16" s="2118"/>
      <c r="P16" s="3383"/>
      <c r="Q16" s="1558"/>
      <c r="R16" s="1559"/>
      <c r="S16" s="1560"/>
      <c r="T16" s="1559"/>
      <c r="U16" s="1560"/>
      <c r="V16" s="1559"/>
      <c r="W16" s="1560"/>
      <c r="X16" s="1553"/>
      <c r="Y16" s="3383"/>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83"/>
      <c r="Q17" s="1558" t="str">
        <f>B17</f>
        <v>交通便捷度</v>
      </c>
      <c r="R17" s="1559" t="s">
        <v>8</v>
      </c>
      <c r="S17" s="1560">
        <f>F17</f>
        <v>100</v>
      </c>
      <c r="T17" s="1559" t="s">
        <v>8</v>
      </c>
      <c r="U17" s="1560">
        <f>H17</f>
        <v>100</v>
      </c>
      <c r="V17" s="1559" t="s">
        <v>8</v>
      </c>
      <c r="W17" s="1560">
        <f>J17</f>
        <v>100</v>
      </c>
      <c r="X17" s="1553"/>
      <c r="Y17" s="338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6"/>
      <c r="M18" s="2118"/>
      <c r="N18" s="2118"/>
      <c r="O18" s="2118"/>
      <c r="P18" s="3383"/>
      <c r="Q18" s="1558"/>
      <c r="R18" s="1559"/>
      <c r="S18" s="1560"/>
      <c r="T18" s="1559"/>
      <c r="U18" s="1560"/>
      <c r="V18" s="1559"/>
      <c r="W18" s="1560"/>
      <c r="X18" s="1553"/>
      <c r="Y18" s="3383"/>
      <c r="Z18" s="1561"/>
      <c r="AA18" s="1562">
        <v>1</v>
      </c>
      <c r="AB18" s="1562">
        <v>1</v>
      </c>
      <c r="AC18" s="1562">
        <v>1</v>
      </c>
    </row>
    <row r="19" spans="1:29" ht="41.4">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83"/>
      <c r="Q19" s="1558" t="str">
        <f>B19</f>
        <v>公共配套设施</v>
      </c>
      <c r="R19" s="1559" t="s">
        <v>8</v>
      </c>
      <c r="S19" s="1560">
        <f>F19</f>
        <v>100</v>
      </c>
      <c r="T19" s="1559" t="s">
        <v>8</v>
      </c>
      <c r="U19" s="1560">
        <f>H19</f>
        <v>100</v>
      </c>
      <c r="V19" s="1559" t="s">
        <v>8</v>
      </c>
      <c r="W19" s="1560">
        <f>J19</f>
        <v>100</v>
      </c>
      <c r="X19" s="1553"/>
      <c r="Y19" s="338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6"/>
      <c r="M20" s="2118"/>
      <c r="N20" s="2118"/>
      <c r="O20" s="2118"/>
      <c r="P20" s="3383"/>
      <c r="Q20" s="1558"/>
      <c r="R20" s="1559"/>
      <c r="S20" s="1560"/>
      <c r="T20" s="1559"/>
      <c r="U20" s="1560"/>
      <c r="V20" s="1559"/>
      <c r="W20" s="1560"/>
      <c r="X20" s="1553"/>
      <c r="Y20" s="3383"/>
      <c r="Z20" s="1561"/>
      <c r="AA20" s="1562">
        <v>1</v>
      </c>
      <c r="AB20" s="1562">
        <v>1</v>
      </c>
      <c r="AC20" s="1562">
        <v>1</v>
      </c>
    </row>
    <row r="21" spans="1:29" ht="41.4">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83"/>
      <c r="Q21" s="2542" t="str">
        <f>B21</f>
        <v>基础设施水平</v>
      </c>
      <c r="R21" s="1559" t="s">
        <v>8</v>
      </c>
      <c r="S21" s="1560">
        <f>F21</f>
        <v>100</v>
      </c>
      <c r="T21" s="1559" t="s">
        <v>8</v>
      </c>
      <c r="U21" s="1560">
        <f>H21</f>
        <v>100</v>
      </c>
      <c r="V21" s="1559" t="s">
        <v>8</v>
      </c>
      <c r="W21" s="1560">
        <f>J21</f>
        <v>100</v>
      </c>
      <c r="X21" s="2544"/>
      <c r="Y21" s="3383"/>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383"/>
      <c r="Q22" s="2542"/>
      <c r="R22" s="1559"/>
      <c r="S22" s="1560"/>
      <c r="T22" s="1559"/>
      <c r="U22" s="1560"/>
      <c r="V22" s="1559"/>
      <c r="W22" s="1560"/>
      <c r="X22" s="2544"/>
      <c r="Y22" s="3383"/>
      <c r="Z22" s="2543"/>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83"/>
      <c r="Q23" s="1558" t="str">
        <f>B23</f>
        <v>环境质量</v>
      </c>
      <c r="R23" s="1559" t="s">
        <v>8</v>
      </c>
      <c r="S23" s="1560">
        <f>F23</f>
        <v>100</v>
      </c>
      <c r="T23" s="1559" t="s">
        <v>8</v>
      </c>
      <c r="U23" s="1560">
        <f>H23</f>
        <v>100</v>
      </c>
      <c r="V23" s="1559" t="s">
        <v>8</v>
      </c>
      <c r="W23" s="1560">
        <f>J23</f>
        <v>100</v>
      </c>
      <c r="X23" s="1553"/>
      <c r="Y23" s="338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6"/>
      <c r="M24" s="2118"/>
      <c r="N24" s="2118"/>
      <c r="O24" s="2118"/>
      <c r="P24" s="3383"/>
      <c r="Q24" s="1558"/>
      <c r="R24" s="1559"/>
      <c r="S24" s="1560"/>
      <c r="T24" s="1559"/>
      <c r="U24" s="1560"/>
      <c r="V24" s="1559"/>
      <c r="W24" s="1560"/>
      <c r="X24" s="1553"/>
      <c r="Y24" s="3383"/>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83"/>
      <c r="Q25" s="1558" t="str">
        <f>B25</f>
        <v>毗邻道路的类型与等级</v>
      </c>
      <c r="R25" s="1559" t="s">
        <v>8</v>
      </c>
      <c r="S25" s="1560">
        <f>F25</f>
        <v>100</v>
      </c>
      <c r="T25" s="1559" t="s">
        <v>8</v>
      </c>
      <c r="U25" s="1560">
        <f>H25</f>
        <v>100</v>
      </c>
      <c r="V25" s="1559" t="s">
        <v>8</v>
      </c>
      <c r="W25" s="1560">
        <f>J25</f>
        <v>100</v>
      </c>
      <c r="X25" s="1553"/>
      <c r="Y25" s="338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6"/>
      <c r="M26" s="2118"/>
      <c r="N26" s="2118"/>
      <c r="O26" s="2118"/>
      <c r="P26" s="3383"/>
      <c r="Q26" s="1558"/>
      <c r="R26" s="1559"/>
      <c r="S26" s="1560"/>
      <c r="T26" s="1559"/>
      <c r="U26" s="1560"/>
      <c r="V26" s="1559"/>
      <c r="W26" s="1560"/>
      <c r="X26" s="1553"/>
      <c r="Y26" s="338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3"/>
      <c r="Q27" s="1558" t="str">
        <f t="shared" ref="Q27:Q47" si="11">B27</f>
        <v>楼层</v>
      </c>
      <c r="R27" s="1559" t="s">
        <v>8</v>
      </c>
      <c r="S27" s="1560">
        <f>F27</f>
        <v>100</v>
      </c>
      <c r="T27" s="1559" t="s">
        <v>8</v>
      </c>
      <c r="U27" s="1560">
        <f>H27</f>
        <v>100</v>
      </c>
      <c r="V27" s="1559" t="s">
        <v>8</v>
      </c>
      <c r="W27" s="1560">
        <f>J27</f>
        <v>100</v>
      </c>
      <c r="X27" s="1553"/>
      <c r="Y27" s="3383"/>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83"/>
      <c r="Q28" s="1146" t="str">
        <f t="shared" si="11"/>
        <v>朝向</v>
      </c>
      <c r="R28" s="1554" t="s">
        <v>8</v>
      </c>
      <c r="S28" s="1555">
        <f>F28</f>
        <v>100</v>
      </c>
      <c r="T28" s="1554" t="s">
        <v>8</v>
      </c>
      <c r="U28" s="1555">
        <f>H28</f>
        <v>100</v>
      </c>
      <c r="V28" s="1554" t="s">
        <v>8</v>
      </c>
      <c r="W28" s="1555">
        <f>J28</f>
        <v>100</v>
      </c>
      <c r="X28" s="1556"/>
      <c r="Y28" s="338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83"/>
      <c r="Q29" s="1558">
        <f t="shared" si="11"/>
        <v>111</v>
      </c>
      <c r="R29" s="1559" t="s">
        <v>8</v>
      </c>
      <c r="S29" s="1560">
        <f t="shared" ref="S29:S47" si="12">F29</f>
        <v>100</v>
      </c>
      <c r="T29" s="1559" t="s">
        <v>8</v>
      </c>
      <c r="U29" s="1560">
        <f t="shared" ref="U29:U47" si="13">H29</f>
        <v>100</v>
      </c>
      <c r="V29" s="1559" t="s">
        <v>8</v>
      </c>
      <c r="W29" s="1560">
        <f t="shared" ref="W29:W47" si="14">J29</f>
        <v>100</v>
      </c>
      <c r="X29" s="1553"/>
      <c r="Y29" s="338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83"/>
      <c r="Q30" s="1558">
        <f t="shared" si="11"/>
        <v>111</v>
      </c>
      <c r="R30" s="1559" t="s">
        <v>8</v>
      </c>
      <c r="S30" s="1560">
        <f t="shared" si="12"/>
        <v>100</v>
      </c>
      <c r="T30" s="1559" t="s">
        <v>8</v>
      </c>
      <c r="U30" s="1560">
        <f t="shared" si="13"/>
        <v>100</v>
      </c>
      <c r="V30" s="1559" t="s">
        <v>8</v>
      </c>
      <c r="W30" s="1560">
        <f t="shared" si="14"/>
        <v>100</v>
      </c>
      <c r="X30" s="1553"/>
      <c r="Y30" s="338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83"/>
      <c r="Q31" s="1558">
        <f t="shared" si="11"/>
        <v>111</v>
      </c>
      <c r="R31" s="1559" t="s">
        <v>8</v>
      </c>
      <c r="S31" s="1560">
        <f t="shared" si="12"/>
        <v>100</v>
      </c>
      <c r="T31" s="1559" t="s">
        <v>8</v>
      </c>
      <c r="U31" s="1560">
        <f t="shared" si="13"/>
        <v>100</v>
      </c>
      <c r="V31" s="1559" t="s">
        <v>8</v>
      </c>
      <c r="W31" s="1560">
        <f t="shared" si="14"/>
        <v>100</v>
      </c>
      <c r="X31" s="1553"/>
      <c r="Y31" s="3383"/>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83"/>
      <c r="Q32" s="1558">
        <f t="shared" si="11"/>
        <v>111</v>
      </c>
      <c r="R32" s="1559" t="s">
        <v>8</v>
      </c>
      <c r="S32" s="1560">
        <f t="shared" si="12"/>
        <v>100</v>
      </c>
      <c r="T32" s="1559" t="s">
        <v>8</v>
      </c>
      <c r="U32" s="1560">
        <f t="shared" si="13"/>
        <v>100</v>
      </c>
      <c r="V32" s="1559" t="s">
        <v>8</v>
      </c>
      <c r="W32" s="1560">
        <f t="shared" si="14"/>
        <v>100</v>
      </c>
      <c r="X32" s="1553"/>
      <c r="Y32" s="3383"/>
      <c r="Z32" s="1561">
        <f t="shared" si="15"/>
        <v>111</v>
      </c>
      <c r="AA32" s="1562">
        <f t="shared" si="3"/>
        <v>1</v>
      </c>
      <c r="AB32" s="1562">
        <f t="shared" si="4"/>
        <v>1</v>
      </c>
      <c r="AC32" s="1562">
        <f t="shared" si="5"/>
        <v>1</v>
      </c>
    </row>
    <row r="33" spans="1:29" ht="15">
      <c r="A33" s="2861" t="s">
        <v>2750</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84" t="s">
        <v>550</v>
      </c>
      <c r="Q33" s="1558" t="str">
        <f t="shared" si="11"/>
        <v>建筑类型</v>
      </c>
      <c r="R33" s="1559" t="s">
        <v>8</v>
      </c>
      <c r="S33" s="1560">
        <f t="shared" si="12"/>
        <v>100</v>
      </c>
      <c r="T33" s="1559" t="s">
        <v>8</v>
      </c>
      <c r="U33" s="1560">
        <f t="shared" si="13"/>
        <v>100</v>
      </c>
      <c r="V33" s="1559" t="s">
        <v>8</v>
      </c>
      <c r="W33" s="1560">
        <f t="shared" si="14"/>
        <v>100</v>
      </c>
      <c r="X33" s="1553"/>
      <c r="Y33" s="3385"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85"/>
      <c r="Q34" s="1590" t="str">
        <f t="shared" si="11"/>
        <v>项目建筑规模</v>
      </c>
      <c r="R34" s="1563" t="s">
        <v>8</v>
      </c>
      <c r="S34" s="1564" t="e">
        <f t="shared" si="12"/>
        <v>#N/A</v>
      </c>
      <c r="T34" s="1563" t="s">
        <v>8</v>
      </c>
      <c r="U34" s="1564" t="e">
        <f t="shared" si="13"/>
        <v>#N/A</v>
      </c>
      <c r="V34" s="1563" t="s">
        <v>8</v>
      </c>
      <c r="W34" s="1564" t="e">
        <f t="shared" si="14"/>
        <v>#N/A</v>
      </c>
      <c r="X34" s="1565"/>
      <c r="Y34" s="338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85"/>
      <c r="Q35" s="1558" t="str">
        <f t="shared" si="11"/>
        <v>建筑结构</v>
      </c>
      <c r="R35" s="1559" t="s">
        <v>8</v>
      </c>
      <c r="S35" s="1560">
        <f t="shared" si="12"/>
        <v>100</v>
      </c>
      <c r="T35" s="1559" t="s">
        <v>8</v>
      </c>
      <c r="U35" s="1560">
        <f t="shared" si="13"/>
        <v>100</v>
      </c>
      <c r="V35" s="1559" t="s">
        <v>8</v>
      </c>
      <c r="W35" s="1560">
        <f t="shared" si="14"/>
        <v>100</v>
      </c>
      <c r="X35" s="1553"/>
      <c r="Y35" s="338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85"/>
      <c r="Q36" s="1558" t="str">
        <f t="shared" si="11"/>
        <v>公共部分装修</v>
      </c>
      <c r="R36" s="1559" t="s">
        <v>8</v>
      </c>
      <c r="S36" s="1560">
        <f t="shared" si="12"/>
        <v>100</v>
      </c>
      <c r="T36" s="1559" t="s">
        <v>8</v>
      </c>
      <c r="U36" s="1560">
        <f t="shared" si="13"/>
        <v>100</v>
      </c>
      <c r="V36" s="1559" t="s">
        <v>8</v>
      </c>
      <c r="W36" s="1560">
        <f t="shared" si="14"/>
        <v>100</v>
      </c>
      <c r="X36" s="1553"/>
      <c r="Y36" s="3385"/>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85"/>
      <c r="Q37" s="1558" t="str">
        <f t="shared" si="11"/>
        <v>成新度</v>
      </c>
      <c r="R37" s="1559" t="s">
        <v>8</v>
      </c>
      <c r="S37" s="1560" t="e">
        <f t="shared" si="12"/>
        <v>#N/A</v>
      </c>
      <c r="T37" s="1559" t="s">
        <v>8</v>
      </c>
      <c r="U37" s="1560" t="e">
        <f t="shared" si="13"/>
        <v>#N/A</v>
      </c>
      <c r="V37" s="1559" t="s">
        <v>8</v>
      </c>
      <c r="W37" s="1560" t="e">
        <f t="shared" si="14"/>
        <v>#N/A</v>
      </c>
      <c r="X37" s="1553"/>
      <c r="Y37" s="3385"/>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85"/>
      <c r="Q38" s="1146" t="str">
        <f t="shared" si="11"/>
        <v>写字楼等级</v>
      </c>
      <c r="R38" s="1554" t="s">
        <v>8</v>
      </c>
      <c r="S38" s="1555">
        <f t="shared" si="12"/>
        <v>100</v>
      </c>
      <c r="T38" s="1554" t="s">
        <v>8</v>
      </c>
      <c r="U38" s="1555">
        <f t="shared" si="13"/>
        <v>100</v>
      </c>
      <c r="V38" s="1554" t="s">
        <v>8</v>
      </c>
      <c r="W38" s="1555">
        <f t="shared" si="14"/>
        <v>100</v>
      </c>
      <c r="X38" s="1556"/>
      <c r="Y38" s="3385"/>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85" t="s">
        <v>550</v>
      </c>
      <c r="Q39" s="1558" t="str">
        <f t="shared" si="11"/>
        <v>物业管理</v>
      </c>
      <c r="R39" s="1559" t="s">
        <v>8</v>
      </c>
      <c r="S39" s="1560">
        <f t="shared" si="12"/>
        <v>100</v>
      </c>
      <c r="T39" s="1559" t="s">
        <v>8</v>
      </c>
      <c r="U39" s="1560">
        <f t="shared" si="13"/>
        <v>100</v>
      </c>
      <c r="V39" s="1559" t="s">
        <v>8</v>
      </c>
      <c r="W39" s="1560">
        <f t="shared" si="14"/>
        <v>100</v>
      </c>
      <c r="X39" s="1553"/>
      <c r="Y39" s="3385" t="s">
        <v>550</v>
      </c>
      <c r="Z39" s="1561" t="str">
        <f t="shared" si="15"/>
        <v>物业管理</v>
      </c>
      <c r="AA39" s="1562">
        <f t="shared" si="3"/>
        <v>1</v>
      </c>
      <c r="AB39" s="1562">
        <f t="shared" si="4"/>
        <v>1</v>
      </c>
      <c r="AC39" s="1562">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85"/>
      <c r="Q40" s="1558" t="str">
        <f t="shared" si="11"/>
        <v>市政基础设施</v>
      </c>
      <c r="R40" s="1559" t="s">
        <v>8</v>
      </c>
      <c r="S40" s="1560">
        <f t="shared" si="12"/>
        <v>100</v>
      </c>
      <c r="T40" s="1559" t="s">
        <v>8</v>
      </c>
      <c r="U40" s="1560">
        <f t="shared" si="13"/>
        <v>100</v>
      </c>
      <c r="V40" s="1559" t="s">
        <v>8</v>
      </c>
      <c r="W40" s="1560">
        <f t="shared" si="14"/>
        <v>100</v>
      </c>
      <c r="X40" s="1553"/>
      <c r="Y40" s="338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85"/>
      <c r="Q41" s="1558" t="str">
        <f t="shared" si="11"/>
        <v>层高</v>
      </c>
      <c r="R41" s="1559" t="s">
        <v>8</v>
      </c>
      <c r="S41" s="1560">
        <f t="shared" si="12"/>
        <v>100</v>
      </c>
      <c r="T41" s="1559" t="s">
        <v>8</v>
      </c>
      <c r="U41" s="1560">
        <f t="shared" si="13"/>
        <v>100</v>
      </c>
      <c r="V41" s="1559" t="s">
        <v>8</v>
      </c>
      <c r="W41" s="1560">
        <f t="shared" si="14"/>
        <v>100</v>
      </c>
      <c r="X41" s="1553"/>
      <c r="Y41" s="3385"/>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85"/>
      <c r="Q42" s="1590" t="str">
        <f t="shared" si="11"/>
        <v>单套建筑面积</v>
      </c>
      <c r="R42" s="1563" t="s">
        <v>8</v>
      </c>
      <c r="S42" s="1564">
        <f t="shared" si="12"/>
        <v>100</v>
      </c>
      <c r="T42" s="1563" t="s">
        <v>8</v>
      </c>
      <c r="U42" s="1564">
        <f t="shared" si="13"/>
        <v>100</v>
      </c>
      <c r="V42" s="1563" t="s">
        <v>8</v>
      </c>
      <c r="W42" s="1564">
        <f t="shared" si="14"/>
        <v>100</v>
      </c>
      <c r="X42" s="1565"/>
      <c r="Y42" s="338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85"/>
      <c r="Q43" s="1558" t="str">
        <f t="shared" si="11"/>
        <v>内部装修</v>
      </c>
      <c r="R43" s="1559" t="s">
        <v>8</v>
      </c>
      <c r="S43" s="1560">
        <f t="shared" si="12"/>
        <v>100</v>
      </c>
      <c r="T43" s="1559" t="s">
        <v>8</v>
      </c>
      <c r="U43" s="1560">
        <f t="shared" si="13"/>
        <v>100</v>
      </c>
      <c r="V43" s="1559" t="s">
        <v>8</v>
      </c>
      <c r="W43" s="1560">
        <f t="shared" si="14"/>
        <v>100</v>
      </c>
      <c r="X43" s="1553"/>
      <c r="Y43" s="3385"/>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85"/>
      <c r="Q44" s="1558" t="str">
        <f t="shared" si="11"/>
        <v>内部装修维护情况</v>
      </c>
      <c r="R44" s="1559" t="s">
        <v>8</v>
      </c>
      <c r="S44" s="1560">
        <f t="shared" si="12"/>
        <v>100</v>
      </c>
      <c r="T44" s="1559" t="s">
        <v>8</v>
      </c>
      <c r="U44" s="1560">
        <f t="shared" si="13"/>
        <v>100</v>
      </c>
      <c r="V44" s="1559" t="s">
        <v>8</v>
      </c>
      <c r="W44" s="1560">
        <f t="shared" si="14"/>
        <v>100</v>
      </c>
      <c r="X44" s="1553"/>
      <c r="Y44" s="338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85"/>
      <c r="Q45" s="1146">
        <f t="shared" si="11"/>
        <v>111</v>
      </c>
      <c r="R45" s="1554" t="s">
        <v>8</v>
      </c>
      <c r="S45" s="1555">
        <f t="shared" si="12"/>
        <v>100</v>
      </c>
      <c r="T45" s="1554" t="s">
        <v>8</v>
      </c>
      <c r="U45" s="1555">
        <f t="shared" si="13"/>
        <v>100</v>
      </c>
      <c r="V45" s="1554" t="s">
        <v>8</v>
      </c>
      <c r="W45" s="1555">
        <f t="shared" si="14"/>
        <v>100</v>
      </c>
      <c r="X45" s="1556"/>
      <c r="Y45" s="338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85"/>
      <c r="Q46" s="1558">
        <f t="shared" si="11"/>
        <v>111</v>
      </c>
      <c r="R46" s="1559" t="s">
        <v>8</v>
      </c>
      <c r="S46" s="1560">
        <f t="shared" si="12"/>
        <v>100</v>
      </c>
      <c r="T46" s="1559" t="s">
        <v>8</v>
      </c>
      <c r="U46" s="1560">
        <f t="shared" si="13"/>
        <v>100</v>
      </c>
      <c r="V46" s="1559" t="s">
        <v>8</v>
      </c>
      <c r="W46" s="1560">
        <f t="shared" si="14"/>
        <v>100</v>
      </c>
      <c r="X46" s="1553"/>
      <c r="Y46" s="3385"/>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66"/>
      <c r="Q47" s="1558">
        <f t="shared" si="11"/>
        <v>111</v>
      </c>
      <c r="R47" s="1559" t="s">
        <v>8</v>
      </c>
      <c r="S47" s="1560">
        <f t="shared" si="12"/>
        <v>100</v>
      </c>
      <c r="T47" s="1559" t="s">
        <v>8</v>
      </c>
      <c r="U47" s="1560">
        <f t="shared" si="13"/>
        <v>100</v>
      </c>
      <c r="V47" s="1559" t="s">
        <v>8</v>
      </c>
      <c r="W47" s="1560">
        <f t="shared" si="14"/>
        <v>100</v>
      </c>
      <c r="X47" s="1553"/>
      <c r="Y47" s="3466"/>
      <c r="Z47" s="1561">
        <f t="shared" si="15"/>
        <v>111</v>
      </c>
      <c r="AA47" s="1562">
        <f t="shared" si="3"/>
        <v>1</v>
      </c>
      <c r="AB47" s="1562">
        <f t="shared" si="4"/>
        <v>1</v>
      </c>
      <c r="AC47" s="1562">
        <f t="shared" si="5"/>
        <v>1</v>
      </c>
    </row>
    <row r="48" spans="1:29" ht="14.4">
      <c r="A48" s="607" t="s">
        <v>736</v>
      </c>
      <c r="B48" s="886"/>
      <c r="C48" s="2590" t="s">
        <v>1</v>
      </c>
      <c r="D48" s="2591"/>
      <c r="E48" s="2592"/>
      <c r="F48" s="2593"/>
      <c r="G48" s="2594"/>
      <c r="H48" s="2595"/>
      <c r="I48" s="2592"/>
      <c r="J48" s="2595"/>
      <c r="K48" s="1596"/>
      <c r="L48" s="2128"/>
      <c r="M48" s="2118"/>
      <c r="N48" s="2118"/>
      <c r="O48" s="2118"/>
      <c r="P48" s="3346" t="str">
        <f>A48</f>
        <v>成交单价（元/平方米）</v>
      </c>
      <c r="Q48" s="3348"/>
      <c r="R48" s="3465">
        <f>E48</f>
        <v>0</v>
      </c>
      <c r="S48" s="3465"/>
      <c r="T48" s="3465">
        <f>G48</f>
        <v>0</v>
      </c>
      <c r="U48" s="3465"/>
      <c r="V48" s="3465">
        <f>I48</f>
        <v>0</v>
      </c>
      <c r="W48" s="3465"/>
      <c r="X48" s="1545"/>
      <c r="Y48" s="1567"/>
      <c r="Z48" s="1545"/>
      <c r="AA48" s="1545"/>
      <c r="AB48" s="1545"/>
      <c r="AC48" s="1545"/>
    </row>
    <row r="49" spans="1:29" ht="15" thickBot="1">
      <c r="A49" s="615" t="s">
        <v>2755</v>
      </c>
      <c r="B49" s="887"/>
      <c r="C49" s="2596" t="e">
        <f>R50</f>
        <v>#DIV/0!</v>
      </c>
      <c r="D49" s="2597"/>
      <c r="E49" s="2598" t="e">
        <f>R49</f>
        <v>#DIV/0!</v>
      </c>
      <c r="F49" s="2598"/>
      <c r="G49" s="2596" t="e">
        <f>T49</f>
        <v>#DIV/0!</v>
      </c>
      <c r="H49" s="2597"/>
      <c r="I49" s="2598" t="e">
        <f>V49</f>
        <v>#DIV/0!</v>
      </c>
      <c r="J49" s="2597"/>
      <c r="K49" s="1597"/>
      <c r="L49" s="2128"/>
      <c r="M49" s="2118"/>
      <c r="N49" s="2118"/>
      <c r="O49" s="2118"/>
      <c r="P49" s="3346" t="str">
        <f>A49</f>
        <v>比较价格（元/平方米）</v>
      </c>
      <c r="Q49" s="3348"/>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45"/>
      <c r="Y49" s="1545"/>
      <c r="Z49" s="1545"/>
      <c r="AA49" s="1545"/>
      <c r="AB49" s="1545"/>
      <c r="AC49" s="1545"/>
    </row>
    <row r="50" spans="1:29" ht="15" thickBot="1">
      <c r="A50" s="621" t="s">
        <v>2932</v>
      </c>
      <c r="B50" s="622"/>
      <c r="C50" s="2599" t="e">
        <f>R50</f>
        <v>#DIV/0!</v>
      </c>
      <c r="D50" s="2599"/>
      <c r="E50" s="2599"/>
      <c r="F50" s="2599"/>
      <c r="G50" s="2599"/>
      <c r="H50" s="2599"/>
      <c r="I50" s="2599"/>
      <c r="J50" s="2599"/>
      <c r="K50" s="1598"/>
      <c r="L50" s="2128"/>
      <c r="M50" s="2118"/>
      <c r="N50" s="2118"/>
      <c r="O50" s="2118"/>
      <c r="P50" s="3467" t="str">
        <f>A50</f>
        <v>估价对象XX用房的比较价格（楼面单价，元/平方米）</v>
      </c>
      <c r="Q50" s="3346"/>
      <c r="R50" s="3464" t="e">
        <f>IF(F1="售价",ROUND(AVERAGE(R49:V49),0),ROUND(AVERAGE(R49:V49),1))</f>
        <v>#DIV/0!</v>
      </c>
      <c r="S50" s="3464"/>
      <c r="T50" s="3464"/>
      <c r="U50" s="3464"/>
      <c r="V50" s="3464"/>
      <c r="W50" s="3464"/>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2020-3</v>
      </c>
      <c r="D59" s="2758">
        <f>EDATE(C59,-1)</f>
        <v>43862</v>
      </c>
      <c r="E59" s="2758">
        <f t="shared" ref="E59:O59" si="16">EDATE(D59,-1)</f>
        <v>43831</v>
      </c>
      <c r="F59" s="2758">
        <f t="shared" si="16"/>
        <v>43800</v>
      </c>
      <c r="G59" s="2758">
        <f t="shared" si="16"/>
        <v>43770</v>
      </c>
      <c r="H59" s="2758">
        <f t="shared" si="16"/>
        <v>43739</v>
      </c>
      <c r="I59" s="2758">
        <f t="shared" si="16"/>
        <v>43709</v>
      </c>
      <c r="J59" s="2758">
        <f t="shared" si="16"/>
        <v>43678</v>
      </c>
      <c r="K59" s="2758">
        <f t="shared" si="16"/>
        <v>43647</v>
      </c>
      <c r="L59" s="2758">
        <f t="shared" si="16"/>
        <v>43617</v>
      </c>
      <c r="M59" s="2758">
        <f t="shared" si="16"/>
        <v>43586</v>
      </c>
      <c r="N59" s="2758">
        <f t="shared" si="16"/>
        <v>43556</v>
      </c>
      <c r="O59" s="2758">
        <f t="shared" si="16"/>
        <v>43525</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521</v>
      </c>
      <c r="B4" s="513"/>
      <c r="C4" s="3354" t="s">
        <v>522</v>
      </c>
      <c r="D4" s="3355"/>
      <c r="E4" s="3388" t="s">
        <v>523</v>
      </c>
      <c r="F4" s="3389"/>
      <c r="G4" s="3354" t="s">
        <v>524</v>
      </c>
      <c r="H4" s="3355"/>
      <c r="I4" s="3354" t="s">
        <v>525</v>
      </c>
      <c r="J4" s="3355"/>
      <c r="K4" s="514" t="s">
        <v>526</v>
      </c>
      <c r="L4" s="2117"/>
      <c r="M4" s="2118"/>
      <c r="N4" s="2118"/>
      <c r="O4" s="2118"/>
      <c r="P4" s="3356" t="s">
        <v>527</v>
      </c>
      <c r="Q4" s="3357"/>
      <c r="R4" s="3362" t="s">
        <v>523</v>
      </c>
      <c r="S4" s="3363"/>
      <c r="T4" s="3362" t="s">
        <v>524</v>
      </c>
      <c r="U4" s="3363"/>
      <c r="V4" s="3349" t="s">
        <v>525</v>
      </c>
      <c r="W4" s="3349"/>
      <c r="X4" s="1553"/>
      <c r="Y4" s="3362" t="s">
        <v>527</v>
      </c>
      <c r="Z4" s="3363"/>
      <c r="AA4" s="3351" t="s">
        <v>523</v>
      </c>
      <c r="AB4" s="3352" t="s">
        <v>524</v>
      </c>
      <c r="AC4" s="3351" t="s">
        <v>525</v>
      </c>
    </row>
    <row r="5" spans="1:29">
      <c r="A5" s="515"/>
      <c r="B5" s="516"/>
      <c r="C5" s="3370" t="s">
        <v>2926</v>
      </c>
      <c r="D5" s="3371"/>
      <c r="E5" s="3390" t="s">
        <v>2927</v>
      </c>
      <c r="F5" s="3391"/>
      <c r="G5" s="3370" t="s">
        <v>2928</v>
      </c>
      <c r="H5" s="3371"/>
      <c r="I5" s="3370" t="s">
        <v>2929</v>
      </c>
      <c r="J5" s="3371"/>
      <c r="K5" s="514"/>
      <c r="L5" s="2117"/>
      <c r="M5" s="2118"/>
      <c r="N5" s="2118"/>
      <c r="O5" s="2118"/>
      <c r="P5" s="3358"/>
      <c r="Q5" s="3359"/>
      <c r="R5" s="3364"/>
      <c r="S5" s="3365"/>
      <c r="T5" s="3364"/>
      <c r="U5" s="3365"/>
      <c r="V5" s="3349"/>
      <c r="W5" s="3349"/>
      <c r="X5" s="1553"/>
      <c r="Y5" s="3364"/>
      <c r="Z5" s="3365"/>
      <c r="AA5" s="3352"/>
      <c r="AB5" s="3352"/>
      <c r="AC5" s="3352"/>
    </row>
    <row r="6" spans="1:29" ht="15" thickBot="1">
      <c r="A6" s="517"/>
      <c r="B6" s="518"/>
      <c r="C6" s="3368" t="s">
        <v>2930</v>
      </c>
      <c r="D6" s="3369"/>
      <c r="E6" s="3386" t="s">
        <v>2930</v>
      </c>
      <c r="F6" s="3387"/>
      <c r="G6" s="3368" t="s">
        <v>2930</v>
      </c>
      <c r="H6" s="3369"/>
      <c r="I6" s="3368" t="s">
        <v>2930</v>
      </c>
      <c r="J6" s="3369"/>
      <c r="K6" s="514" t="s">
        <v>528</v>
      </c>
      <c r="L6" s="2117"/>
      <c r="M6" s="2118"/>
      <c r="N6" s="2118"/>
      <c r="O6" s="2118"/>
      <c r="P6" s="3360"/>
      <c r="Q6" s="3361"/>
      <c r="R6" s="3364"/>
      <c r="S6" s="3365"/>
      <c r="T6" s="3366"/>
      <c r="U6" s="3367"/>
      <c r="V6" s="3349"/>
      <c r="W6" s="3349"/>
      <c r="X6" s="1553"/>
      <c r="Y6" s="3366"/>
      <c r="Z6" s="3367"/>
      <c r="AA6" s="3353"/>
      <c r="AB6" s="3353"/>
      <c r="AC6" s="3353"/>
    </row>
    <row r="7" spans="1:29" s="1215" customFormat="1" ht="15" thickBot="1">
      <c r="A7" s="2866"/>
      <c r="B7" s="2873" t="s">
        <v>529</v>
      </c>
      <c r="C7" s="519">
        <f>'数据-取费表'!B2</f>
        <v>43895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9" t="s">
        <v>530</v>
      </c>
      <c r="Q7" s="3381"/>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9" t="s">
        <v>533</v>
      </c>
      <c r="Q8" s="3380"/>
      <c r="R8" s="1554" t="s">
        <v>8</v>
      </c>
      <c r="S8" s="1555">
        <f t="shared" si="0"/>
        <v>0</v>
      </c>
      <c r="T8" s="1554" t="s">
        <v>8</v>
      </c>
      <c r="U8" s="1555">
        <f t="shared" si="1"/>
        <v>0</v>
      </c>
      <c r="V8" s="1554" t="s">
        <v>8</v>
      </c>
      <c r="W8" s="1555">
        <f t="shared" si="2"/>
        <v>0</v>
      </c>
      <c r="X8" s="1556"/>
      <c r="Y8" s="3379" t="s">
        <v>533</v>
      </c>
      <c r="Z8" s="3380"/>
      <c r="AA8" s="1557" t="e">
        <f t="shared" ref="AA8:AA40" si="3">D8/F8</f>
        <v>#DIV/0!</v>
      </c>
      <c r="AB8" s="1557" t="e">
        <f t="shared" ref="AB8:AB40" si="4">D8/H8</f>
        <v>#DIV/0!</v>
      </c>
      <c r="AC8" s="1557" t="e">
        <f t="shared" ref="AC8:AC40" si="5">D8/J8</f>
        <v>#DIV/0!</v>
      </c>
    </row>
    <row r="9" spans="1:29" s="1215" customFormat="1" ht="14.4">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48" t="s">
        <v>535</v>
      </c>
      <c r="Q9" s="1146" t="str">
        <f t="shared" ref="Q9:Q15" si="6">B9</f>
        <v>用途</v>
      </c>
      <c r="R9" s="1554" t="s">
        <v>8</v>
      </c>
      <c r="S9" s="1555">
        <f t="shared" si="0"/>
        <v>100</v>
      </c>
      <c r="T9" s="1554" t="s">
        <v>8</v>
      </c>
      <c r="U9" s="1555">
        <f t="shared" si="1"/>
        <v>100</v>
      </c>
      <c r="V9" s="1554" t="s">
        <v>8</v>
      </c>
      <c r="W9" s="1555">
        <f t="shared" si="2"/>
        <v>100</v>
      </c>
      <c r="X9" s="1556"/>
      <c r="Y9" s="3294"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48"/>
      <c r="Q11" s="1146" t="str">
        <f t="shared" si="6"/>
        <v>容积率</v>
      </c>
      <c r="R11" s="1554" t="s">
        <v>8</v>
      </c>
      <c r="S11" s="1555" t="e">
        <f t="shared" si="0"/>
        <v>#N/A</v>
      </c>
      <c r="T11" s="1554" t="s">
        <v>8</v>
      </c>
      <c r="U11" s="1555" t="e">
        <f t="shared" si="1"/>
        <v>#N/A</v>
      </c>
      <c r="V11" s="1554" t="s">
        <v>8</v>
      </c>
      <c r="W11" s="1555" t="e">
        <f t="shared" si="2"/>
        <v>#N/A</v>
      </c>
      <c r="X11" s="1556"/>
      <c r="Y11" s="329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48"/>
      <c r="Q12" s="1146">
        <f t="shared" si="6"/>
        <v>111</v>
      </c>
      <c r="R12" s="1554" t="s">
        <v>8</v>
      </c>
      <c r="S12" s="1555">
        <f t="shared" si="0"/>
        <v>100</v>
      </c>
      <c r="T12" s="1554" t="s">
        <v>8</v>
      </c>
      <c r="U12" s="1555">
        <f t="shared" si="1"/>
        <v>100</v>
      </c>
      <c r="V12" s="1554" t="s">
        <v>8</v>
      </c>
      <c r="W12" s="1555">
        <f t="shared" si="2"/>
        <v>100</v>
      </c>
      <c r="X12" s="1556"/>
      <c r="Y12" s="3294"/>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48"/>
      <c r="Q13" s="1146">
        <f t="shared" si="6"/>
        <v>111</v>
      </c>
      <c r="R13" s="1554" t="s">
        <v>8</v>
      </c>
      <c r="S13" s="1555">
        <f t="shared" si="0"/>
        <v>100</v>
      </c>
      <c r="T13" s="1554" t="s">
        <v>8</v>
      </c>
      <c r="U13" s="1555">
        <f t="shared" si="1"/>
        <v>100</v>
      </c>
      <c r="V13" s="1554" t="s">
        <v>8</v>
      </c>
      <c r="W13" s="1555">
        <f t="shared" si="2"/>
        <v>100</v>
      </c>
      <c r="X13" s="1556"/>
      <c r="Y13" s="3294"/>
      <c r="Z13" s="1145">
        <f t="shared" si="7"/>
        <v>111</v>
      </c>
      <c r="AA13" s="1557">
        <f t="shared" si="3"/>
        <v>1</v>
      </c>
      <c r="AB13" s="1557">
        <f t="shared" si="4"/>
        <v>1</v>
      </c>
      <c r="AC13" s="1557">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48"/>
      <c r="Q14" s="1146">
        <f t="shared" si="6"/>
        <v>111</v>
      </c>
      <c r="R14" s="1554" t="s">
        <v>8</v>
      </c>
      <c r="S14" s="1555">
        <f t="shared" si="0"/>
        <v>100</v>
      </c>
      <c r="T14" s="1554" t="s">
        <v>8</v>
      </c>
      <c r="U14" s="1555">
        <f t="shared" si="1"/>
        <v>100</v>
      </c>
      <c r="V14" s="1554" t="s">
        <v>8</v>
      </c>
      <c r="W14" s="1555">
        <f t="shared" si="2"/>
        <v>100</v>
      </c>
      <c r="X14" s="1556"/>
      <c r="Y14" s="3294"/>
      <c r="Z14" s="1145">
        <f t="shared" si="7"/>
        <v>111</v>
      </c>
      <c r="AA14" s="1557">
        <f t="shared" si="3"/>
        <v>1</v>
      </c>
      <c r="AB14" s="1557">
        <f t="shared" si="4"/>
        <v>1</v>
      </c>
      <c r="AC14" s="1557">
        <f t="shared" si="5"/>
        <v>1</v>
      </c>
    </row>
    <row r="15" spans="1:29" ht="69">
      <c r="A15" s="2864" t="s">
        <v>2749</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82" t="s">
        <v>540</v>
      </c>
      <c r="Q15" s="1558" t="str">
        <f t="shared" si="6"/>
        <v>产业集聚程度</v>
      </c>
      <c r="R15" s="1559" t="s">
        <v>8</v>
      </c>
      <c r="S15" s="1560">
        <f t="shared" si="0"/>
        <v>100</v>
      </c>
      <c r="T15" s="1559" t="s">
        <v>8</v>
      </c>
      <c r="U15" s="1560">
        <f t="shared" si="1"/>
        <v>100</v>
      </c>
      <c r="V15" s="1559" t="s">
        <v>8</v>
      </c>
      <c r="W15" s="1560">
        <f t="shared" si="2"/>
        <v>100</v>
      </c>
      <c r="X15" s="1553"/>
      <c r="Y15" s="338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6"/>
      <c r="M16" s="2118"/>
      <c r="N16" s="2118"/>
      <c r="O16" s="2125"/>
      <c r="P16" s="3383"/>
      <c r="Q16" s="1558"/>
      <c r="R16" s="1559"/>
      <c r="S16" s="1560"/>
      <c r="T16" s="1559"/>
      <c r="U16" s="1560"/>
      <c r="V16" s="1559"/>
      <c r="W16" s="1560"/>
      <c r="X16" s="1553"/>
      <c r="Y16" s="3383"/>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83"/>
      <c r="Q17" s="1558" t="str">
        <f>B17</f>
        <v>交通便捷度</v>
      </c>
      <c r="R17" s="1559" t="s">
        <v>8</v>
      </c>
      <c r="S17" s="1560">
        <f>F17</f>
        <v>100</v>
      </c>
      <c r="T17" s="1559" t="s">
        <v>8</v>
      </c>
      <c r="U17" s="1560">
        <f>H17</f>
        <v>100</v>
      </c>
      <c r="V17" s="1559" t="s">
        <v>8</v>
      </c>
      <c r="W17" s="1560">
        <f>J17</f>
        <v>100</v>
      </c>
      <c r="X17" s="1553"/>
      <c r="Y17" s="338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6"/>
      <c r="M18" s="2118"/>
      <c r="N18" s="2118"/>
      <c r="O18" s="2125"/>
      <c r="P18" s="3383"/>
      <c r="Q18" s="1558"/>
      <c r="R18" s="1559"/>
      <c r="S18" s="1560"/>
      <c r="T18" s="1559"/>
      <c r="U18" s="1560"/>
      <c r="V18" s="1559"/>
      <c r="W18" s="1560"/>
      <c r="X18" s="1553"/>
      <c r="Y18" s="3383"/>
      <c r="Z18" s="1561"/>
      <c r="AA18" s="1562">
        <v>1</v>
      </c>
      <c r="AB18" s="1562">
        <v>1</v>
      </c>
      <c r="AC18" s="1562">
        <v>1</v>
      </c>
    </row>
    <row r="19" spans="1:29" ht="41.4">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83"/>
      <c r="Q19" s="1558" t="str">
        <f>B19</f>
        <v>公共配套设施</v>
      </c>
      <c r="R19" s="1559" t="s">
        <v>8</v>
      </c>
      <c r="S19" s="1560">
        <f>F19</f>
        <v>100</v>
      </c>
      <c r="T19" s="1559" t="s">
        <v>8</v>
      </c>
      <c r="U19" s="1560">
        <f>H19</f>
        <v>100</v>
      </c>
      <c r="V19" s="1559" t="s">
        <v>8</v>
      </c>
      <c r="W19" s="1560">
        <f>J19</f>
        <v>100</v>
      </c>
      <c r="X19" s="1553"/>
      <c r="Y19" s="338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6"/>
      <c r="M20" s="2118"/>
      <c r="N20" s="2118"/>
      <c r="O20" s="2125"/>
      <c r="P20" s="3383"/>
      <c r="Q20" s="1558"/>
      <c r="R20" s="1559"/>
      <c r="S20" s="1560"/>
      <c r="T20" s="1559"/>
      <c r="U20" s="1560"/>
      <c r="V20" s="1559"/>
      <c r="W20" s="1560"/>
      <c r="X20" s="1553"/>
      <c r="Y20" s="3383"/>
      <c r="Z20" s="1561"/>
      <c r="AA20" s="1562">
        <v>1</v>
      </c>
      <c r="AB20" s="1562">
        <v>1</v>
      </c>
      <c r="AC20" s="1562">
        <v>1</v>
      </c>
    </row>
    <row r="21" spans="1:29" ht="41.4">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83"/>
      <c r="Q21" s="2542" t="str">
        <f>B21</f>
        <v>基础设施水平</v>
      </c>
      <c r="R21" s="1559" t="s">
        <v>8</v>
      </c>
      <c r="S21" s="1560">
        <f>F21</f>
        <v>100</v>
      </c>
      <c r="T21" s="1559" t="s">
        <v>8</v>
      </c>
      <c r="U21" s="1560">
        <f>H21</f>
        <v>100</v>
      </c>
      <c r="V21" s="1559" t="s">
        <v>8</v>
      </c>
      <c r="W21" s="1560">
        <f>J21</f>
        <v>100</v>
      </c>
      <c r="X21" s="2544"/>
      <c r="Y21" s="3383"/>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383"/>
      <c r="Q22" s="2542"/>
      <c r="R22" s="1559"/>
      <c r="S22" s="1560"/>
      <c r="T22" s="1559"/>
      <c r="U22" s="1560"/>
      <c r="V22" s="1559"/>
      <c r="W22" s="1560"/>
      <c r="X22" s="2544"/>
      <c r="Y22" s="3383"/>
      <c r="Z22" s="2543"/>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83"/>
      <c r="Q23" s="1558" t="str">
        <f>B23</f>
        <v>环境质量</v>
      </c>
      <c r="R23" s="1559" t="s">
        <v>8</v>
      </c>
      <c r="S23" s="1560">
        <f>F23</f>
        <v>100</v>
      </c>
      <c r="T23" s="1559" t="s">
        <v>8</v>
      </c>
      <c r="U23" s="1560">
        <f>H23</f>
        <v>100</v>
      </c>
      <c r="V23" s="1559" t="s">
        <v>8</v>
      </c>
      <c r="W23" s="1560">
        <f>J23</f>
        <v>100</v>
      </c>
      <c r="X23" s="1553"/>
      <c r="Y23" s="338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6"/>
      <c r="M24" s="2118"/>
      <c r="N24" s="2118"/>
      <c r="O24" s="2125"/>
      <c r="P24" s="3383"/>
      <c r="Q24" s="1558"/>
      <c r="R24" s="1559"/>
      <c r="S24" s="1560"/>
      <c r="T24" s="1559"/>
      <c r="U24" s="1560"/>
      <c r="V24" s="1559"/>
      <c r="W24" s="1560"/>
      <c r="X24" s="1553"/>
      <c r="Y24" s="338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3"/>
      <c r="Q25" s="1558">
        <f>B25</f>
        <v>111</v>
      </c>
      <c r="R25" s="1559" t="s">
        <v>8</v>
      </c>
      <c r="S25" s="1560">
        <f>F25</f>
        <v>100</v>
      </c>
      <c r="T25" s="1559" t="s">
        <v>8</v>
      </c>
      <c r="U25" s="1560">
        <f>H25</f>
        <v>100</v>
      </c>
      <c r="V25" s="1559" t="s">
        <v>8</v>
      </c>
      <c r="W25" s="1560">
        <f>J25</f>
        <v>100</v>
      </c>
      <c r="X25" s="1553"/>
      <c r="Y25" s="338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3"/>
      <c r="Q26" s="1558">
        <f t="shared" ref="Q26:Q40" si="11">B26</f>
        <v>111</v>
      </c>
      <c r="R26" s="1559" t="s">
        <v>8</v>
      </c>
      <c r="S26" s="1560">
        <f>F26</f>
        <v>100</v>
      </c>
      <c r="T26" s="1559" t="s">
        <v>8</v>
      </c>
      <c r="U26" s="1560">
        <f>H26</f>
        <v>100</v>
      </c>
      <c r="V26" s="1559" t="s">
        <v>8</v>
      </c>
      <c r="W26" s="1560">
        <f>J26</f>
        <v>100</v>
      </c>
      <c r="X26" s="1553"/>
      <c r="Y26" s="338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3"/>
      <c r="Q27" s="1146">
        <f t="shared" si="11"/>
        <v>111</v>
      </c>
      <c r="R27" s="1554" t="s">
        <v>8</v>
      </c>
      <c r="S27" s="1555">
        <f>F27</f>
        <v>100</v>
      </c>
      <c r="T27" s="1554" t="s">
        <v>8</v>
      </c>
      <c r="U27" s="1555">
        <f>H27</f>
        <v>100</v>
      </c>
      <c r="V27" s="1554" t="s">
        <v>8</v>
      </c>
      <c r="W27" s="1555">
        <f>J27</f>
        <v>100</v>
      </c>
      <c r="X27" s="1556"/>
      <c r="Y27" s="3383"/>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83"/>
      <c r="Q28" s="1558">
        <f t="shared" si="11"/>
        <v>111</v>
      </c>
      <c r="R28" s="1559" t="s">
        <v>8</v>
      </c>
      <c r="S28" s="1560">
        <f t="shared" ref="S28:S40" si="12">F28</f>
        <v>100</v>
      </c>
      <c r="T28" s="1559" t="s">
        <v>8</v>
      </c>
      <c r="U28" s="1560">
        <f t="shared" ref="U28:U40" si="13">H28</f>
        <v>100</v>
      </c>
      <c r="V28" s="1559" t="s">
        <v>8</v>
      </c>
      <c r="W28" s="1560">
        <f t="shared" ref="W28:W40" si="14">J28</f>
        <v>100</v>
      </c>
      <c r="X28" s="1553"/>
      <c r="Y28" s="3383"/>
      <c r="Z28" s="1561">
        <f t="shared" ref="Z28:Z40" si="15">Q28</f>
        <v>111</v>
      </c>
      <c r="AA28" s="1562">
        <f t="shared" si="3"/>
        <v>1</v>
      </c>
      <c r="AB28" s="1562">
        <f t="shared" si="4"/>
        <v>1</v>
      </c>
      <c r="AC28" s="1562">
        <f t="shared" si="5"/>
        <v>1</v>
      </c>
    </row>
    <row r="29" spans="1:29" ht="15">
      <c r="A29" s="2861" t="s">
        <v>2750</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84" t="s">
        <v>550</v>
      </c>
      <c r="Q29" s="1558" t="str">
        <f t="shared" si="11"/>
        <v>建筑类型</v>
      </c>
      <c r="R29" s="1559" t="s">
        <v>8</v>
      </c>
      <c r="S29" s="1560">
        <f t="shared" si="12"/>
        <v>100</v>
      </c>
      <c r="T29" s="1559" t="s">
        <v>8</v>
      </c>
      <c r="U29" s="1560">
        <f t="shared" si="13"/>
        <v>100</v>
      </c>
      <c r="V29" s="1559" t="s">
        <v>8</v>
      </c>
      <c r="W29" s="1560">
        <f t="shared" si="14"/>
        <v>100</v>
      </c>
      <c r="X29" s="1553"/>
      <c r="Y29" s="3385"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85"/>
      <c r="Q30" s="1590" t="str">
        <f t="shared" si="11"/>
        <v>项目建筑规模</v>
      </c>
      <c r="R30" s="1563" t="s">
        <v>8</v>
      </c>
      <c r="S30" s="1564" t="e">
        <f t="shared" si="12"/>
        <v>#N/A</v>
      </c>
      <c r="T30" s="1563" t="s">
        <v>8</v>
      </c>
      <c r="U30" s="1564" t="e">
        <f t="shared" si="13"/>
        <v>#N/A</v>
      </c>
      <c r="V30" s="1563" t="s">
        <v>8</v>
      </c>
      <c r="W30" s="1564" t="e">
        <f t="shared" si="14"/>
        <v>#N/A</v>
      </c>
      <c r="X30" s="1565"/>
      <c r="Y30" s="338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85"/>
      <c r="Q31" s="1558" t="str">
        <f t="shared" si="11"/>
        <v>建筑结构</v>
      </c>
      <c r="R31" s="1559" t="s">
        <v>8</v>
      </c>
      <c r="S31" s="1560">
        <f t="shared" si="12"/>
        <v>100</v>
      </c>
      <c r="T31" s="1559" t="s">
        <v>8</v>
      </c>
      <c r="U31" s="1560">
        <f t="shared" si="13"/>
        <v>100</v>
      </c>
      <c r="V31" s="1559" t="s">
        <v>8</v>
      </c>
      <c r="W31" s="1560">
        <f t="shared" si="14"/>
        <v>100</v>
      </c>
      <c r="X31" s="1553"/>
      <c r="Y31" s="338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85"/>
      <c r="Q32" s="1558" t="str">
        <f t="shared" si="11"/>
        <v>公共部分装修</v>
      </c>
      <c r="R32" s="1559" t="s">
        <v>8</v>
      </c>
      <c r="S32" s="1560">
        <f t="shared" si="12"/>
        <v>100</v>
      </c>
      <c r="T32" s="1559" t="s">
        <v>8</v>
      </c>
      <c r="U32" s="1560">
        <f t="shared" si="13"/>
        <v>100</v>
      </c>
      <c r="V32" s="1559" t="s">
        <v>8</v>
      </c>
      <c r="W32" s="1560">
        <f t="shared" si="14"/>
        <v>100</v>
      </c>
      <c r="X32" s="1553"/>
      <c r="Y32" s="3385"/>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85"/>
      <c r="Q33" s="1558" t="str">
        <f t="shared" si="11"/>
        <v>成新度</v>
      </c>
      <c r="R33" s="1559" t="s">
        <v>8</v>
      </c>
      <c r="S33" s="1560" t="e">
        <f t="shared" si="12"/>
        <v>#N/A</v>
      </c>
      <c r="T33" s="1559" t="s">
        <v>8</v>
      </c>
      <c r="U33" s="1560" t="e">
        <f t="shared" si="13"/>
        <v>#N/A</v>
      </c>
      <c r="V33" s="1559" t="s">
        <v>8</v>
      </c>
      <c r="W33" s="1560" t="e">
        <f t="shared" si="14"/>
        <v>#N/A</v>
      </c>
      <c r="X33" s="1553"/>
      <c r="Y33" s="3385"/>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85"/>
      <c r="Q34" s="1146" t="str">
        <f t="shared" si="11"/>
        <v>物业管理</v>
      </c>
      <c r="R34" s="1554" t="s">
        <v>8</v>
      </c>
      <c r="S34" s="1555">
        <f t="shared" si="12"/>
        <v>100</v>
      </c>
      <c r="T34" s="1554" t="s">
        <v>8</v>
      </c>
      <c r="U34" s="1555">
        <f t="shared" si="13"/>
        <v>100</v>
      </c>
      <c r="V34" s="1554" t="s">
        <v>8</v>
      </c>
      <c r="W34" s="1555">
        <f t="shared" si="14"/>
        <v>100</v>
      </c>
      <c r="X34" s="1556"/>
      <c r="Y34" s="3385"/>
      <c r="Z34" s="1145" t="str">
        <f t="shared" si="15"/>
        <v>物业管理</v>
      </c>
      <c r="AA34" s="1557">
        <f t="shared" si="3"/>
        <v>1</v>
      </c>
      <c r="AB34" s="1557">
        <f t="shared" si="4"/>
        <v>1</v>
      </c>
      <c r="AC34" s="1557">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85" t="s">
        <v>550</v>
      </c>
      <c r="Q35" s="1558" t="str">
        <f t="shared" si="11"/>
        <v>市政基础设施</v>
      </c>
      <c r="R35" s="1559" t="s">
        <v>8</v>
      </c>
      <c r="S35" s="1560">
        <f t="shared" si="12"/>
        <v>100</v>
      </c>
      <c r="T35" s="1559" t="s">
        <v>8</v>
      </c>
      <c r="U35" s="1560">
        <f t="shared" si="13"/>
        <v>100</v>
      </c>
      <c r="V35" s="1559" t="s">
        <v>8</v>
      </c>
      <c r="W35" s="1560">
        <f t="shared" si="14"/>
        <v>100</v>
      </c>
      <c r="X35" s="1553"/>
      <c r="Y35" s="338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85"/>
      <c r="Q36" s="1558" t="str">
        <f t="shared" si="11"/>
        <v>内部装修</v>
      </c>
      <c r="R36" s="1559" t="s">
        <v>8</v>
      </c>
      <c r="S36" s="1560">
        <f t="shared" si="12"/>
        <v>100</v>
      </c>
      <c r="T36" s="1559" t="s">
        <v>8</v>
      </c>
      <c r="U36" s="1560">
        <f t="shared" si="13"/>
        <v>100</v>
      </c>
      <c r="V36" s="1559" t="s">
        <v>8</v>
      </c>
      <c r="W36" s="1560">
        <f t="shared" si="14"/>
        <v>100</v>
      </c>
      <c r="X36" s="1553"/>
      <c r="Y36" s="338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85"/>
      <c r="Q37" s="1558" t="str">
        <f t="shared" si="11"/>
        <v>内部装修状况</v>
      </c>
      <c r="R37" s="1559" t="s">
        <v>8</v>
      </c>
      <c r="S37" s="1560">
        <f t="shared" si="12"/>
        <v>100</v>
      </c>
      <c r="T37" s="1559" t="s">
        <v>8</v>
      </c>
      <c r="U37" s="1560">
        <f t="shared" si="13"/>
        <v>100</v>
      </c>
      <c r="V37" s="1559" t="s">
        <v>8</v>
      </c>
      <c r="W37" s="1560">
        <f t="shared" si="14"/>
        <v>100</v>
      </c>
      <c r="X37" s="1553"/>
      <c r="Y37" s="338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85"/>
      <c r="Q38" s="1590">
        <f t="shared" si="11"/>
        <v>111</v>
      </c>
      <c r="R38" s="1563" t="s">
        <v>8</v>
      </c>
      <c r="S38" s="1564">
        <f t="shared" si="12"/>
        <v>100</v>
      </c>
      <c r="T38" s="1563" t="s">
        <v>8</v>
      </c>
      <c r="U38" s="1564">
        <f t="shared" si="13"/>
        <v>100</v>
      </c>
      <c r="V38" s="1563" t="s">
        <v>8</v>
      </c>
      <c r="W38" s="1564">
        <f t="shared" si="14"/>
        <v>100</v>
      </c>
      <c r="X38" s="1565"/>
      <c r="Y38" s="338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85"/>
      <c r="Q39" s="1558">
        <f t="shared" si="11"/>
        <v>111</v>
      </c>
      <c r="R39" s="1559" t="s">
        <v>8</v>
      </c>
      <c r="S39" s="1560">
        <f t="shared" si="12"/>
        <v>100</v>
      </c>
      <c r="T39" s="1559" t="s">
        <v>8</v>
      </c>
      <c r="U39" s="1560">
        <f t="shared" si="13"/>
        <v>100</v>
      </c>
      <c r="V39" s="1559" t="s">
        <v>8</v>
      </c>
      <c r="W39" s="1560">
        <f t="shared" si="14"/>
        <v>100</v>
      </c>
      <c r="X39" s="1553"/>
      <c r="Y39" s="3385"/>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66"/>
      <c r="Q40" s="1558">
        <f t="shared" si="11"/>
        <v>111</v>
      </c>
      <c r="R40" s="1559" t="s">
        <v>8</v>
      </c>
      <c r="S40" s="1560">
        <f t="shared" si="12"/>
        <v>100</v>
      </c>
      <c r="T40" s="1559" t="s">
        <v>8</v>
      </c>
      <c r="U40" s="1560">
        <f t="shared" si="13"/>
        <v>100</v>
      </c>
      <c r="V40" s="1559" t="s">
        <v>8</v>
      </c>
      <c r="W40" s="1560">
        <f t="shared" si="14"/>
        <v>100</v>
      </c>
      <c r="X40" s="1553"/>
      <c r="Y40" s="3466"/>
      <c r="Z40" s="1561">
        <f t="shared" si="15"/>
        <v>111</v>
      </c>
      <c r="AA40" s="1562">
        <f t="shared" si="3"/>
        <v>1</v>
      </c>
      <c r="AB40" s="1562">
        <f t="shared" si="4"/>
        <v>1</v>
      </c>
      <c r="AC40" s="1562">
        <f t="shared" si="5"/>
        <v>1</v>
      </c>
    </row>
    <row r="41" spans="1:29" ht="14.4">
      <c r="A41" s="607" t="s">
        <v>736</v>
      </c>
      <c r="B41" s="886"/>
      <c r="C41" s="2590" t="s">
        <v>1</v>
      </c>
      <c r="D41" s="2591"/>
      <c r="E41" s="2592"/>
      <c r="F41" s="2593"/>
      <c r="G41" s="2594"/>
      <c r="H41" s="2595"/>
      <c r="I41" s="2592"/>
      <c r="J41" s="2595"/>
      <c r="K41" s="1596"/>
      <c r="L41" s="2128"/>
      <c r="M41" s="2129"/>
      <c r="N41" s="2118"/>
      <c r="O41" s="2129"/>
      <c r="P41" s="3348" t="str">
        <f>A41</f>
        <v>成交单价（元/平方米）</v>
      </c>
      <c r="Q41" s="3348"/>
      <c r="R41" s="3465">
        <f>E41</f>
        <v>0</v>
      </c>
      <c r="S41" s="3465"/>
      <c r="T41" s="3465">
        <f>G41</f>
        <v>0</v>
      </c>
      <c r="U41" s="3465"/>
      <c r="V41" s="3465">
        <f>I41</f>
        <v>0</v>
      </c>
      <c r="W41" s="3465"/>
      <c r="X41" s="1545"/>
      <c r="Y41" s="1567"/>
      <c r="Z41" s="1545"/>
      <c r="AA41" s="1545"/>
      <c r="AB41" s="1545"/>
      <c r="AC41" s="1545"/>
    </row>
    <row r="42" spans="1:29" ht="15" thickBot="1">
      <c r="A42" s="615" t="s">
        <v>2755</v>
      </c>
      <c r="B42" s="887"/>
      <c r="C42" s="2596" t="e">
        <f>R43</f>
        <v>#DIV/0!</v>
      </c>
      <c r="D42" s="2597"/>
      <c r="E42" s="2598" t="e">
        <f>R42</f>
        <v>#DIV/0!</v>
      </c>
      <c r="F42" s="2598"/>
      <c r="G42" s="2596" t="e">
        <f>T42</f>
        <v>#DIV/0!</v>
      </c>
      <c r="H42" s="2597"/>
      <c r="I42" s="2598" t="e">
        <f>V42</f>
        <v>#DIV/0!</v>
      </c>
      <c r="J42" s="2597"/>
      <c r="K42" s="1597"/>
      <c r="L42" s="2128"/>
      <c r="M42" s="2129"/>
      <c r="N42" s="2118"/>
      <c r="O42" s="2129"/>
      <c r="P42" s="3348" t="str">
        <f>A42</f>
        <v>比较价格（元/平方米）</v>
      </c>
      <c r="Q42" s="3348"/>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45"/>
      <c r="Y42" s="1545"/>
      <c r="Z42" s="1545"/>
      <c r="AA42" s="1545"/>
      <c r="AB42" s="1545"/>
      <c r="AC42" s="1545"/>
    </row>
    <row r="43" spans="1:29" ht="15" thickBot="1">
      <c r="A43" s="621" t="s">
        <v>2932</v>
      </c>
      <c r="B43" s="622"/>
      <c r="C43" s="2599" t="e">
        <f>R43</f>
        <v>#DIV/0!</v>
      </c>
      <c r="D43" s="2599"/>
      <c r="E43" s="2599"/>
      <c r="F43" s="2599"/>
      <c r="G43" s="2599"/>
      <c r="H43" s="2599"/>
      <c r="I43" s="2599"/>
      <c r="J43" s="2599"/>
      <c r="K43" s="1598"/>
      <c r="L43" s="2128"/>
      <c r="M43" s="2129"/>
      <c r="N43" s="2129"/>
      <c r="O43" s="2129"/>
      <c r="P43" s="3345" t="str">
        <f>A43</f>
        <v>估价对象XX用房的比较价格（楼面单价，元/平方米）</v>
      </c>
      <c r="Q43" s="3346"/>
      <c r="R43" s="3464" t="e">
        <f>IF(F1="售价",ROUND(AVERAGE(R42:V42),0),ROUND(AVERAGE(R42:V42),1))</f>
        <v>#DIV/0!</v>
      </c>
      <c r="S43" s="3464"/>
      <c r="T43" s="3464"/>
      <c r="U43" s="3464"/>
      <c r="V43" s="3464"/>
      <c r="W43" s="3464"/>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2020-3</v>
      </c>
      <c r="D52" s="2758">
        <f>EDATE(C52,-1)</f>
        <v>43862</v>
      </c>
      <c r="E52" s="2758">
        <f t="shared" ref="E52:O52" si="16">EDATE(D52,-1)</f>
        <v>43831</v>
      </c>
      <c r="F52" s="2758">
        <f t="shared" si="16"/>
        <v>43800</v>
      </c>
      <c r="G52" s="2758">
        <f t="shared" si="16"/>
        <v>43770</v>
      </c>
      <c r="H52" s="2758">
        <f t="shared" si="16"/>
        <v>43739</v>
      </c>
      <c r="I52" s="2758">
        <f t="shared" si="16"/>
        <v>43709</v>
      </c>
      <c r="J52" s="2758">
        <f t="shared" si="16"/>
        <v>43678</v>
      </c>
      <c r="K52" s="2758">
        <f t="shared" si="16"/>
        <v>43647</v>
      </c>
      <c r="L52" s="2758">
        <f t="shared" si="16"/>
        <v>43617</v>
      </c>
      <c r="M52" s="2758">
        <f t="shared" si="16"/>
        <v>43586</v>
      </c>
      <c r="N52" s="2758">
        <f t="shared" si="16"/>
        <v>43556</v>
      </c>
      <c r="O52" s="2758">
        <f t="shared" si="16"/>
        <v>43525</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2554</v>
      </c>
      <c r="C76" s="2561" t="s">
        <v>2555</v>
      </c>
      <c r="D76" s="2561" t="s">
        <v>2556</v>
      </c>
      <c r="E76" s="2561" t="s">
        <v>2557</v>
      </c>
      <c r="F76" s="2561" t="s">
        <v>2558</v>
      </c>
      <c r="G76" s="2561" t="s">
        <v>2559</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17.399999999999999">
      <c r="A4" s="1775" t="str">
        <f>"受贵公司委托，我公司对"&amp;项目基本情况!K2&amp;项目基本情况!B9&amp;"进行了预评估。"</f>
        <v>受贵公司委托，我公司对云南省昆明市出让国有建设用地使用权抵押价格进行了预评估。</v>
      </c>
    </row>
    <row r="5" spans="1:4" ht="17.399999999999999">
      <c r="A5" s="1778" t="s">
        <v>1905</v>
      </c>
    </row>
    <row r="6" spans="1:4" ht="17.399999999999999">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出让国有建设用地使用权。根据《国有土地使用证》[]，估价对象（分摊）出让国有建设用地使用权面积为12664.48平方米。根据《建设工程规划许可证》[]、《出让合同》[]，估价对象规划建筑面积为122082.72平方米。</v>
      </c>
    </row>
    <row r="7" spans="1:4" ht="87">
      <c r="A7" s="2827" t="s">
        <v>2743</v>
      </c>
    </row>
    <row r="8" spans="1:4" ht="17.399999999999999">
      <c r="A8" s="1778" t="s">
        <v>1906</v>
      </c>
    </row>
    <row r="9" spans="1:4" ht="69.599999999999994">
      <c r="A9" s="1780" t="str">
        <f>IF(项目基本情况!B8="抵押",IF(项目基本情况!B5=项目基本情况!B6,定义!C51,定义!B51),定义!D51)</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2020年3月5日</v>
      </c>
    </row>
    <row r="12" spans="1:4" ht="17.399999999999999">
      <c r="A12" s="1781" t="s">
        <v>2021</v>
      </c>
    </row>
    <row r="13" spans="1:4" ht="17.399999999999999">
      <c r="A13" s="1775" t="s">
        <v>2067</v>
      </c>
    </row>
    <row r="14" spans="1:4" ht="17.399999999999999">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根据委托估价方介绍及评估专业人员现场勘查，本次评估估价对象实际土地开发程度为红线外市政基础设施达“七通”（即通路、通上水、通下水、平整、、、）、宗地红线内场地平整。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17.399999999999999">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根据《国有土地使用证》[]，估价对象（分摊）出让国有建设用地使用权面积为12664.48平方米。根据《建设工程规划许可证》[]、《出让合同》[]，估价对象规划建筑面积为122082.72平方米。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2744</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26" spans="1:1" ht="87">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87">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54" t="s">
        <v>798</v>
      </c>
      <c r="D4" s="3355"/>
      <c r="E4" s="3354" t="s">
        <v>799</v>
      </c>
      <c r="F4" s="3355"/>
      <c r="G4" s="3354" t="s">
        <v>800</v>
      </c>
      <c r="H4" s="3355"/>
      <c r="I4" s="3354" t="s">
        <v>801</v>
      </c>
      <c r="J4" s="3355"/>
      <c r="K4" s="514" t="s">
        <v>802</v>
      </c>
      <c r="L4" s="2117"/>
      <c r="M4" s="2118"/>
      <c r="N4" s="2118"/>
      <c r="O4" s="2118"/>
      <c r="P4" s="3356" t="s">
        <v>803</v>
      </c>
      <c r="Q4" s="3357"/>
      <c r="R4" s="3362" t="s">
        <v>799</v>
      </c>
      <c r="S4" s="3363"/>
      <c r="T4" s="3362" t="s">
        <v>800</v>
      </c>
      <c r="U4" s="3363"/>
      <c r="V4" s="3349" t="s">
        <v>801</v>
      </c>
      <c r="W4" s="3349"/>
      <c r="X4" s="1553"/>
      <c r="Y4" s="3362" t="s">
        <v>803</v>
      </c>
      <c r="Z4" s="3363"/>
      <c r="AA4" s="3351" t="s">
        <v>799</v>
      </c>
      <c r="AB4" s="3352" t="s">
        <v>800</v>
      </c>
      <c r="AC4" s="3351" t="s">
        <v>801</v>
      </c>
    </row>
    <row r="5" spans="1:29">
      <c r="A5" s="515"/>
      <c r="B5" s="516"/>
      <c r="C5" s="3370" t="s">
        <v>2926</v>
      </c>
      <c r="D5" s="3371"/>
      <c r="E5" s="3370" t="s">
        <v>2927</v>
      </c>
      <c r="F5" s="3371"/>
      <c r="G5" s="3370" t="s">
        <v>2928</v>
      </c>
      <c r="H5" s="3371"/>
      <c r="I5" s="3370" t="s">
        <v>2929</v>
      </c>
      <c r="J5" s="3371"/>
      <c r="K5" s="514"/>
      <c r="L5" s="2117"/>
      <c r="M5" s="2118"/>
      <c r="N5" s="2118"/>
      <c r="O5" s="2118"/>
      <c r="P5" s="3358"/>
      <c r="Q5" s="3359"/>
      <c r="R5" s="3364"/>
      <c r="S5" s="3365"/>
      <c r="T5" s="3364"/>
      <c r="U5" s="3365"/>
      <c r="V5" s="3349"/>
      <c r="W5" s="3349"/>
      <c r="X5" s="1553"/>
      <c r="Y5" s="3364"/>
      <c r="Z5" s="3365"/>
      <c r="AA5" s="3352"/>
      <c r="AB5" s="3352"/>
      <c r="AC5" s="3352"/>
    </row>
    <row r="6" spans="1:29" ht="15" thickBot="1">
      <c r="A6" s="517"/>
      <c r="B6" s="518"/>
      <c r="C6" s="3368" t="s">
        <v>2930</v>
      </c>
      <c r="D6" s="3369"/>
      <c r="E6" s="3372" t="s">
        <v>2930</v>
      </c>
      <c r="F6" s="3373"/>
      <c r="G6" s="3368" t="s">
        <v>2930</v>
      </c>
      <c r="H6" s="3369"/>
      <c r="I6" s="3368" t="s">
        <v>2930</v>
      </c>
      <c r="J6" s="3369"/>
      <c r="K6" s="514" t="s">
        <v>528</v>
      </c>
      <c r="L6" s="2117"/>
      <c r="M6" s="2118"/>
      <c r="N6" s="2118"/>
      <c r="O6" s="2118"/>
      <c r="P6" s="3360"/>
      <c r="Q6" s="3361"/>
      <c r="R6" s="3364"/>
      <c r="S6" s="3365"/>
      <c r="T6" s="3366"/>
      <c r="U6" s="3367"/>
      <c r="V6" s="3349"/>
      <c r="W6" s="3349"/>
      <c r="X6" s="1553"/>
      <c r="Y6" s="3366"/>
      <c r="Z6" s="3367"/>
      <c r="AA6" s="3353"/>
      <c r="AB6" s="3353"/>
      <c r="AC6" s="3353"/>
    </row>
    <row r="7" spans="1:29" s="1215" customFormat="1" ht="15" thickBot="1">
      <c r="A7" s="2866"/>
      <c r="B7" s="2873" t="s">
        <v>529</v>
      </c>
      <c r="C7" s="519">
        <f>'数据-取费表'!B2</f>
        <v>43895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9" t="s">
        <v>530</v>
      </c>
      <c r="Q7" s="3381"/>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9" t="s">
        <v>533</v>
      </c>
      <c r="Q8" s="3380"/>
      <c r="R8" s="1554" t="s">
        <v>8</v>
      </c>
      <c r="S8" s="1555">
        <f t="shared" si="0"/>
        <v>0</v>
      </c>
      <c r="T8" s="1554" t="s">
        <v>8</v>
      </c>
      <c r="U8" s="1555">
        <f t="shared" si="1"/>
        <v>0</v>
      </c>
      <c r="V8" s="1554" t="s">
        <v>8</v>
      </c>
      <c r="W8" s="1555">
        <f t="shared" si="2"/>
        <v>0</v>
      </c>
      <c r="X8" s="1556"/>
      <c r="Y8" s="3379" t="s">
        <v>533</v>
      </c>
      <c r="Z8" s="3380"/>
      <c r="AA8" s="1557" t="e">
        <f t="shared" ref="AA8:AA36" si="3">D8/F8</f>
        <v>#DIV/0!</v>
      </c>
      <c r="AB8" s="1557" t="e">
        <f t="shared" ref="AB8:AB36" si="4">D8/H8</f>
        <v>#DIV/0!</v>
      </c>
      <c r="AC8" s="1557" t="e">
        <f t="shared" ref="AC8:AC36" si="5">D8/J8</f>
        <v>#DIV/0!</v>
      </c>
    </row>
    <row r="9" spans="1:29" s="1215" customFormat="1" ht="14.4">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48" t="s">
        <v>535</v>
      </c>
      <c r="Q9" s="1146" t="str">
        <f t="shared" ref="Q9:Q14" si="6">B9</f>
        <v>用途</v>
      </c>
      <c r="R9" s="1554" t="s">
        <v>8</v>
      </c>
      <c r="S9" s="1555">
        <f t="shared" si="0"/>
        <v>100</v>
      </c>
      <c r="T9" s="1554" t="s">
        <v>8</v>
      </c>
      <c r="U9" s="1555">
        <f t="shared" si="1"/>
        <v>100</v>
      </c>
      <c r="V9" s="1554" t="s">
        <v>8</v>
      </c>
      <c r="W9" s="1555">
        <f t="shared" si="2"/>
        <v>100</v>
      </c>
      <c r="X9" s="1556"/>
      <c r="Y9" s="3294" t="s">
        <v>536</v>
      </c>
      <c r="Z9" s="1145" t="str">
        <f t="shared" ref="Z9:Z14" si="7">Q9</f>
        <v>用途</v>
      </c>
      <c r="AA9" s="1557">
        <f t="shared" si="3"/>
        <v>1</v>
      </c>
      <c r="AB9" s="1557">
        <f t="shared" si="4"/>
        <v>1</v>
      </c>
      <c r="AC9" s="1557">
        <f t="shared" si="5"/>
        <v>1</v>
      </c>
    </row>
    <row r="10" spans="1:29" s="1333" customFormat="1" ht="28.8">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48"/>
      <c r="Q11" s="1146">
        <f t="shared" si="6"/>
        <v>111</v>
      </c>
      <c r="R11" s="1554" t="s">
        <v>8</v>
      </c>
      <c r="S11" s="1555">
        <f t="shared" si="0"/>
        <v>100</v>
      </c>
      <c r="T11" s="1554" t="s">
        <v>8</v>
      </c>
      <c r="U11" s="1555">
        <f t="shared" si="1"/>
        <v>100</v>
      </c>
      <c r="V11" s="1554" t="s">
        <v>8</v>
      </c>
      <c r="W11" s="1555">
        <f t="shared" si="2"/>
        <v>100</v>
      </c>
      <c r="X11" s="1556"/>
      <c r="Y11" s="3294"/>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48"/>
      <c r="Q12" s="1146">
        <f t="shared" si="6"/>
        <v>111</v>
      </c>
      <c r="R12" s="1554" t="s">
        <v>8</v>
      </c>
      <c r="S12" s="1555">
        <f t="shared" si="0"/>
        <v>100</v>
      </c>
      <c r="T12" s="1554" t="s">
        <v>8</v>
      </c>
      <c r="U12" s="1555">
        <f t="shared" si="1"/>
        <v>100</v>
      </c>
      <c r="V12" s="1554" t="s">
        <v>8</v>
      </c>
      <c r="W12" s="1555">
        <f t="shared" si="2"/>
        <v>100</v>
      </c>
      <c r="X12" s="1556"/>
      <c r="Y12" s="3294"/>
      <c r="Z12" s="1145">
        <f t="shared" si="7"/>
        <v>111</v>
      </c>
      <c r="AA12" s="1557">
        <f>D12/F12</f>
        <v>1</v>
      </c>
      <c r="AB12" s="1557">
        <f>D12/H12</f>
        <v>1</v>
      </c>
      <c r="AC12" s="1557">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48"/>
      <c r="Q13" s="1146">
        <f t="shared" si="6"/>
        <v>111</v>
      </c>
      <c r="R13" s="1554" t="s">
        <v>8</v>
      </c>
      <c r="S13" s="1555">
        <f t="shared" si="0"/>
        <v>100</v>
      </c>
      <c r="T13" s="1554" t="s">
        <v>8</v>
      </c>
      <c r="U13" s="1555">
        <f t="shared" si="1"/>
        <v>100</v>
      </c>
      <c r="V13" s="1554" t="s">
        <v>8</v>
      </c>
      <c r="W13" s="1555">
        <f t="shared" si="2"/>
        <v>100</v>
      </c>
      <c r="X13" s="1556"/>
      <c r="Y13" s="3294"/>
      <c r="Z13" s="1145">
        <f t="shared" si="7"/>
        <v>111</v>
      </c>
      <c r="AA13" s="1557">
        <f t="shared" si="3"/>
        <v>1</v>
      </c>
      <c r="AB13" s="1557">
        <f t="shared" si="4"/>
        <v>1</v>
      </c>
      <c r="AC13" s="1557">
        <f t="shared" si="5"/>
        <v>1</v>
      </c>
    </row>
    <row r="14" spans="1:29" ht="96.6">
      <c r="A14" s="2864" t="s">
        <v>2749</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82" t="s">
        <v>540</v>
      </c>
      <c r="Q14" s="1558" t="str">
        <f t="shared" si="6"/>
        <v>交通便捷度</v>
      </c>
      <c r="R14" s="1559" t="s">
        <v>8</v>
      </c>
      <c r="S14" s="1560">
        <f t="shared" si="0"/>
        <v>100</v>
      </c>
      <c r="T14" s="1559" t="s">
        <v>8</v>
      </c>
      <c r="U14" s="1560">
        <f t="shared" si="1"/>
        <v>100</v>
      </c>
      <c r="V14" s="1559" t="s">
        <v>8</v>
      </c>
      <c r="W14" s="1560">
        <f t="shared" si="2"/>
        <v>100</v>
      </c>
      <c r="X14" s="1553"/>
      <c r="Y14" s="3382"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6"/>
      <c r="M15" s="2118"/>
      <c r="N15" s="2118"/>
      <c r="O15" s="2125"/>
      <c r="P15" s="3383"/>
      <c r="Q15" s="1558"/>
      <c r="R15" s="1559"/>
      <c r="S15" s="1560"/>
      <c r="T15" s="1559"/>
      <c r="U15" s="1560"/>
      <c r="V15" s="1559"/>
      <c r="W15" s="1560"/>
      <c r="X15" s="1553"/>
      <c r="Y15" s="3383"/>
      <c r="Z15" s="1561"/>
      <c r="AA15" s="1562">
        <v>1</v>
      </c>
      <c r="AB15" s="1562">
        <v>1</v>
      </c>
      <c r="AC15" s="1562">
        <v>1</v>
      </c>
    </row>
    <row r="16" spans="1:29" ht="41.4">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83"/>
      <c r="Q16" s="1558" t="str">
        <f>B16</f>
        <v>公共配套设施</v>
      </c>
      <c r="R16" s="1559" t="s">
        <v>8</v>
      </c>
      <c r="S16" s="1560">
        <f>F16</f>
        <v>100</v>
      </c>
      <c r="T16" s="1559" t="s">
        <v>8</v>
      </c>
      <c r="U16" s="1560">
        <f>H16</f>
        <v>100</v>
      </c>
      <c r="V16" s="1559" t="s">
        <v>8</v>
      </c>
      <c r="W16" s="1560">
        <f>J16</f>
        <v>100</v>
      </c>
      <c r="X16" s="1553"/>
      <c r="Y16" s="338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6"/>
      <c r="M17" s="2118"/>
      <c r="N17" s="2118"/>
      <c r="O17" s="2125"/>
      <c r="P17" s="3383"/>
      <c r="Q17" s="1558"/>
      <c r="R17" s="1559"/>
      <c r="S17" s="1560"/>
      <c r="T17" s="1559"/>
      <c r="U17" s="1560"/>
      <c r="V17" s="1559"/>
      <c r="W17" s="1560"/>
      <c r="X17" s="1553"/>
      <c r="Y17" s="3383"/>
      <c r="Z17" s="1561"/>
      <c r="AA17" s="1562">
        <v>1</v>
      </c>
      <c r="AB17" s="1562">
        <v>1</v>
      </c>
      <c r="AC17" s="1562">
        <v>1</v>
      </c>
    </row>
    <row r="18" spans="1:29" ht="41.4">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83"/>
      <c r="Q18" s="2542" t="str">
        <f>B18</f>
        <v>基础设施水平</v>
      </c>
      <c r="R18" s="1559" t="s">
        <v>8</v>
      </c>
      <c r="S18" s="1560">
        <f>F18</f>
        <v>100</v>
      </c>
      <c r="T18" s="1559" t="s">
        <v>8</v>
      </c>
      <c r="U18" s="1560">
        <f>H18</f>
        <v>100</v>
      </c>
      <c r="V18" s="1559" t="s">
        <v>8</v>
      </c>
      <c r="W18" s="1560">
        <f>J18</f>
        <v>100</v>
      </c>
      <c r="X18" s="2544"/>
      <c r="Y18" s="3383"/>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383"/>
      <c r="Q19" s="2542"/>
      <c r="R19" s="1559"/>
      <c r="S19" s="1560"/>
      <c r="T19" s="1559"/>
      <c r="U19" s="1560"/>
      <c r="V19" s="1559"/>
      <c r="W19" s="1560"/>
      <c r="X19" s="2544"/>
      <c r="Y19" s="3383"/>
      <c r="Z19" s="2543"/>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83"/>
      <c r="Q20" s="1558" t="str">
        <f>B20</f>
        <v>自然及人文环境</v>
      </c>
      <c r="R20" s="1559" t="s">
        <v>8</v>
      </c>
      <c r="S20" s="1560">
        <f>F20</f>
        <v>100</v>
      </c>
      <c r="T20" s="1559" t="s">
        <v>8</v>
      </c>
      <c r="U20" s="1560">
        <f>H20</f>
        <v>100</v>
      </c>
      <c r="V20" s="1559" t="s">
        <v>8</v>
      </c>
      <c r="W20" s="1560">
        <f>J20</f>
        <v>100</v>
      </c>
      <c r="X20" s="1553"/>
      <c r="Y20" s="338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6"/>
      <c r="M21" s="2118"/>
      <c r="N21" s="2118"/>
      <c r="O21" s="2125"/>
      <c r="P21" s="3383"/>
      <c r="Q21" s="1558"/>
      <c r="R21" s="1559"/>
      <c r="S21" s="1560"/>
      <c r="T21" s="1559"/>
      <c r="U21" s="1560"/>
      <c r="V21" s="1559"/>
      <c r="W21" s="1560"/>
      <c r="X21" s="1553"/>
      <c r="Y21" s="338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3"/>
      <c r="Q22" s="1558" t="str">
        <f>B22</f>
        <v>楼层</v>
      </c>
      <c r="R22" s="1559" t="s">
        <v>8</v>
      </c>
      <c r="S22" s="1560">
        <f>F22</f>
        <v>100</v>
      </c>
      <c r="T22" s="1559" t="s">
        <v>8</v>
      </c>
      <c r="U22" s="1560">
        <f>H22</f>
        <v>100</v>
      </c>
      <c r="V22" s="1559" t="s">
        <v>8</v>
      </c>
      <c r="W22" s="1560">
        <f>J22</f>
        <v>100</v>
      </c>
      <c r="X22" s="1553"/>
      <c r="Y22" s="338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3"/>
      <c r="Q23" s="1558">
        <f>B23</f>
        <v>111</v>
      </c>
      <c r="R23" s="1559" t="s">
        <v>8</v>
      </c>
      <c r="S23" s="1560">
        <f>F23</f>
        <v>100</v>
      </c>
      <c r="T23" s="1559" t="s">
        <v>8</v>
      </c>
      <c r="U23" s="1560">
        <f>H23</f>
        <v>100</v>
      </c>
      <c r="V23" s="1559" t="s">
        <v>8</v>
      </c>
      <c r="W23" s="1560">
        <f>J23</f>
        <v>100</v>
      </c>
      <c r="X23" s="1553"/>
      <c r="Y23" s="338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3"/>
      <c r="Q24" s="1558">
        <f t="shared" ref="Q24:Q36" si="11">B24</f>
        <v>111</v>
      </c>
      <c r="R24" s="1559" t="s">
        <v>8</v>
      </c>
      <c r="S24" s="1560">
        <f>F24</f>
        <v>100</v>
      </c>
      <c r="T24" s="1559" t="s">
        <v>8</v>
      </c>
      <c r="U24" s="1560">
        <f>H24</f>
        <v>100</v>
      </c>
      <c r="V24" s="1559" t="s">
        <v>8</v>
      </c>
      <c r="W24" s="1560">
        <f>J24</f>
        <v>100</v>
      </c>
      <c r="X24" s="1553"/>
      <c r="Y24" s="3383"/>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83"/>
      <c r="Q25" s="1146">
        <f t="shared" si="11"/>
        <v>111</v>
      </c>
      <c r="R25" s="1554" t="s">
        <v>8</v>
      </c>
      <c r="S25" s="1555">
        <f>F25</f>
        <v>100</v>
      </c>
      <c r="T25" s="1554" t="s">
        <v>8</v>
      </c>
      <c r="U25" s="1555">
        <f>H25</f>
        <v>100</v>
      </c>
      <c r="V25" s="1554" t="s">
        <v>8</v>
      </c>
      <c r="W25" s="1555">
        <f>J25</f>
        <v>100</v>
      </c>
      <c r="X25" s="1556"/>
      <c r="Y25" s="3383"/>
      <c r="Z25" s="1145">
        <f>Q25</f>
        <v>111</v>
      </c>
      <c r="AA25" s="1562">
        <f>D25/F25</f>
        <v>1</v>
      </c>
      <c r="AB25" s="1562">
        <f>D25/H25</f>
        <v>1</v>
      </c>
      <c r="AC25" s="1562">
        <f>D25/J25</f>
        <v>1</v>
      </c>
    </row>
    <row r="26" spans="1:29" ht="15">
      <c r="A26" s="2861" t="s">
        <v>2750</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5"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85"/>
      <c r="Q27" s="1590" t="str">
        <f t="shared" si="11"/>
        <v>项目停车位配比</v>
      </c>
      <c r="R27" s="1563" t="s">
        <v>8</v>
      </c>
      <c r="S27" s="1564">
        <f t="shared" si="12"/>
        <v>100</v>
      </c>
      <c r="T27" s="1563" t="s">
        <v>8</v>
      </c>
      <c r="U27" s="1564">
        <f t="shared" si="13"/>
        <v>100</v>
      </c>
      <c r="V27" s="1563" t="s">
        <v>8</v>
      </c>
      <c r="W27" s="1564">
        <f t="shared" si="14"/>
        <v>100</v>
      </c>
      <c r="X27" s="1565"/>
      <c r="Y27" s="3385"/>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85"/>
      <c r="Q28" s="1558" t="str">
        <f t="shared" si="11"/>
        <v>公共部分装修</v>
      </c>
      <c r="R28" s="1559" t="s">
        <v>8</v>
      </c>
      <c r="S28" s="1560">
        <f t="shared" si="12"/>
        <v>100</v>
      </c>
      <c r="T28" s="1559" t="s">
        <v>8</v>
      </c>
      <c r="U28" s="1560">
        <f t="shared" si="13"/>
        <v>100</v>
      </c>
      <c r="V28" s="1559" t="s">
        <v>8</v>
      </c>
      <c r="W28" s="1560">
        <f t="shared" si="14"/>
        <v>100</v>
      </c>
      <c r="X28" s="1553"/>
      <c r="Y28" s="3385"/>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85"/>
      <c r="Q29" s="1558" t="str">
        <f t="shared" si="11"/>
        <v>成新率</v>
      </c>
      <c r="R29" s="1559" t="s">
        <v>8</v>
      </c>
      <c r="S29" s="1560" t="e">
        <f t="shared" si="12"/>
        <v>#N/A</v>
      </c>
      <c r="T29" s="1559" t="s">
        <v>8</v>
      </c>
      <c r="U29" s="1560" t="e">
        <f t="shared" si="13"/>
        <v>#N/A</v>
      </c>
      <c r="V29" s="1559" t="s">
        <v>8</v>
      </c>
      <c r="W29" s="1560" t="e">
        <f t="shared" si="14"/>
        <v>#N/A</v>
      </c>
      <c r="X29" s="1553"/>
      <c r="Y29" s="3385"/>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85"/>
      <c r="Q30" s="1558" t="str">
        <f t="shared" si="11"/>
        <v>物业等级</v>
      </c>
      <c r="R30" s="1559" t="s">
        <v>8</v>
      </c>
      <c r="S30" s="1560">
        <f t="shared" si="12"/>
        <v>100</v>
      </c>
      <c r="T30" s="1559" t="s">
        <v>8</v>
      </c>
      <c r="U30" s="1560">
        <f t="shared" si="13"/>
        <v>100</v>
      </c>
      <c r="V30" s="1559" t="s">
        <v>8</v>
      </c>
      <c r="W30" s="1560">
        <f t="shared" si="14"/>
        <v>100</v>
      </c>
      <c r="X30" s="1553"/>
      <c r="Y30" s="3385"/>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85"/>
      <c r="Q31" s="1146" t="str">
        <f t="shared" si="11"/>
        <v>停车位面积</v>
      </c>
      <c r="R31" s="1554" t="s">
        <v>8</v>
      </c>
      <c r="S31" s="1555" t="e">
        <f t="shared" si="12"/>
        <v>#N/A</v>
      </c>
      <c r="T31" s="1554" t="s">
        <v>8</v>
      </c>
      <c r="U31" s="1555" t="e">
        <f t="shared" si="13"/>
        <v>#N/A</v>
      </c>
      <c r="V31" s="1554" t="s">
        <v>8</v>
      </c>
      <c r="W31" s="1555" t="e">
        <f t="shared" si="14"/>
        <v>#N/A</v>
      </c>
      <c r="X31" s="1556"/>
      <c r="Y31" s="3385"/>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85" t="s">
        <v>550</v>
      </c>
      <c r="Q32" s="1558" t="str">
        <f t="shared" si="11"/>
        <v>车位类型</v>
      </c>
      <c r="R32" s="1559" t="s">
        <v>8</v>
      </c>
      <c r="S32" s="1560">
        <f t="shared" si="12"/>
        <v>100</v>
      </c>
      <c r="T32" s="1559" t="s">
        <v>8</v>
      </c>
      <c r="U32" s="1560">
        <f t="shared" si="13"/>
        <v>100</v>
      </c>
      <c r="V32" s="1559" t="s">
        <v>8</v>
      </c>
      <c r="W32" s="1560">
        <f t="shared" si="14"/>
        <v>100</v>
      </c>
      <c r="X32" s="1553"/>
      <c r="Y32" s="3385"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85"/>
      <c r="Q33" s="1558" t="str">
        <f t="shared" si="11"/>
        <v>是否直接入户</v>
      </c>
      <c r="R33" s="1559" t="s">
        <v>8</v>
      </c>
      <c r="S33" s="1560">
        <f t="shared" si="12"/>
        <v>100</v>
      </c>
      <c r="T33" s="1559" t="s">
        <v>8</v>
      </c>
      <c r="U33" s="1560">
        <f t="shared" si="13"/>
        <v>100</v>
      </c>
      <c r="V33" s="1559" t="s">
        <v>8</v>
      </c>
      <c r="W33" s="1560">
        <f t="shared" si="14"/>
        <v>100</v>
      </c>
      <c r="X33" s="1553"/>
      <c r="Y33" s="338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85"/>
      <c r="Q34" s="1558">
        <f t="shared" si="11"/>
        <v>111</v>
      </c>
      <c r="R34" s="1559" t="s">
        <v>8</v>
      </c>
      <c r="S34" s="1560">
        <f t="shared" si="12"/>
        <v>100</v>
      </c>
      <c r="T34" s="1559" t="s">
        <v>8</v>
      </c>
      <c r="U34" s="1560">
        <f t="shared" si="13"/>
        <v>100</v>
      </c>
      <c r="V34" s="1559" t="s">
        <v>8</v>
      </c>
      <c r="W34" s="1560">
        <f t="shared" si="14"/>
        <v>100</v>
      </c>
      <c r="X34" s="1553"/>
      <c r="Y34" s="338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85"/>
      <c r="Q35" s="1590">
        <f t="shared" si="11"/>
        <v>111</v>
      </c>
      <c r="R35" s="1563" t="s">
        <v>8</v>
      </c>
      <c r="S35" s="1564">
        <f t="shared" si="12"/>
        <v>100</v>
      </c>
      <c r="T35" s="1563" t="s">
        <v>8</v>
      </c>
      <c r="U35" s="1564">
        <f t="shared" si="13"/>
        <v>100</v>
      </c>
      <c r="V35" s="1563" t="s">
        <v>8</v>
      </c>
      <c r="W35" s="1564">
        <f t="shared" si="14"/>
        <v>100</v>
      </c>
      <c r="X35" s="1565"/>
      <c r="Y35" s="3385"/>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85"/>
      <c r="Q36" s="1558">
        <f t="shared" si="11"/>
        <v>111</v>
      </c>
      <c r="R36" s="1559" t="s">
        <v>8</v>
      </c>
      <c r="S36" s="1560">
        <f t="shared" si="12"/>
        <v>100</v>
      </c>
      <c r="T36" s="1559" t="s">
        <v>8</v>
      </c>
      <c r="U36" s="1560">
        <f t="shared" si="13"/>
        <v>100</v>
      </c>
      <c r="V36" s="1559" t="s">
        <v>8</v>
      </c>
      <c r="W36" s="1560">
        <f t="shared" si="14"/>
        <v>100</v>
      </c>
      <c r="X36" s="1553"/>
      <c r="Y36" s="3385"/>
      <c r="Z36" s="1561">
        <f t="shared" si="15"/>
        <v>111</v>
      </c>
      <c r="AA36" s="1562">
        <f t="shared" si="3"/>
        <v>1</v>
      </c>
      <c r="AB36" s="1562">
        <f t="shared" si="4"/>
        <v>1</v>
      </c>
      <c r="AC36" s="1562">
        <f t="shared" si="5"/>
        <v>1</v>
      </c>
    </row>
    <row r="37" spans="1:29" ht="14.4">
      <c r="A37" s="1830" t="s">
        <v>2073</v>
      </c>
      <c r="B37" s="1831" t="s">
        <v>2074</v>
      </c>
      <c r="C37" s="2590" t="s">
        <v>1</v>
      </c>
      <c r="D37" s="2591"/>
      <c r="E37" s="2592"/>
      <c r="F37" s="2593"/>
      <c r="G37" s="2594"/>
      <c r="H37" s="2595"/>
      <c r="I37" s="2592"/>
      <c r="J37" s="2595"/>
      <c r="K37" s="1596"/>
      <c r="L37" s="2128"/>
      <c r="M37" s="2129"/>
      <c r="N37" s="2118"/>
      <c r="O37" s="2129"/>
      <c r="P37" s="3348" t="str">
        <f>A37</f>
        <v>成交单价</v>
      </c>
      <c r="Q37" s="3348"/>
      <c r="R37" s="3465">
        <f>E37</f>
        <v>0</v>
      </c>
      <c r="S37" s="3465"/>
      <c r="T37" s="3465">
        <f>G37</f>
        <v>0</v>
      </c>
      <c r="U37" s="3465"/>
      <c r="V37" s="3465">
        <f>I37</f>
        <v>0</v>
      </c>
      <c r="W37" s="3465"/>
      <c r="X37" s="1545"/>
      <c r="Y37" s="1567"/>
      <c r="Z37" s="1545"/>
      <c r="AA37" s="1545"/>
      <c r="AB37" s="1545"/>
      <c r="AC37" s="1545"/>
    </row>
    <row r="38" spans="1:29" ht="15" thickBot="1">
      <c r="A38" s="615" t="s">
        <v>2755</v>
      </c>
      <c r="B38" s="887"/>
      <c r="C38" s="2596" t="e">
        <f>R39</f>
        <v>#DIV/0!</v>
      </c>
      <c r="D38" s="2597"/>
      <c r="E38" s="2598" t="e">
        <f>R38</f>
        <v>#DIV/0!</v>
      </c>
      <c r="F38" s="2598"/>
      <c r="G38" s="2596" t="e">
        <f>T38</f>
        <v>#DIV/0!</v>
      </c>
      <c r="H38" s="2597"/>
      <c r="I38" s="2598" t="e">
        <f>V38</f>
        <v>#DIV/0!</v>
      </c>
      <c r="J38" s="2597"/>
      <c r="K38" s="1597"/>
      <c r="L38" s="2128"/>
      <c r="M38" s="2129"/>
      <c r="N38" s="2129"/>
      <c r="O38" s="2129"/>
      <c r="P38" s="3348" t="str">
        <f>A38</f>
        <v>比较价格（元/平方米）</v>
      </c>
      <c r="Q38" s="3348"/>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45"/>
      <c r="Y38" s="1545"/>
      <c r="Z38" s="1545"/>
      <c r="AA38" s="1545"/>
      <c r="AB38" s="1545"/>
      <c r="AC38" s="1545"/>
    </row>
    <row r="39" spans="1:29" ht="15" thickBot="1">
      <c r="A39" s="621" t="s">
        <v>2932</v>
      </c>
      <c r="B39" s="622"/>
      <c r="C39" s="2599" t="e">
        <f>R39</f>
        <v>#DIV/0!</v>
      </c>
      <c r="D39" s="2599"/>
      <c r="E39" s="2599"/>
      <c r="F39" s="2599"/>
      <c r="G39" s="2599"/>
      <c r="H39" s="2599"/>
      <c r="I39" s="2599"/>
      <c r="J39" s="2599"/>
      <c r="K39" s="1598"/>
      <c r="L39" s="2128"/>
      <c r="M39" s="2129"/>
      <c r="N39" s="2129"/>
      <c r="O39" s="2129"/>
      <c r="P39" s="3345" t="str">
        <f>A39</f>
        <v>估价对象XX用房的比较价格（楼面单价，元/平方米）</v>
      </c>
      <c r="Q39" s="3346"/>
      <c r="R39" s="3464" t="e">
        <f>IF(F1="售价",ROUND(AVERAGE(R38:V38),0),ROUND(AVERAGE(R38:V38),1))</f>
        <v>#DIV/0!</v>
      </c>
      <c r="S39" s="3464"/>
      <c r="T39" s="3464"/>
      <c r="U39" s="3464"/>
      <c r="V39" s="3464"/>
      <c r="W39" s="3464"/>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2020-3</v>
      </c>
      <c r="D48" s="2758">
        <f>EDATE(C48,-1)</f>
        <v>43862</v>
      </c>
      <c r="E48" s="2758">
        <f t="shared" ref="E48:O48" si="16">EDATE(D48,-1)</f>
        <v>43831</v>
      </c>
      <c r="F48" s="2758">
        <f t="shared" si="16"/>
        <v>43800</v>
      </c>
      <c r="G48" s="2758">
        <f t="shared" si="16"/>
        <v>43770</v>
      </c>
      <c r="H48" s="2758">
        <f t="shared" si="16"/>
        <v>43739</v>
      </c>
      <c r="I48" s="2758">
        <f t="shared" si="16"/>
        <v>43709</v>
      </c>
      <c r="J48" s="2758">
        <f t="shared" si="16"/>
        <v>43678</v>
      </c>
      <c r="K48" s="2758">
        <f t="shared" si="16"/>
        <v>43647</v>
      </c>
      <c r="L48" s="2758">
        <f t="shared" si="16"/>
        <v>43617</v>
      </c>
      <c r="M48" s="2758">
        <f t="shared" si="16"/>
        <v>43586</v>
      </c>
      <c r="N48" s="2758">
        <f t="shared" si="16"/>
        <v>43556</v>
      </c>
      <c r="O48" s="2758">
        <f t="shared" si="16"/>
        <v>43525</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54" t="s">
        <v>798</v>
      </c>
      <c r="D4" s="3355"/>
      <c r="E4" s="3388" t="s">
        <v>799</v>
      </c>
      <c r="F4" s="3389"/>
      <c r="G4" s="3354" t="s">
        <v>800</v>
      </c>
      <c r="H4" s="3355"/>
      <c r="I4" s="3354" t="s">
        <v>801</v>
      </c>
      <c r="J4" s="3355"/>
      <c r="K4" s="514" t="s">
        <v>802</v>
      </c>
      <c r="L4" s="2117"/>
      <c r="M4" s="2118"/>
      <c r="N4" s="2118"/>
      <c r="O4" s="2118"/>
      <c r="P4" s="3356" t="s">
        <v>803</v>
      </c>
      <c r="Q4" s="3357"/>
      <c r="R4" s="3362" t="s">
        <v>799</v>
      </c>
      <c r="S4" s="3363"/>
      <c r="T4" s="3362" t="s">
        <v>800</v>
      </c>
      <c r="U4" s="3363"/>
      <c r="V4" s="3349" t="s">
        <v>801</v>
      </c>
      <c r="W4" s="3349"/>
      <c r="X4" s="1553"/>
      <c r="Y4" s="3362" t="s">
        <v>803</v>
      </c>
      <c r="Z4" s="3363"/>
      <c r="AA4" s="3351" t="s">
        <v>799</v>
      </c>
      <c r="AB4" s="3352" t="s">
        <v>800</v>
      </c>
      <c r="AC4" s="3351" t="s">
        <v>801</v>
      </c>
    </row>
    <row r="5" spans="1:29">
      <c r="A5" s="515"/>
      <c r="B5" s="516"/>
      <c r="C5" s="3370" t="s">
        <v>2926</v>
      </c>
      <c r="D5" s="3371"/>
      <c r="E5" s="3390" t="s">
        <v>2927</v>
      </c>
      <c r="F5" s="3391"/>
      <c r="G5" s="3370" t="s">
        <v>2928</v>
      </c>
      <c r="H5" s="3371"/>
      <c r="I5" s="3370" t="s">
        <v>2929</v>
      </c>
      <c r="J5" s="3371"/>
      <c r="K5" s="514"/>
      <c r="L5" s="2117"/>
      <c r="M5" s="2118"/>
      <c r="N5" s="2118"/>
      <c r="O5" s="2118"/>
      <c r="P5" s="3358"/>
      <c r="Q5" s="3359"/>
      <c r="R5" s="3364"/>
      <c r="S5" s="3365"/>
      <c r="T5" s="3364"/>
      <c r="U5" s="3365"/>
      <c r="V5" s="3349"/>
      <c r="W5" s="3349"/>
      <c r="X5" s="1553"/>
      <c r="Y5" s="3364"/>
      <c r="Z5" s="3365"/>
      <c r="AA5" s="3352"/>
      <c r="AB5" s="3352"/>
      <c r="AC5" s="3352"/>
    </row>
    <row r="6" spans="1:29" ht="15" thickBot="1">
      <c r="A6" s="517"/>
      <c r="B6" s="518"/>
      <c r="C6" s="3368" t="s">
        <v>2930</v>
      </c>
      <c r="D6" s="3369"/>
      <c r="E6" s="3386" t="s">
        <v>2930</v>
      </c>
      <c r="F6" s="3387"/>
      <c r="G6" s="3368" t="s">
        <v>2930</v>
      </c>
      <c r="H6" s="3369"/>
      <c r="I6" s="3368" t="s">
        <v>2930</v>
      </c>
      <c r="J6" s="3369"/>
      <c r="K6" s="514" t="s">
        <v>528</v>
      </c>
      <c r="L6" s="2117"/>
      <c r="M6" s="2118"/>
      <c r="N6" s="2118"/>
      <c r="O6" s="2118"/>
      <c r="P6" s="3360"/>
      <c r="Q6" s="3361"/>
      <c r="R6" s="3364"/>
      <c r="S6" s="3365"/>
      <c r="T6" s="3366"/>
      <c r="U6" s="3367"/>
      <c r="V6" s="3349"/>
      <c r="W6" s="3349"/>
      <c r="X6" s="1553"/>
      <c r="Y6" s="3366"/>
      <c r="Z6" s="3367"/>
      <c r="AA6" s="3353"/>
      <c r="AB6" s="3353"/>
      <c r="AC6" s="3353"/>
    </row>
    <row r="7" spans="1:29" s="1215" customFormat="1" ht="15" thickBot="1">
      <c r="A7" s="2866"/>
      <c r="B7" s="2873" t="s">
        <v>529</v>
      </c>
      <c r="C7" s="519">
        <f>'数据-取费表'!B2</f>
        <v>43895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9" t="s">
        <v>530</v>
      </c>
      <c r="Q7" s="3381"/>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9" t="s">
        <v>533</v>
      </c>
      <c r="Q8" s="3380"/>
      <c r="R8" s="1554" t="s">
        <v>8</v>
      </c>
      <c r="S8" s="1555">
        <f t="shared" si="0"/>
        <v>0</v>
      </c>
      <c r="T8" s="1554" t="s">
        <v>8</v>
      </c>
      <c r="U8" s="1555">
        <f t="shared" si="1"/>
        <v>0</v>
      </c>
      <c r="V8" s="1554" t="s">
        <v>8</v>
      </c>
      <c r="W8" s="1555">
        <f t="shared" si="2"/>
        <v>0</v>
      </c>
      <c r="X8" s="1556"/>
      <c r="Y8" s="3379" t="s">
        <v>533</v>
      </c>
      <c r="Z8" s="3380"/>
      <c r="AA8" s="1557" t="e">
        <f t="shared" ref="AA8:AA34" si="3">D8/F8</f>
        <v>#DIV/0!</v>
      </c>
      <c r="AB8" s="1557" t="e">
        <f t="shared" ref="AB8:AB34" si="4">D8/H8</f>
        <v>#DIV/0!</v>
      </c>
      <c r="AC8" s="1557" t="e">
        <f t="shared" ref="AC8:AC34" si="5">D8/J8</f>
        <v>#DIV/0!</v>
      </c>
    </row>
    <row r="9" spans="1:29" s="1215" customFormat="1" ht="14.4">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48" t="s">
        <v>535</v>
      </c>
      <c r="Q9" s="1146" t="str">
        <f t="shared" ref="Q9:Q14" si="6">B9</f>
        <v>用途</v>
      </c>
      <c r="R9" s="1554" t="s">
        <v>8</v>
      </c>
      <c r="S9" s="1555">
        <f t="shared" si="0"/>
        <v>100</v>
      </c>
      <c r="T9" s="1554" t="s">
        <v>8</v>
      </c>
      <c r="U9" s="1555">
        <f t="shared" si="1"/>
        <v>100</v>
      </c>
      <c r="V9" s="1554" t="s">
        <v>8</v>
      </c>
      <c r="W9" s="1555">
        <f t="shared" si="2"/>
        <v>100</v>
      </c>
      <c r="X9" s="1556"/>
      <c r="Y9" s="3294" t="s">
        <v>536</v>
      </c>
      <c r="Z9" s="1145" t="str">
        <f t="shared" ref="Z9:Z14" si="7">Q9</f>
        <v>用途</v>
      </c>
      <c r="AA9" s="1557">
        <f t="shared" si="3"/>
        <v>1</v>
      </c>
      <c r="AB9" s="1557">
        <f t="shared" si="4"/>
        <v>1</v>
      </c>
      <c r="AC9" s="1557">
        <f t="shared" si="5"/>
        <v>1</v>
      </c>
    </row>
    <row r="10" spans="1:29" s="1333" customFormat="1" ht="28.8">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48"/>
      <c r="Q10" s="1146" t="str">
        <f t="shared" si="6"/>
        <v>土地使用年限（年）</v>
      </c>
      <c r="R10" s="1554" t="s">
        <v>8</v>
      </c>
      <c r="S10" s="1555">
        <f t="shared" si="0"/>
        <v>100</v>
      </c>
      <c r="T10" s="1554" t="s">
        <v>8</v>
      </c>
      <c r="U10" s="1555">
        <f t="shared" si="1"/>
        <v>100</v>
      </c>
      <c r="V10" s="1554" t="s">
        <v>8</v>
      </c>
      <c r="W10" s="1555">
        <f t="shared" si="2"/>
        <v>100</v>
      </c>
      <c r="X10" s="1556"/>
      <c r="Y10" s="3294"/>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48"/>
      <c r="Q11" s="1146">
        <f t="shared" si="6"/>
        <v>111</v>
      </c>
      <c r="R11" s="1554" t="s">
        <v>8</v>
      </c>
      <c r="S11" s="1555">
        <f t="shared" si="0"/>
        <v>100</v>
      </c>
      <c r="T11" s="1554" t="s">
        <v>8</v>
      </c>
      <c r="U11" s="1555">
        <f t="shared" si="1"/>
        <v>100</v>
      </c>
      <c r="V11" s="1554" t="s">
        <v>8</v>
      </c>
      <c r="W11" s="1555">
        <f t="shared" si="2"/>
        <v>100</v>
      </c>
      <c r="X11" s="1556"/>
      <c r="Y11" s="3294"/>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48"/>
      <c r="Q12" s="1146">
        <f t="shared" si="6"/>
        <v>111</v>
      </c>
      <c r="R12" s="1554" t="s">
        <v>8</v>
      </c>
      <c r="S12" s="1555">
        <f t="shared" si="0"/>
        <v>100</v>
      </c>
      <c r="T12" s="1554" t="s">
        <v>8</v>
      </c>
      <c r="U12" s="1555">
        <f t="shared" si="1"/>
        <v>100</v>
      </c>
      <c r="V12" s="1554" t="s">
        <v>8</v>
      </c>
      <c r="W12" s="1555">
        <f t="shared" si="2"/>
        <v>100</v>
      </c>
      <c r="X12" s="1556"/>
      <c r="Y12" s="3294"/>
      <c r="Z12" s="1145">
        <f t="shared" si="7"/>
        <v>111</v>
      </c>
      <c r="AA12" s="1557">
        <f>D12/F12</f>
        <v>1</v>
      </c>
      <c r="AB12" s="1557">
        <f>D12/H12</f>
        <v>1</v>
      </c>
      <c r="AC12" s="1557">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48"/>
      <c r="Q13" s="1146">
        <f t="shared" si="6"/>
        <v>111</v>
      </c>
      <c r="R13" s="1554" t="s">
        <v>8</v>
      </c>
      <c r="S13" s="1555">
        <f t="shared" si="0"/>
        <v>100</v>
      </c>
      <c r="T13" s="1554" t="s">
        <v>8</v>
      </c>
      <c r="U13" s="1555">
        <f t="shared" si="1"/>
        <v>100</v>
      </c>
      <c r="V13" s="1554" t="s">
        <v>8</v>
      </c>
      <c r="W13" s="1555">
        <f t="shared" si="2"/>
        <v>100</v>
      </c>
      <c r="X13" s="1556"/>
      <c r="Y13" s="3294"/>
      <c r="Z13" s="1145">
        <f t="shared" si="7"/>
        <v>111</v>
      </c>
      <c r="AA13" s="1557">
        <f t="shared" si="3"/>
        <v>1</v>
      </c>
      <c r="AB13" s="1557">
        <f t="shared" si="4"/>
        <v>1</v>
      </c>
      <c r="AC13" s="1557">
        <f t="shared" si="5"/>
        <v>1</v>
      </c>
    </row>
    <row r="14" spans="1:29" ht="96.6">
      <c r="A14" s="2864" t="s">
        <v>2749</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82" t="s">
        <v>540</v>
      </c>
      <c r="Q14" s="1558" t="str">
        <f t="shared" si="6"/>
        <v>交通便捷度</v>
      </c>
      <c r="R14" s="1559" t="s">
        <v>8</v>
      </c>
      <c r="S14" s="1560">
        <f t="shared" si="0"/>
        <v>100</v>
      </c>
      <c r="T14" s="1559" t="s">
        <v>8</v>
      </c>
      <c r="U14" s="1560">
        <f t="shared" si="1"/>
        <v>100</v>
      </c>
      <c r="V14" s="1559" t="s">
        <v>8</v>
      </c>
      <c r="W14" s="1560">
        <f t="shared" si="2"/>
        <v>100</v>
      </c>
      <c r="X14" s="1553"/>
      <c r="Y14" s="338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6"/>
      <c r="M15" s="2118"/>
      <c r="N15" s="2118"/>
      <c r="O15" s="2125"/>
      <c r="P15" s="3383"/>
      <c r="Q15" s="1558"/>
      <c r="R15" s="1559"/>
      <c r="S15" s="1560"/>
      <c r="T15" s="1559"/>
      <c r="U15" s="1560"/>
      <c r="V15" s="1559"/>
      <c r="W15" s="1560"/>
      <c r="X15" s="1553"/>
      <c r="Y15" s="3383"/>
      <c r="Z15" s="1561"/>
      <c r="AA15" s="1562">
        <v>1</v>
      </c>
      <c r="AB15" s="1562">
        <v>1</v>
      </c>
      <c r="AC15" s="1562">
        <v>1</v>
      </c>
    </row>
    <row r="16" spans="1:29" ht="41.4">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83"/>
      <c r="Q16" s="1558" t="str">
        <f>B16</f>
        <v>公共配套设施</v>
      </c>
      <c r="R16" s="1559" t="s">
        <v>8</v>
      </c>
      <c r="S16" s="1560">
        <f>F16</f>
        <v>100</v>
      </c>
      <c r="T16" s="1559" t="s">
        <v>8</v>
      </c>
      <c r="U16" s="1560">
        <f>H16</f>
        <v>100</v>
      </c>
      <c r="V16" s="1559" t="s">
        <v>8</v>
      </c>
      <c r="W16" s="1560">
        <f>J16</f>
        <v>100</v>
      </c>
      <c r="X16" s="1553"/>
      <c r="Y16" s="338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6"/>
      <c r="M17" s="2118"/>
      <c r="N17" s="2118"/>
      <c r="O17" s="2125"/>
      <c r="P17" s="3383"/>
      <c r="Q17" s="1558"/>
      <c r="R17" s="1559"/>
      <c r="S17" s="1560"/>
      <c r="T17" s="1559"/>
      <c r="U17" s="1560"/>
      <c r="V17" s="1559"/>
      <c r="W17" s="1560"/>
      <c r="X17" s="1553"/>
      <c r="Y17" s="3383"/>
      <c r="Z17" s="1561"/>
      <c r="AA17" s="1562">
        <v>1</v>
      </c>
      <c r="AB17" s="1562">
        <v>1</v>
      </c>
      <c r="AC17" s="1562">
        <v>1</v>
      </c>
    </row>
    <row r="18" spans="1:29" ht="41.4">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83"/>
      <c r="Q18" s="2542" t="str">
        <f>B18</f>
        <v>基础设施水平</v>
      </c>
      <c r="R18" s="1559" t="s">
        <v>8</v>
      </c>
      <c r="S18" s="1560">
        <f>F18</f>
        <v>100</v>
      </c>
      <c r="T18" s="1559" t="s">
        <v>8</v>
      </c>
      <c r="U18" s="1560">
        <f>H18</f>
        <v>100</v>
      </c>
      <c r="V18" s="1559" t="s">
        <v>8</v>
      </c>
      <c r="W18" s="1560">
        <f>J18</f>
        <v>100</v>
      </c>
      <c r="X18" s="2544"/>
      <c r="Y18" s="3383"/>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383"/>
      <c r="Q19" s="2542"/>
      <c r="R19" s="1559"/>
      <c r="S19" s="1560"/>
      <c r="T19" s="1559"/>
      <c r="U19" s="1560"/>
      <c r="V19" s="1559"/>
      <c r="W19" s="1560"/>
      <c r="X19" s="2544"/>
      <c r="Y19" s="3383"/>
      <c r="Z19" s="2543"/>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83"/>
      <c r="Q20" s="1558" t="str">
        <f>B20</f>
        <v>自然及人文环境</v>
      </c>
      <c r="R20" s="1559" t="s">
        <v>8</v>
      </c>
      <c r="S20" s="1560">
        <f>F20</f>
        <v>100</v>
      </c>
      <c r="T20" s="1559" t="s">
        <v>8</v>
      </c>
      <c r="U20" s="1560">
        <f>H20</f>
        <v>100</v>
      </c>
      <c r="V20" s="1559" t="s">
        <v>8</v>
      </c>
      <c r="W20" s="1560">
        <f>J20</f>
        <v>100</v>
      </c>
      <c r="X20" s="1553"/>
      <c r="Y20" s="338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6"/>
      <c r="M21" s="2118"/>
      <c r="N21" s="2118"/>
      <c r="O21" s="2125"/>
      <c r="P21" s="3383"/>
      <c r="Q21" s="1558"/>
      <c r="R21" s="1559"/>
      <c r="S21" s="1560"/>
      <c r="T21" s="1559"/>
      <c r="U21" s="1560"/>
      <c r="V21" s="1559"/>
      <c r="W21" s="1560"/>
      <c r="X21" s="1553"/>
      <c r="Y21" s="338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3"/>
      <c r="Q22" s="1558" t="str">
        <f>B22</f>
        <v>楼层</v>
      </c>
      <c r="R22" s="1559" t="s">
        <v>8</v>
      </c>
      <c r="S22" s="1560">
        <f>F22</f>
        <v>100</v>
      </c>
      <c r="T22" s="1559" t="s">
        <v>8</v>
      </c>
      <c r="U22" s="1560">
        <f>H22</f>
        <v>100</v>
      </c>
      <c r="V22" s="1559" t="s">
        <v>8</v>
      </c>
      <c r="W22" s="1560">
        <f>J22</f>
        <v>100</v>
      </c>
      <c r="X22" s="1553"/>
      <c r="Y22" s="338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3"/>
      <c r="Q23" s="1558">
        <f>B23</f>
        <v>111</v>
      </c>
      <c r="R23" s="1559" t="s">
        <v>8</v>
      </c>
      <c r="S23" s="1560">
        <f>F23</f>
        <v>100</v>
      </c>
      <c r="T23" s="1559" t="s">
        <v>8</v>
      </c>
      <c r="U23" s="1560">
        <f>H23</f>
        <v>100</v>
      </c>
      <c r="V23" s="1559" t="s">
        <v>8</v>
      </c>
      <c r="W23" s="1560">
        <f>J23</f>
        <v>100</v>
      </c>
      <c r="X23" s="1553"/>
      <c r="Y23" s="338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3"/>
      <c r="Q24" s="1558">
        <f t="shared" ref="Q24:Q34" si="11">B24</f>
        <v>111</v>
      </c>
      <c r="R24" s="1559" t="s">
        <v>8</v>
      </c>
      <c r="S24" s="1560">
        <f>F24</f>
        <v>100</v>
      </c>
      <c r="T24" s="1559" t="s">
        <v>8</v>
      </c>
      <c r="U24" s="1560">
        <f>H24</f>
        <v>100</v>
      </c>
      <c r="V24" s="1559" t="s">
        <v>8</v>
      </c>
      <c r="W24" s="1560">
        <f>J24</f>
        <v>100</v>
      </c>
      <c r="X24" s="1553"/>
      <c r="Y24" s="3383"/>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83"/>
      <c r="Q25" s="1146">
        <f t="shared" si="11"/>
        <v>111</v>
      </c>
      <c r="R25" s="1554" t="s">
        <v>8</v>
      </c>
      <c r="S25" s="1555">
        <f>F25</f>
        <v>100</v>
      </c>
      <c r="T25" s="1554" t="s">
        <v>8</v>
      </c>
      <c r="U25" s="1555">
        <f>H25</f>
        <v>100</v>
      </c>
      <c r="V25" s="1554" t="s">
        <v>8</v>
      </c>
      <c r="W25" s="1555">
        <f>J25</f>
        <v>100</v>
      </c>
      <c r="X25" s="1556"/>
      <c r="Y25" s="3383"/>
      <c r="Z25" s="1145">
        <f>Q25</f>
        <v>111</v>
      </c>
      <c r="AA25" s="1562">
        <f>D25/F25</f>
        <v>1</v>
      </c>
      <c r="AB25" s="1562">
        <f>D25/H25</f>
        <v>1</v>
      </c>
      <c r="AC25" s="1562">
        <f>D25/J25</f>
        <v>1</v>
      </c>
    </row>
    <row r="26" spans="1:29" ht="15">
      <c r="A26" s="2861" t="s">
        <v>2750</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8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5"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85"/>
      <c r="Q27" s="1590" t="str">
        <f t="shared" si="11"/>
        <v>成新率</v>
      </c>
      <c r="R27" s="1563" t="s">
        <v>8</v>
      </c>
      <c r="S27" s="1564" t="e">
        <f t="shared" si="12"/>
        <v>#N/A</v>
      </c>
      <c r="T27" s="1563" t="s">
        <v>8</v>
      </c>
      <c r="U27" s="1564" t="e">
        <f t="shared" si="13"/>
        <v>#N/A</v>
      </c>
      <c r="V27" s="1563" t="s">
        <v>8</v>
      </c>
      <c r="W27" s="1564" t="e">
        <f t="shared" si="14"/>
        <v>#N/A</v>
      </c>
      <c r="X27" s="1565"/>
      <c r="Y27" s="338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85"/>
      <c r="Q28" s="1558" t="str">
        <f t="shared" si="11"/>
        <v>物业等级</v>
      </c>
      <c r="R28" s="1559" t="s">
        <v>8</v>
      </c>
      <c r="S28" s="1560">
        <f t="shared" si="12"/>
        <v>100</v>
      </c>
      <c r="T28" s="1559" t="s">
        <v>8</v>
      </c>
      <c r="U28" s="1560">
        <f t="shared" si="13"/>
        <v>100</v>
      </c>
      <c r="V28" s="1559" t="s">
        <v>8</v>
      </c>
      <c r="W28" s="1560">
        <f t="shared" si="14"/>
        <v>100</v>
      </c>
      <c r="X28" s="1553"/>
      <c r="Y28" s="3385"/>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85"/>
      <c r="Q29" s="1558" t="str">
        <f t="shared" si="11"/>
        <v>有无电梯</v>
      </c>
      <c r="R29" s="1559" t="s">
        <v>8</v>
      </c>
      <c r="S29" s="1560">
        <f t="shared" si="12"/>
        <v>100</v>
      </c>
      <c r="T29" s="1559" t="s">
        <v>8</v>
      </c>
      <c r="U29" s="1560">
        <f t="shared" si="13"/>
        <v>100</v>
      </c>
      <c r="V29" s="1559" t="s">
        <v>8</v>
      </c>
      <c r="W29" s="1560">
        <f t="shared" si="14"/>
        <v>100</v>
      </c>
      <c r="X29" s="1553"/>
      <c r="Y29" s="3385"/>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85"/>
      <c r="Q30" s="1558" t="str">
        <f t="shared" si="11"/>
        <v>建筑面积</v>
      </c>
      <c r="R30" s="1559" t="s">
        <v>8</v>
      </c>
      <c r="S30" s="1560" t="e">
        <f t="shared" si="12"/>
        <v>#N/A</v>
      </c>
      <c r="T30" s="1559" t="s">
        <v>8</v>
      </c>
      <c r="U30" s="1560" t="e">
        <f t="shared" si="13"/>
        <v>#N/A</v>
      </c>
      <c r="V30" s="1559" t="s">
        <v>8</v>
      </c>
      <c r="W30" s="1560" t="e">
        <f t="shared" si="14"/>
        <v>#N/A</v>
      </c>
      <c r="X30" s="1553"/>
      <c r="Y30" s="3385"/>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85"/>
      <c r="Q31" s="1146" t="str">
        <f t="shared" si="11"/>
        <v>是否封闭</v>
      </c>
      <c r="R31" s="1554" t="s">
        <v>8</v>
      </c>
      <c r="S31" s="1555">
        <f t="shared" si="12"/>
        <v>100</v>
      </c>
      <c r="T31" s="1554" t="s">
        <v>8</v>
      </c>
      <c r="U31" s="1555">
        <f t="shared" si="13"/>
        <v>100</v>
      </c>
      <c r="V31" s="1554" t="s">
        <v>8</v>
      </c>
      <c r="W31" s="1555">
        <f t="shared" si="14"/>
        <v>100</v>
      </c>
      <c r="X31" s="1556"/>
      <c r="Y31" s="338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85" t="s">
        <v>550</v>
      </c>
      <c r="Q32" s="1558">
        <f t="shared" si="11"/>
        <v>111</v>
      </c>
      <c r="R32" s="1559" t="s">
        <v>8</v>
      </c>
      <c r="S32" s="1560">
        <f t="shared" si="12"/>
        <v>100</v>
      </c>
      <c r="T32" s="1559" t="s">
        <v>8</v>
      </c>
      <c r="U32" s="1560">
        <f t="shared" si="13"/>
        <v>100</v>
      </c>
      <c r="V32" s="1559" t="s">
        <v>8</v>
      </c>
      <c r="W32" s="1560">
        <f t="shared" si="14"/>
        <v>100</v>
      </c>
      <c r="X32" s="1553"/>
      <c r="Y32" s="3385"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85"/>
      <c r="Q33" s="1558">
        <f t="shared" si="11"/>
        <v>111</v>
      </c>
      <c r="R33" s="1559" t="s">
        <v>8</v>
      </c>
      <c r="S33" s="1560">
        <f t="shared" si="12"/>
        <v>100</v>
      </c>
      <c r="T33" s="1559" t="s">
        <v>8</v>
      </c>
      <c r="U33" s="1560">
        <f t="shared" si="13"/>
        <v>100</v>
      </c>
      <c r="V33" s="1559" t="s">
        <v>8</v>
      </c>
      <c r="W33" s="1560">
        <f t="shared" si="14"/>
        <v>100</v>
      </c>
      <c r="X33" s="1553"/>
      <c r="Y33" s="3385"/>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85"/>
      <c r="Q34" s="1558">
        <f t="shared" si="11"/>
        <v>111</v>
      </c>
      <c r="R34" s="1559" t="s">
        <v>8</v>
      </c>
      <c r="S34" s="1560">
        <f t="shared" si="12"/>
        <v>100</v>
      </c>
      <c r="T34" s="1559" t="s">
        <v>8</v>
      </c>
      <c r="U34" s="1560">
        <f t="shared" si="13"/>
        <v>100</v>
      </c>
      <c r="V34" s="1559" t="s">
        <v>8</v>
      </c>
      <c r="W34" s="1560">
        <f t="shared" si="14"/>
        <v>100</v>
      </c>
      <c r="X34" s="1553"/>
      <c r="Y34" s="3385"/>
      <c r="Z34" s="1561">
        <f t="shared" si="15"/>
        <v>111</v>
      </c>
      <c r="AA34" s="1562">
        <f t="shared" si="3"/>
        <v>1</v>
      </c>
      <c r="AB34" s="1562">
        <f t="shared" si="4"/>
        <v>1</v>
      </c>
      <c r="AC34" s="1562">
        <f t="shared" si="5"/>
        <v>1</v>
      </c>
    </row>
    <row r="35" spans="1:29" ht="14.4">
      <c r="A35" s="607" t="s">
        <v>736</v>
      </c>
      <c r="B35" s="886"/>
      <c r="C35" s="2590" t="s">
        <v>1</v>
      </c>
      <c r="D35" s="2591"/>
      <c r="E35" s="2592"/>
      <c r="F35" s="2593"/>
      <c r="G35" s="2594"/>
      <c r="H35" s="2595"/>
      <c r="I35" s="2592"/>
      <c r="J35" s="2595"/>
      <c r="K35" s="1596"/>
      <c r="L35" s="2128"/>
      <c r="M35" s="2129"/>
      <c r="N35" s="2118"/>
      <c r="O35" s="2129"/>
      <c r="P35" s="3348" t="str">
        <f>A35</f>
        <v>成交单价（元/平方米）</v>
      </c>
      <c r="Q35" s="3348"/>
      <c r="R35" s="3465">
        <f>E35</f>
        <v>0</v>
      </c>
      <c r="S35" s="3465"/>
      <c r="T35" s="3465">
        <f>G35</f>
        <v>0</v>
      </c>
      <c r="U35" s="3465"/>
      <c r="V35" s="3465">
        <f>I35</f>
        <v>0</v>
      </c>
      <c r="W35" s="3465"/>
      <c r="X35" s="1545"/>
      <c r="Y35" s="1567"/>
      <c r="Z35" s="1545"/>
      <c r="AA35" s="1545"/>
      <c r="AB35" s="1545"/>
      <c r="AC35" s="1545"/>
    </row>
    <row r="36" spans="1:29" ht="15" thickBot="1">
      <c r="A36" s="615" t="s">
        <v>2755</v>
      </c>
      <c r="B36" s="887"/>
      <c r="C36" s="2596" t="e">
        <f>R37</f>
        <v>#DIV/0!</v>
      </c>
      <c r="D36" s="2597"/>
      <c r="E36" s="2598" t="e">
        <f>R36</f>
        <v>#DIV/0!</v>
      </c>
      <c r="F36" s="2598"/>
      <c r="G36" s="2596" t="e">
        <f>T36</f>
        <v>#DIV/0!</v>
      </c>
      <c r="H36" s="2597"/>
      <c r="I36" s="2598" t="e">
        <f>V36</f>
        <v>#DIV/0!</v>
      </c>
      <c r="J36" s="2597"/>
      <c r="K36" s="1597"/>
      <c r="L36" s="2128"/>
      <c r="M36" s="2129"/>
      <c r="N36" s="2118"/>
      <c r="O36" s="2129"/>
      <c r="P36" s="3348" t="str">
        <f>A36</f>
        <v>比较价格（元/平方米）</v>
      </c>
      <c r="Q36" s="3348"/>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45"/>
      <c r="Y36" s="1545"/>
      <c r="Z36" s="1545"/>
      <c r="AA36" s="1545"/>
      <c r="AB36" s="1545"/>
      <c r="AC36" s="1545"/>
    </row>
    <row r="37" spans="1:29" ht="15" thickBot="1">
      <c r="A37" s="621" t="s">
        <v>2932</v>
      </c>
      <c r="B37" s="622"/>
      <c r="C37" s="2599" t="e">
        <f>R37</f>
        <v>#DIV/0!</v>
      </c>
      <c r="D37" s="2599"/>
      <c r="E37" s="2599"/>
      <c r="F37" s="2599"/>
      <c r="G37" s="2599"/>
      <c r="H37" s="2599"/>
      <c r="I37" s="2599"/>
      <c r="J37" s="2599"/>
      <c r="K37" s="1598"/>
      <c r="L37" s="2128"/>
      <c r="M37" s="2129"/>
      <c r="N37" s="2129"/>
      <c r="O37" s="2129"/>
      <c r="P37" s="3345" t="str">
        <f>A37</f>
        <v>估价对象XX用房的比较价格（楼面单价，元/平方米）</v>
      </c>
      <c r="Q37" s="3346"/>
      <c r="R37" s="3464" t="e">
        <f>IF(F1="售价",ROUND(AVERAGE(R36:V36),0),ROUND(AVERAGE(R36:V36),1))</f>
        <v>#DIV/0!</v>
      </c>
      <c r="S37" s="3464"/>
      <c r="T37" s="3464"/>
      <c r="U37" s="3464"/>
      <c r="V37" s="3464"/>
      <c r="W37" s="3464"/>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2020-3</v>
      </c>
      <c r="D46" s="2758">
        <f>EDATE(C46,-1)</f>
        <v>43862</v>
      </c>
      <c r="E46" s="2758">
        <f t="shared" ref="E46:O46" si="16">EDATE(D46,-1)</f>
        <v>43831</v>
      </c>
      <c r="F46" s="2758">
        <f t="shared" si="16"/>
        <v>43800</v>
      </c>
      <c r="G46" s="2758">
        <f t="shared" si="16"/>
        <v>43770</v>
      </c>
      <c r="H46" s="2758">
        <f t="shared" si="16"/>
        <v>43739</v>
      </c>
      <c r="I46" s="2758">
        <f t="shared" si="16"/>
        <v>43709</v>
      </c>
      <c r="J46" s="2758">
        <f t="shared" si="16"/>
        <v>43678</v>
      </c>
      <c r="K46" s="2758">
        <f t="shared" si="16"/>
        <v>43647</v>
      </c>
      <c r="L46" s="2758">
        <f t="shared" si="16"/>
        <v>43617</v>
      </c>
      <c r="M46" s="2758">
        <f t="shared" si="16"/>
        <v>43586</v>
      </c>
      <c r="N46" s="2758">
        <f t="shared" si="16"/>
        <v>43556</v>
      </c>
      <c r="O46" s="2758">
        <f t="shared" si="16"/>
        <v>43525</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8" t="s">
        <v>2299</v>
      </c>
      <c r="C1" s="3474" t="s">
        <v>2300</v>
      </c>
      <c r="D1" s="3475"/>
      <c r="E1" s="3475"/>
      <c r="F1" s="3475"/>
      <c r="G1" s="3475"/>
      <c r="H1" s="3475"/>
      <c r="I1" s="3475"/>
      <c r="J1" s="3475"/>
      <c r="K1" s="3475"/>
      <c r="L1" s="3475"/>
      <c r="M1" s="3475"/>
      <c r="N1" s="3475"/>
      <c r="O1" s="3475"/>
      <c r="P1" s="3475"/>
      <c r="Q1" s="3475"/>
      <c r="R1" s="3475"/>
      <c r="S1" s="3476"/>
      <c r="T1" s="2218" t="s">
        <v>2301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2303</v>
      </c>
      <c r="B17" s="2262" t="s">
        <v>2304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2783</v>
      </c>
      <c r="C1" s="2958">
        <f>项目基本情况!D3</f>
        <v>43895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2814</v>
      </c>
      <c r="C2" s="2959">
        <f>'数据-取费表'!B22</f>
        <v>2</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6" t="s">
        <v>2034</v>
      </c>
      <c r="B1" s="3186"/>
      <c r="C1" s="3186"/>
      <c r="D1" s="3186"/>
      <c r="E1" s="3186"/>
      <c r="F1" s="3186"/>
      <c r="G1" s="3186"/>
      <c r="H1" s="3186"/>
      <c r="I1" s="3186"/>
      <c r="J1" s="3186"/>
      <c r="K1" s="3186"/>
      <c r="L1" s="3186"/>
      <c r="M1" s="3186"/>
      <c r="N1" s="3186"/>
      <c r="O1" s="3186"/>
      <c r="P1" s="3186"/>
      <c r="Q1" s="3186"/>
      <c r="R1" s="3186"/>
    </row>
    <row r="2" spans="1:18">
      <c r="A2" s="1791" t="s">
        <v>2036</v>
      </c>
      <c r="B2" s="1791"/>
      <c r="C2" s="1791"/>
      <c r="D2" s="1791"/>
      <c r="E2" s="1791"/>
      <c r="F2" s="1791"/>
      <c r="G2" s="1791"/>
      <c r="H2" s="1791"/>
      <c r="I2" s="1792"/>
      <c r="J2" s="1792"/>
      <c r="K2" s="1793" t="str">
        <f>"估价期日："&amp;TEXT(项目基本情况!D3,"yyyy年m月d日;;")</f>
        <v>估价期日：2020年3月5日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87" t="s">
        <v>2025</v>
      </c>
      <c r="B3" s="3187" t="s">
        <v>2726</v>
      </c>
      <c r="C3" s="3188" t="s">
        <v>2026</v>
      </c>
      <c r="D3" s="3187" t="s">
        <v>2730</v>
      </c>
      <c r="E3" s="3182" t="s">
        <v>2027</v>
      </c>
      <c r="F3" s="3182"/>
      <c r="G3" s="3182"/>
      <c r="H3" s="3182" t="s">
        <v>2028</v>
      </c>
      <c r="I3" s="3182"/>
      <c r="J3" s="3182"/>
      <c r="K3" s="3188" t="s">
        <v>2029</v>
      </c>
      <c r="L3" s="3188" t="s">
        <v>2030</v>
      </c>
      <c r="M3" s="3187" t="s">
        <v>2727</v>
      </c>
      <c r="N3" s="3189" t="str">
        <f>"（分摊）"&amp;项目基本情况!B16&amp;"国有建设用地使用权面积/㎡"</f>
        <v>（分摊）出让国有建设用地使用权面积/㎡</v>
      </c>
      <c r="O3" s="3187" t="s">
        <v>2059</v>
      </c>
      <c r="P3" s="3188" t="s">
        <v>2039</v>
      </c>
      <c r="Q3" s="3188" t="s">
        <v>2060</v>
      </c>
      <c r="R3" s="3188" t="s">
        <v>2031</v>
      </c>
    </row>
    <row r="4" spans="1:18" ht="36.75" customHeight="1">
      <c r="A4" s="3187"/>
      <c r="B4" s="3187"/>
      <c r="C4" s="3188"/>
      <c r="D4" s="3187"/>
      <c r="E4" s="2612" t="s">
        <v>2038</v>
      </c>
      <c r="F4" s="2612" t="s">
        <v>2739</v>
      </c>
      <c r="G4" s="2612" t="s">
        <v>2032</v>
      </c>
      <c r="H4" s="2612" t="s">
        <v>2033</v>
      </c>
      <c r="I4" s="2612" t="s">
        <v>2740</v>
      </c>
      <c r="J4" s="2612" t="s">
        <v>2032</v>
      </c>
      <c r="K4" s="3188"/>
      <c r="L4" s="3188"/>
      <c r="M4" s="3187"/>
      <c r="N4" s="3189"/>
      <c r="O4" s="3187"/>
      <c r="P4" s="3188"/>
      <c r="Q4" s="3188"/>
      <c r="R4" s="3188"/>
    </row>
    <row r="5" spans="1:18" ht="135" customHeight="1">
      <c r="A5" s="1927" t="s">
        <v>2650</v>
      </c>
      <c r="B5" s="2821" t="s">
        <v>2648</v>
      </c>
      <c r="C5" s="2611">
        <v>22</v>
      </c>
      <c r="D5" s="2610" t="s">
        <v>2649</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f>IF(项目基本情况!B16="出让",项目基本情况!D20,"——")</f>
        <v>0</v>
      </c>
      <c r="N5" s="1794">
        <f>项目基本情况!C22</f>
        <v>12664.48</v>
      </c>
      <c r="O5" s="1794">
        <f>项目基本情况!C21</f>
        <v>122082.72</v>
      </c>
      <c r="P5" s="1794">
        <f ca="1">结果表!E42</f>
        <v>38207</v>
      </c>
      <c r="Q5" s="1794">
        <f ca="1">结果表!D42</f>
        <v>3963</v>
      </c>
      <c r="R5" s="1795">
        <f ca="1">结果表!C42</f>
        <v>48387</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796">
        <f ca="1">结果表!O39</f>
        <v>48387</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796"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191" t="s">
        <v>2061</v>
      </c>
      <c r="B1" s="3191"/>
      <c r="C1" s="3191"/>
      <c r="D1" s="3191"/>
    </row>
    <row r="2" spans="1:4" ht="47.25" customHeight="1">
      <c r="A2" s="3192" t="str">
        <f>"1.权利限制："&amp;项目基本情况!L24&amp;"未设定租赁等其他他项权利。"</f>
        <v>1.权利限制：根据估价对象《不动产权证书》复印件，截至估价期日，估价对象抵押权未见登记。未设定租赁等其他他项权利。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2062</v>
      </c>
      <c r="B5" s="3190"/>
      <c r="C5" s="3190"/>
      <c r="D5" s="3190"/>
    </row>
    <row r="6" spans="1:4">
      <c r="A6" s="3191" t="s">
        <v>2040</v>
      </c>
      <c r="B6" s="3191"/>
      <c r="C6" s="3191"/>
      <c r="D6" s="3191"/>
    </row>
    <row r="7" spans="1:4" ht="33" customHeight="1">
      <c r="A7" s="3191" t="s">
        <v>2570</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（1）根据估价对象《不动产权证书》复印件，截至估价期日，估价对象抵押权未见登记。</v>
      </c>
      <c r="B11" s="3193"/>
      <c r="C11" s="3193"/>
      <c r="D11" s="3193"/>
    </row>
    <row r="12" spans="1:4" ht="168" customHeight="1">
      <c r="A12" s="3190" t="s">
        <v>2064</v>
      </c>
      <c r="B12" s="3190"/>
      <c r="C12" s="3190"/>
      <c r="D12" s="3190"/>
    </row>
    <row r="13" spans="1:4">
      <c r="A13" s="3194" t="s">
        <v>2741</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2697</v>
      </c>
      <c r="B17" s="3191"/>
      <c r="C17" s="3191"/>
      <c r="D17" s="3191"/>
    </row>
    <row r="18" spans="1:4">
      <c r="A18" s="3191" t="s">
        <v>2689</v>
      </c>
      <c r="B18" s="3191"/>
      <c r="C18" s="3191"/>
      <c r="D18" s="3191"/>
    </row>
    <row r="19" spans="1:4">
      <c r="A19" s="2822" t="s">
        <v>2690</v>
      </c>
      <c r="B19" s="2822" t="s">
        <v>2691</v>
      </c>
      <c r="C19" s="2822" t="s">
        <v>2692</v>
      </c>
      <c r="D19" s="2822" t="s">
        <v>2693</v>
      </c>
    </row>
    <row r="20" spans="1:4">
      <c r="A20" s="2822" t="str">
        <f>项目基本情况!B4</f>
        <v>土地估价师</v>
      </c>
      <c r="B20" s="2822">
        <f>项目基本情况!C4</f>
        <v>0</v>
      </c>
      <c r="C20" s="2824"/>
      <c r="D20" s="1784" t="s">
        <v>2698</v>
      </c>
    </row>
    <row r="21" spans="1:4">
      <c r="A21" s="2822" t="str">
        <f>项目基本情况!D4</f>
        <v>土地估价师</v>
      </c>
      <c r="B21" s="2822">
        <f>项目基本情况!E4</f>
        <v>0</v>
      </c>
      <c r="C21" s="2824"/>
      <c r="D21" s="1784" t="s">
        <v>2699</v>
      </c>
    </row>
    <row r="23" spans="1:4">
      <c r="A23" s="3191" t="s">
        <v>2694</v>
      </c>
      <c r="B23" s="3191"/>
      <c r="C23" s="3191"/>
      <c r="D23" s="3191"/>
    </row>
    <row r="24" spans="1:4">
      <c r="A24" s="2822" t="s">
        <v>2690</v>
      </c>
      <c r="B24" s="2822" t="s">
        <v>2695</v>
      </c>
      <c r="C24" s="2822" t="s">
        <v>2692</v>
      </c>
      <c r="D24" s="2822" t="s">
        <v>2693</v>
      </c>
    </row>
    <row r="25" spans="1:4">
      <c r="A25" s="2825" t="s">
        <v>2696</v>
      </c>
      <c r="B25" s="2822" t="s">
        <v>952</v>
      </c>
      <c r="C25" s="2824"/>
      <c r="D25" s="1784" t="s">
        <v>2699</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02" t="s">
        <v>53</v>
      </c>
      <c r="B15" s="3203" t="s">
        <v>846</v>
      </c>
      <c r="C15" s="3199"/>
    </row>
    <row r="16" spans="1:7" ht="14.4">
      <c r="A16" s="3202"/>
      <c r="B16" s="3200" t="s">
        <v>54</v>
      </c>
      <c r="C16" s="1167" t="s">
        <v>53</v>
      </c>
    </row>
    <row r="17" spans="1:3" ht="14.4">
      <c r="A17" s="3202"/>
      <c r="B17" s="3200"/>
      <c r="C17" s="1167" t="s">
        <v>55</v>
      </c>
    </row>
    <row r="18" spans="1:3" ht="14.4">
      <c r="A18" s="3202"/>
      <c r="B18" s="3200"/>
      <c r="C18" s="1167" t="s">
        <v>56</v>
      </c>
    </row>
    <row r="19" spans="1:3" ht="14.4">
      <c r="A19" s="3202"/>
      <c r="B19" s="3198" t="s">
        <v>57</v>
      </c>
      <c r="C19" s="3199"/>
    </row>
    <row r="20" spans="1:3" ht="14.4">
      <c r="A20" s="1168" t="s">
        <v>58</v>
      </c>
      <c r="B20" s="1169"/>
      <c r="C20" s="1170"/>
    </row>
    <row r="21" spans="1:3" ht="14.4">
      <c r="A21" s="3201" t="s">
        <v>59</v>
      </c>
      <c r="B21" s="3198" t="s">
        <v>60</v>
      </c>
      <c r="C21" s="3199"/>
    </row>
    <row r="22" spans="1:3" ht="14.4">
      <c r="A22" s="3201"/>
      <c r="B22" s="3198" t="s">
        <v>61</v>
      </c>
      <c r="C22" s="3199"/>
    </row>
    <row r="23" spans="1:3" ht="14.4">
      <c r="A23" s="3201"/>
      <c r="B23" s="3198" t="s">
        <v>62</v>
      </c>
      <c r="C23" s="3199"/>
    </row>
    <row r="24" spans="1:3" ht="14.4">
      <c r="A24" s="3201"/>
      <c r="B24" s="3204" t="s">
        <v>63</v>
      </c>
      <c r="C24" s="1171" t="s">
        <v>837</v>
      </c>
    </row>
    <row r="25" spans="1:3" ht="14.4">
      <c r="A25" s="3201"/>
      <c r="B25" s="3205"/>
      <c r="C25" s="1171" t="s">
        <v>838</v>
      </c>
    </row>
    <row r="26" spans="1:3" ht="14.4">
      <c r="A26" s="3201"/>
      <c r="B26" s="3205"/>
      <c r="C26" s="1171" t="s">
        <v>839</v>
      </c>
    </row>
    <row r="27" spans="1:3" ht="14.4">
      <c r="A27" s="3201"/>
      <c r="B27" s="3205"/>
      <c r="C27" s="1171" t="s">
        <v>840</v>
      </c>
    </row>
    <row r="28" spans="1:3" ht="14.4">
      <c r="A28" s="3201"/>
      <c r="B28" s="3205"/>
      <c r="C28" s="1171" t="s">
        <v>841</v>
      </c>
    </row>
    <row r="29" spans="1:3" ht="14.4">
      <c r="A29" s="3201"/>
      <c r="B29" s="3205"/>
      <c r="C29" s="1171" t="s">
        <v>842</v>
      </c>
    </row>
    <row r="30" spans="1:3" ht="14.4">
      <c r="A30" s="3201"/>
      <c r="B30" s="3205"/>
      <c r="C30" s="1171" t="s">
        <v>843</v>
      </c>
    </row>
    <row r="31" spans="1:3" ht="14.4">
      <c r="A31" s="3201"/>
      <c r="B31" s="3205"/>
      <c r="C31" s="1171" t="s">
        <v>844</v>
      </c>
    </row>
    <row r="32" spans="1:3" ht="14.4">
      <c r="A32" s="3201"/>
      <c r="B32" s="3205"/>
      <c r="C32" s="1171" t="s">
        <v>1646</v>
      </c>
    </row>
    <row r="33" spans="1:3" ht="14.4">
      <c r="A33" s="3201"/>
      <c r="B33" s="3195" t="s">
        <v>1652</v>
      </c>
      <c r="C33" s="1171" t="s">
        <v>1647</v>
      </c>
    </row>
    <row r="34" spans="1:3" ht="14.4">
      <c r="A34" s="3201"/>
      <c r="B34" s="3196"/>
      <c r="C34" s="1176" t="s">
        <v>1648</v>
      </c>
    </row>
    <row r="35" spans="1:3" ht="14.4">
      <c r="A35" s="3201"/>
      <c r="B35" s="3196"/>
      <c r="C35" s="1177" t="s">
        <v>1649</v>
      </c>
    </row>
    <row r="36" spans="1:3" ht="14.4">
      <c r="A36" s="3201"/>
      <c r="B36" s="3196"/>
      <c r="C36" s="1177" t="s">
        <v>1650</v>
      </c>
    </row>
    <row r="37" spans="1:3" ht="14.4">
      <c r="A37" s="3201"/>
      <c r="B37" s="3197"/>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43896</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2977</v>
      </c>
      <c r="B14" s="3130">
        <f ca="1">IF(C14&lt;B2,"已过期",1120040230)</f>
        <v>1120040230</v>
      </c>
      <c r="C14" s="3134">
        <v>44864</v>
      </c>
      <c r="D14" s="3135" t="s">
        <v>2978</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2991</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2993</v>
      </c>
      <c r="B23" s="3130">
        <v>1119980106</v>
      </c>
      <c r="C23" s="3132">
        <v>43916</v>
      </c>
      <c r="D23" s="3130" t="s">
        <v>2995</v>
      </c>
      <c r="E23" s="3130">
        <v>96010063</v>
      </c>
      <c r="F23" s="3133">
        <v>47118</v>
      </c>
    </row>
    <row r="24" spans="1:7" s="3138" customFormat="1" ht="20.25" customHeight="1">
      <c r="A24" s="3129" t="s">
        <v>2049</v>
      </c>
      <c r="B24" s="3129" t="s">
        <v>2049</v>
      </c>
      <c r="C24" s="3132"/>
      <c r="D24" s="3137" t="s">
        <v>2049</v>
      </c>
      <c r="E24" s="3129" t="s">
        <v>2049</v>
      </c>
      <c r="F24" s="3136"/>
    </row>
    <row r="25" spans="1:7" ht="20.25" customHeight="1">
      <c r="A25" s="3206" t="s">
        <v>1924</v>
      </c>
      <c r="B25" s="3206"/>
      <c r="C25" s="3206"/>
      <c r="D25" s="3206"/>
      <c r="E25" s="3206"/>
      <c r="F25" s="3206"/>
      <c r="G25" s="3206"/>
    </row>
    <row r="26" spans="1:7" ht="20.25" customHeight="1">
      <c r="A26" s="3207" t="s">
        <v>1925</v>
      </c>
      <c r="B26" s="3207"/>
      <c r="C26" s="3207"/>
      <c r="D26" s="3207" t="s">
        <v>1926</v>
      </c>
      <c r="E26" s="3207"/>
      <c r="F26" s="3207"/>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2992</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ht="14.4">
      <c r="A4" s="8" t="s">
        <v>87</v>
      </c>
      <c r="B4" s="8" t="s">
        <v>152</v>
      </c>
      <c r="C4" s="1537" t="s">
        <v>1711</v>
      </c>
      <c r="D4" s="9" t="s">
        <v>1990</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3" t="s">
        <v>2951</v>
      </c>
      <c r="C18" s="1540"/>
    </row>
    <row r="19" spans="1:3" ht="14.4">
      <c r="A19" s="8" t="s">
        <v>120</v>
      </c>
      <c r="B19" s="3063" t="s">
        <v>2959</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08"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c r="D53" s="1751"/>
      <c r="E53" s="1751"/>
    </row>
    <row r="54" spans="1:5">
      <c r="A54" s="3208"/>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08"/>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08"/>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08"/>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Sheet1</vt:lpstr>
      <vt:lpstr>Sheet2</vt:lpstr>
      <vt:lpstr>土地</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2020-03-06T04:25:53Z</dcterms:modified>
</cp:coreProperties>
</file>