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firstSheet="2" activeTab="7"/>
  </bookViews>
  <sheets>
    <sheet name="使用说明" sheetId="41" state="hidden" r:id="rId1"/>
    <sheet name="定义" sheetId="10" state="hidden" r:id="rId2"/>
    <sheet name="数据-汇总表" sheetId="71" r:id="rId3"/>
    <sheet name="面积新" sheetId="70" r:id="rId4"/>
    <sheet name="估价对象房地状况" sheetId="20" state="hidden" r:id="rId5"/>
    <sheet name="系统读取表" sheetId="68" r:id="rId6"/>
    <sheet name="结果表" sheetId="9" r:id="rId7"/>
    <sheet name="汇总表" sheetId="69" r:id="rId8"/>
    <sheet name="主表(商业）" sheetId="59" r:id="rId9"/>
    <sheet name="2014基准地价" sheetId="43" state="hidden" r:id="rId10"/>
    <sheet name="2014因素修正幅度" sheetId="56" state="hidden" r:id="rId11"/>
    <sheet name="2014区片价" sheetId="44" state="hidden" r:id="rId12"/>
    <sheet name="2014修正" sheetId="45" state="hidden" r:id="rId13"/>
    <sheet name="2014容积率修正" sheetId="46" state="hidden" r:id="rId14"/>
    <sheet name="2002基准地价" sheetId="63" r:id="rId15"/>
    <sheet name="2002地价表" sheetId="60" state="hidden" r:id="rId16"/>
    <sheet name="2002容积率修正" sheetId="61" state="hidden" r:id="rId17"/>
    <sheet name="2002因素修正幅度" sheetId="62" state="hidden" r:id="rId18"/>
    <sheet name="1993基准地价" sheetId="64" state="hidden" r:id="rId19"/>
    <sheet name="比较法" sheetId="39" state="hidden" r:id="rId20"/>
    <sheet name="存贷款利率" sheetId="65" state="hidden" r:id="rId21"/>
    <sheet name="地价" sheetId="67" r:id="rId22"/>
    <sheet name="地价（废）" sheetId="66" state="hidden" r:id="rId23"/>
  </sheets>
  <externalReferences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19" hidden="1">比较法!$A$1:$L$48</definedName>
    <definedName name="_xlnm.Print_Area" localSheetId="18">'1993基准地价'!$A$1:$J$30</definedName>
    <definedName name="_xlnm.Print_Area" localSheetId="20">存贷款利率!$B$11:$J$59</definedName>
    <definedName name="_xlnm.Print_Area" localSheetId="21">地价!$A$1:$V$78</definedName>
    <definedName name="_xlnm.Print_Area" localSheetId="6">结果表!$A$1:$I$33</definedName>
    <definedName name="_xlnm.Print_Area" localSheetId="2">'数据-汇总表'!$A$1:$I$32</definedName>
    <definedName name="_xlnm.Print_Area" localSheetId="8">'主表(商业）'!$A$1:$G$48</definedName>
    <definedName name="八级">'2014区片价'!$P$1:$P$40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 localSheetId="3">[1]定义!$M$1:$M$6</definedName>
    <definedName name="办公集聚程度" localSheetId="2">[1]定义!$M$1:$M$6</definedName>
    <definedName name="办公集聚程度">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 localSheetId="3">[1]定义!$N$1:$N$6</definedName>
    <definedName name="产业集聚程度" localSheetId="2">[1]定义!$N$1:$N$6</definedName>
    <definedName name="产业集聚程度">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 localSheetId="3">[1]定义!$V$1:$V$3</definedName>
    <definedName name="单价内涵" localSheetId="2">[1]定义!$V$1:$V$3</definedName>
    <definedName name="单价内涵">定义!$V$1:$V$3</definedName>
    <definedName name="地类判定" localSheetId="3">[1]定义!$H$1:$H$9</definedName>
    <definedName name="地类判定" localSheetId="2">[1]定义!$H$1:$H$9</definedName>
    <definedName name="地类判定">定义!$H$1:$H$9</definedName>
    <definedName name="地下">'2014基准地价'!$B$33:$B$39</definedName>
    <definedName name="二级">'2014区片价'!$J$1:$J$20</definedName>
    <definedName name="二级分类" localSheetId="3">[1]修正!$C$17:$C$39</definedName>
    <definedName name="二级分类" localSheetId="2">[1]修正!$C$17:$C$39</definedName>
    <definedName name="二级分类">'2014修正'!$C$17:$C$39</definedName>
    <definedName name="法定最高年限" localSheetId="20">[2]定义!$F$2:$F$4</definedName>
    <definedName name="法定最高年限" localSheetId="3">[1]定义!$G$1:$G$4</definedName>
    <definedName name="法定最高年限" localSheetId="2">[1]定义!$G$1:$G$4</definedName>
    <definedName name="法定最高年限">定义!$G$1:$G$4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 localSheetId="3">[1]定义!$Q$1:$Q$6</definedName>
    <definedName name="公共配套设施" localSheetId="2">[1]定义!$Q$1:$Q$6</definedName>
    <definedName name="公共配套设施">定义!$Q$1:$Q$6</definedName>
    <definedName name="估价方法" localSheetId="3">[1]定义!$B$1:$B$50</definedName>
    <definedName name="估价方法" localSheetId="2">[1]定义!$B$1:$B$50</definedName>
    <definedName name="估价方法">定义!$B$1:$B$50</definedName>
    <definedName name="估价目的">定义!#REF!</definedName>
    <definedName name="环境" localSheetId="3">[1]定义!$S$1:$S$6</definedName>
    <definedName name="环境" localSheetId="2">[1]定义!$S$1:$S$6</definedName>
    <definedName name="环境">定义!$S$1:$S$6</definedName>
    <definedName name="基础设施水平" localSheetId="3">[1]定义!$R$1:$R$6</definedName>
    <definedName name="基础设施水平" localSheetId="2">[1]定义!$R$1:$R$6</definedName>
    <definedName name="基础设施水平">定义!$R$1:$R$6</definedName>
    <definedName name="季度" localSheetId="18">'1993基准地价'!#REF!</definedName>
    <definedName name="季度2002" localSheetId="14">'地价（废）'!$A$17:$A$67</definedName>
    <definedName name="季度2014">地价!$A$3:$A$29</definedName>
    <definedName name="价值类型">定义!$B$51:$B$51</definedName>
    <definedName name="价值类型2" localSheetId="3">[1]定义!$B$54:$B$56</definedName>
    <definedName name="价值类型2" localSheetId="2">[1]定义!$B$54:$B$56</definedName>
    <definedName name="价值类型2">定义!#REF!</definedName>
    <definedName name="建筑使用方向">定义!$Y:$Y</definedName>
    <definedName name="交通便捷度" localSheetId="3">[1]定义!$O$1:$O$6</definedName>
    <definedName name="交通便捷度" localSheetId="2">[1]定义!$O$1:$O$6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 localSheetId="3">[1]定义!$K$1:$K$6</definedName>
    <definedName name="居住社区成熟度" localSheetId="2">[1]定义!$K$1:$K$6</definedName>
    <definedName name="居住社区成熟度">定义!$K$1:$K$6</definedName>
    <definedName name="类别" localSheetId="3">[1]定义!$J$1:$J$3</definedName>
    <definedName name="类别" localSheetId="2">[1]定义!$J$1:$J$3</definedName>
    <definedName name="类别">定义!$J$1:$J$3</definedName>
    <definedName name="临街状况" localSheetId="3">[1]定义!$T$1:$T$5</definedName>
    <definedName name="临街状况" localSheetId="2">[1]定义!$T$1:$T$5</definedName>
    <definedName name="临街状况">定义!$T$1:$T$5</definedName>
    <definedName name="六级">'2014区片价'!$N$1:$N$49</definedName>
    <definedName name="内部装修维护情况" localSheetId="3">[1]定义!$U$1:$U$6</definedName>
    <definedName name="内部装修维护情况" localSheetId="2">[1]定义!$U$1:$U$6</definedName>
    <definedName name="内部装修维护情况">定义!$U$1:$U$6</definedName>
    <definedName name="判定" localSheetId="3">[1]定义!$D$1:$D$4</definedName>
    <definedName name="判定" localSheetId="2">[1]定义!$D$1:$D$4</definedName>
    <definedName name="判定">定义!$D$1:$D$4</definedName>
    <definedName name="七级">'2014区片价'!$O$1:$O$49</definedName>
    <definedName name="七通一平" localSheetId="3">[1]修正!$A$6:$A$14</definedName>
    <definedName name="七通一平" localSheetId="2">[1]修正!$A$6:$A$14</definedName>
    <definedName name="七通一平">'2014修正'!$A$6:$A$14</definedName>
    <definedName name="区域土地利用方向" localSheetId="3">[1]定义!$P$1:$P$6</definedName>
    <definedName name="区域土地利用方向" localSheetId="2">[1]定义!$P$1:$P$6</definedName>
    <definedName name="区域土地利用方向">定义!$P$1:$P$6</definedName>
    <definedName name="三级">'2014区片价'!$K$1:$K$21</definedName>
    <definedName name="商业层高">'[1]比较法-商业'!$B$116:$M$116</definedName>
    <definedName name="商业繁华度" localSheetId="3">[1]定义!$L$1:$L$6</definedName>
    <definedName name="商业繁华度" localSheetId="2">[1]定义!$L$1:$L$6</definedName>
    <definedName name="商业繁华度">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 localSheetId="3">[1]修正!$C$59:$C$119</definedName>
    <definedName name="商业街名称" localSheetId="2">[1]修正!$C$59:$C$119</definedName>
    <definedName name="商业街名称">'2014修正'!$C$59:$C$119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十二级">'2014区片价'!$T$1:$T$8</definedName>
    <definedName name="十级">'2014区片价'!$R$1:$R$27</definedName>
    <definedName name="十一级">'2014区片价'!$S$1:$S$22</definedName>
    <definedName name="是否封闭">'[1]比较法-仓储'!$B$89:$M$89</definedName>
    <definedName name="是否直接入户">'[1]比较法-车位'!$B$95:$M$95</definedName>
    <definedName name="四级">'2014区片价'!$L$1:$L$28</definedName>
    <definedName name="套工道路等级" localSheetId="3">'[1]土地比较法-工业'!$B$97:$M$97</definedName>
    <definedName name="套工道路等级" localSheetId="2">'[1]土地比较法-工业'!$B$97:$M$97</definedName>
    <definedName name="套工道路等级">#REF!</definedName>
    <definedName name="套工地质条件" localSheetId="3">'[1]土地比较法-工业'!$B$114:$M$114</definedName>
    <definedName name="套工地质条件" localSheetId="2">'[1]土地比较法-工业'!$B$114:$M$114</definedName>
    <definedName name="套工地质条件">#REF!</definedName>
    <definedName name="套工交易情况" localSheetId="3">'[1]土地比较法-住宅、综合'!$A$73:$M$73</definedName>
    <definedName name="套工交易情况" localSheetId="2">'[1]土地比较法-住宅、综合'!$A$73:$M$73</definedName>
    <definedName name="套工交易情况">比较法!$A$61:$M$61</definedName>
    <definedName name="套工土地级别" localSheetId="3">'[1]土地比较法-工业'!$B$99:$M$99</definedName>
    <definedName name="套工土地级别" localSheetId="2">'[1]土地比较法-工业'!$B$99:$M$99</definedName>
    <definedName name="套工土地级别">#REF!</definedName>
    <definedName name="套工用途" localSheetId="3">'[1]土地比较法-工业'!$B$70:$M$70</definedName>
    <definedName name="套工用途" localSheetId="2">'[1]土地比较法-工业'!$B$70:$M$70</definedName>
    <definedName name="套工用途">#REF!</definedName>
    <definedName name="套工宗地开发程度">'[1]土地比较法-工业'!$B$112:$M$112</definedName>
    <definedName name="套工宗地内开发程度">#REF!</definedName>
    <definedName name="套工宗地形状" localSheetId="3">'[1]土地比较法-工业'!$B$110:$M$110</definedName>
    <definedName name="套工宗地形状" localSheetId="2">'[1]土地比较法-工业'!$B$110:$M$110</definedName>
    <definedName name="套工宗地形状">#REF!</definedName>
    <definedName name="套综道路等级" localSheetId="3">'[1]土地比较法-住宅、综合'!$B$106:$M$106</definedName>
    <definedName name="套综道路等级" localSheetId="2">'[1]土地比较法-住宅、综合'!$B$106:$M$106</definedName>
    <definedName name="套综道路等级">比较法!$B$94:$M$94</definedName>
    <definedName name="套综工程地质条件" localSheetId="3">'[1]土地比较法-住宅、综合'!$B$125:$M$125</definedName>
    <definedName name="套综工程地质条件" localSheetId="2">'[1]土地比较法-住宅、综合'!$B$125:$M$125</definedName>
    <definedName name="套综工程地质条件">比较法!$B$113:$M$113</definedName>
    <definedName name="套综交易情况" localSheetId="3">'[1]土地比较法-住宅、综合'!$A$73:$M$73</definedName>
    <definedName name="套综交易情况" localSheetId="2">'[1]土地比较法-住宅、综合'!$A$73:$M$73</definedName>
    <definedName name="套综交易情况">比较法!$A$61:$M$61</definedName>
    <definedName name="套综临街宽度及深度" localSheetId="3">'[1]土地比较法-住宅、综合'!$B$121:$M$121</definedName>
    <definedName name="套综临街宽度及深度" localSheetId="2">'[1]土地比较法-住宅、综合'!$B$121:$M$121</definedName>
    <definedName name="套综临街宽度及深度">比较法!$B$109:$M$109</definedName>
    <definedName name="套综土地级别" localSheetId="3">'[1]土地比较法-住宅、综合'!$B$108:$M$108</definedName>
    <definedName name="套综土地级别" localSheetId="2">'[1]土地比较法-住宅、综合'!$B$108:$M$108</definedName>
    <definedName name="套综土地级别">比较法!$B$96:$M$96</definedName>
    <definedName name="套综用途" localSheetId="3">'[1]土地比较法-住宅、综合'!$B$75:$M$75</definedName>
    <definedName name="套综用途" localSheetId="2">'[1]土地比较法-住宅、综合'!$B$75:$M$75</definedName>
    <definedName name="套综用途">比较法!$B$63:$M$63</definedName>
    <definedName name="套综宗地内开发程度" localSheetId="3">'[1]土地比较法-住宅、综合'!$B$123:$M$123</definedName>
    <definedName name="套综宗地内开发程度" localSheetId="2">'[1]土地比较法-住宅、综合'!$B$123:$M$123</definedName>
    <definedName name="套综宗地内开发程度">比较法!$B$111:$M$111</definedName>
    <definedName name="套综宗地形状" localSheetId="3">'[1]土地比较法-住宅、综合'!$B$119:$M$119</definedName>
    <definedName name="套综宗地形状" localSheetId="2">'[1]土地比较法-住宅、综合'!$B$119:$M$119</definedName>
    <definedName name="套综宗地形状">比较法!$B$107:$M$107</definedName>
    <definedName name="土地级别" localSheetId="3">[1]定义!$C$1:$C$14</definedName>
    <definedName name="土地级别" localSheetId="2">[1]定义!$C$1:$C$14</definedName>
    <definedName name="土地级别">定义!$C$1:$C$13</definedName>
    <definedName name="土地利用方向">定义!$P$1:$P$6</definedName>
    <definedName name="土地年限区间" localSheetId="3">[1]定义!$I$1:$I$8</definedName>
    <definedName name="土地年限区间" localSheetId="2">[1]定义!$I$1:$I$8</definedName>
    <definedName name="土地年限区间">定义!$I$1:$I$8</definedName>
    <definedName name="位置" localSheetId="3">[1]定义!$E$2:$E$4</definedName>
    <definedName name="位置" localSheetId="2">[1]定义!$E$2:$E$4</definedName>
    <definedName name="位置">定义!$E$2:$E$4</definedName>
    <definedName name="五等判定" localSheetId="3">[1]定义!$W$1:$W$6</definedName>
    <definedName name="五等判定" localSheetId="2">[1]定义!$W$1:$W$6</definedName>
    <definedName name="五等判定">定义!$W$1:$W$6</definedName>
    <definedName name="五级">'2014区片价'!$M$1:$M$35</definedName>
    <definedName name="项目类型">'数据-汇总表'!$C$17:$C$26</definedName>
    <definedName name="写字楼等级">'[1]比较法-办公'!$B$113:$M$113</definedName>
    <definedName name="一级">'2014区片价'!$I$1:$I$6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已注销">定义!#REF!</definedName>
    <definedName name="已注销及未注销">定义!#REF!</definedName>
    <definedName name="用途明细" localSheetId="3">[1]定义!$A$1:$A$50</definedName>
    <definedName name="用途明细" localSheetId="2">[1]定义!$A$1:$A$50</definedName>
    <definedName name="用途明细">定义!$A$1:$A$50</definedName>
    <definedName name="有无电梯">'[1]比较法-仓储'!$B$84:$M$84</definedName>
    <definedName name="主用途" localSheetId="3">[1]定义!$F$1:$F$10</definedName>
    <definedName name="主用途" localSheetId="2">[1]定义!$F$1:$F$10</definedName>
    <definedName name="主用途">定义!$F$1:$F$10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[1]估价师及机构信息!$A$3:$A$24</definedName>
  </definedNames>
  <calcPr calcId="144525"/>
</workbook>
</file>

<file path=xl/calcChain.xml><?xml version="1.0" encoding="utf-8"?>
<calcChain xmlns="http://schemas.openxmlformats.org/spreadsheetml/2006/main">
  <c r="C5" i="69" l="1"/>
  <c r="C4" i="69"/>
  <c r="C3" i="69"/>
  <c r="C2" i="69"/>
  <c r="E32" i="71" l="1"/>
  <c r="G29" i="71"/>
  <c r="F29" i="71"/>
  <c r="E29" i="71" s="1"/>
  <c r="G28" i="71"/>
  <c r="G30" i="71" s="1"/>
  <c r="F28" i="71"/>
  <c r="F30" i="71" s="1"/>
  <c r="O27" i="71"/>
  <c r="N27" i="71"/>
  <c r="P26" i="71"/>
  <c r="L26" i="71"/>
  <c r="E26" i="71"/>
  <c r="P25" i="71"/>
  <c r="L25" i="71"/>
  <c r="E25" i="71"/>
  <c r="P24" i="71"/>
  <c r="L24" i="71"/>
  <c r="E24" i="71"/>
  <c r="P23" i="71"/>
  <c r="L23" i="71"/>
  <c r="G23" i="71"/>
  <c r="E23" i="71" s="1"/>
  <c r="P22" i="71"/>
  <c r="L22" i="71"/>
  <c r="G22" i="71"/>
  <c r="E22" i="71"/>
  <c r="P21" i="71"/>
  <c r="L21" i="71"/>
  <c r="F21" i="71"/>
  <c r="E21" i="71" s="1"/>
  <c r="P20" i="71"/>
  <c r="L20" i="71"/>
  <c r="F20" i="71"/>
  <c r="E20" i="71" s="1"/>
  <c r="P19" i="71"/>
  <c r="P27" i="71" s="1"/>
  <c r="L19" i="71"/>
  <c r="F19" i="71"/>
  <c r="E19" i="71" s="1"/>
  <c r="B7" i="59" s="1"/>
  <c r="E15" i="71"/>
  <c r="E14" i="71"/>
  <c r="E13" i="71"/>
  <c r="E12" i="71"/>
  <c r="E11" i="71"/>
  <c r="E10" i="71"/>
  <c r="E8" i="71"/>
  <c r="F27" i="71" s="1"/>
  <c r="F31" i="71" s="1"/>
  <c r="E5" i="71"/>
  <c r="I4" i="71"/>
  <c r="I3" i="71"/>
  <c r="E3" i="71"/>
  <c r="E6" i="71" s="1"/>
  <c r="D3" i="71"/>
  <c r="G22" i="59"/>
  <c r="G20" i="59"/>
  <c r="C8" i="63"/>
  <c r="B9" i="59"/>
  <c r="I68" i="70"/>
  <c r="C64" i="70"/>
  <c r="J13" i="70"/>
  <c r="I9" i="70"/>
  <c r="H9" i="70"/>
  <c r="I8" i="70"/>
  <c r="I10" i="70" s="1"/>
  <c r="I7" i="70"/>
  <c r="H6" i="70"/>
  <c r="H5" i="70"/>
  <c r="M4" i="70"/>
  <c r="L4" i="70"/>
  <c r="H4" i="70"/>
  <c r="L27" i="71" l="1"/>
  <c r="G27" i="71"/>
  <c r="G31" i="71" s="1"/>
  <c r="J15" i="70"/>
  <c r="D29" i="71"/>
  <c r="E27" i="71"/>
  <c r="D6" i="71"/>
  <c r="D10" i="71"/>
  <c r="D11" i="71"/>
  <c r="D12" i="71"/>
  <c r="D13" i="71"/>
  <c r="D14" i="71"/>
  <c r="D15" i="71"/>
  <c r="D19" i="71"/>
  <c r="B6" i="59" s="1"/>
  <c r="D21" i="71"/>
  <c r="D23" i="71"/>
  <c r="E28" i="71"/>
  <c r="D5" i="71"/>
  <c r="D8" i="71"/>
  <c r="D16" i="71" s="1"/>
  <c r="D9" i="71"/>
  <c r="E16" i="71"/>
  <c r="D20" i="71"/>
  <c r="D22" i="71"/>
  <c r="D24" i="71"/>
  <c r="D25" i="71"/>
  <c r="D26" i="71"/>
  <c r="H10" i="70"/>
  <c r="H12" i="70"/>
  <c r="H15" i="70"/>
  <c r="Q6" i="67"/>
  <c r="P6" i="67"/>
  <c r="O6" i="67"/>
  <c r="N6" i="67"/>
  <c r="D27" i="71" l="1"/>
  <c r="K26" i="71"/>
  <c r="M26" i="71" s="1"/>
  <c r="I26" i="71" s="1"/>
  <c r="K25" i="71"/>
  <c r="M25" i="71" s="1"/>
  <c r="I25" i="71" s="1"/>
  <c r="K24" i="71"/>
  <c r="M24" i="71" s="1"/>
  <c r="I24" i="71" s="1"/>
  <c r="K23" i="71"/>
  <c r="M23" i="71" s="1"/>
  <c r="I23" i="71" s="1"/>
  <c r="K21" i="71"/>
  <c r="M21" i="71" s="1"/>
  <c r="I21" i="71" s="1"/>
  <c r="K19" i="71"/>
  <c r="E30" i="71"/>
  <c r="E31" i="71" s="1"/>
  <c r="K22" i="71"/>
  <c r="M22" i="71" s="1"/>
  <c r="I22" i="71" s="1"/>
  <c r="K20" i="71"/>
  <c r="M20" i="71" s="1"/>
  <c r="I20" i="71" s="1"/>
  <c r="D28" i="71"/>
  <c r="D30" i="71" s="1"/>
  <c r="H9" i="59"/>
  <c r="H22" i="71" l="1"/>
  <c r="R22" i="71" s="1"/>
  <c r="S22" i="71"/>
  <c r="K27" i="71"/>
  <c r="M19" i="71"/>
  <c r="S23" i="71"/>
  <c r="H23" i="71"/>
  <c r="R23" i="71" s="1"/>
  <c r="H25" i="71"/>
  <c r="R25" i="71" s="1"/>
  <c r="S25" i="71"/>
  <c r="D31" i="71"/>
  <c r="I6" i="71" s="1"/>
  <c r="H20" i="71"/>
  <c r="R20" i="71" s="1"/>
  <c r="S20" i="71"/>
  <c r="S21" i="71"/>
  <c r="H21" i="71"/>
  <c r="R21" i="71" s="1"/>
  <c r="H24" i="71"/>
  <c r="R24" i="71" s="1"/>
  <c r="S24" i="71"/>
  <c r="S26" i="71"/>
  <c r="H26" i="71"/>
  <c r="R26" i="71" s="1"/>
  <c r="Q7" i="67"/>
  <c r="P7" i="67"/>
  <c r="O7" i="67"/>
  <c r="N7" i="67"/>
  <c r="M27" i="71" l="1"/>
  <c r="I19" i="71"/>
  <c r="I5" i="71"/>
  <c r="B15" i="45"/>
  <c r="M15" i="45"/>
  <c r="L15" i="45"/>
  <c r="K15" i="45"/>
  <c r="J15" i="45"/>
  <c r="I15" i="45"/>
  <c r="H15" i="45"/>
  <c r="G15" i="45"/>
  <c r="F15" i="45"/>
  <c r="E15" i="45"/>
  <c r="D15" i="45"/>
  <c r="C15" i="45"/>
  <c r="I27" i="71" l="1"/>
  <c r="S19" i="71"/>
  <c r="S27" i="71" s="1"/>
  <c r="H19" i="71"/>
  <c r="Q8" i="67"/>
  <c r="P8" i="67"/>
  <c r="O8" i="67"/>
  <c r="N8" i="67"/>
  <c r="H27" i="71" l="1"/>
  <c r="R19" i="71"/>
  <c r="R27" i="71" s="1"/>
  <c r="Q9" i="67"/>
  <c r="P9" i="67"/>
  <c r="O9" i="67"/>
  <c r="N9" i="67"/>
  <c r="L4" i="67" l="1"/>
  <c r="K4" i="67"/>
  <c r="J4" i="67"/>
  <c r="I4" i="67"/>
  <c r="Q10" i="67"/>
  <c r="P10" i="67"/>
  <c r="O10" i="67"/>
  <c r="N10" i="67"/>
  <c r="Q11" i="67"/>
  <c r="P11" i="67"/>
  <c r="O11" i="67"/>
  <c r="N11" i="67"/>
  <c r="D14" i="67"/>
  <c r="Q12" i="67"/>
  <c r="P12" i="67"/>
  <c r="O12" i="67"/>
  <c r="N12" i="67"/>
  <c r="Q13" i="67"/>
  <c r="P13" i="67"/>
  <c r="E13" i="67" s="1"/>
  <c r="O13" i="67"/>
  <c r="N13" i="67"/>
  <c r="N14" i="67"/>
  <c r="O14" i="67"/>
  <c r="P14" i="67"/>
  <c r="Q14" i="67"/>
  <c r="B15" i="59"/>
  <c r="C24" i="64" s="1"/>
  <c r="N15" i="67"/>
  <c r="O15" i="67"/>
  <c r="P15" i="67"/>
  <c r="Q15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E14" i="68"/>
  <c r="F14" i="68"/>
  <c r="N16" i="67"/>
  <c r="O16" i="67"/>
  <c r="P16" i="67"/>
  <c r="Q16" i="67"/>
  <c r="N17" i="67"/>
  <c r="O17" i="67"/>
  <c r="P17" i="67"/>
  <c r="Q17" i="67"/>
  <c r="C16" i="67"/>
  <c r="C15" i="67"/>
  <c r="B17" i="67"/>
  <c r="S17" i="67"/>
  <c r="F17" i="67"/>
  <c r="V17" i="67"/>
  <c r="E17" i="67"/>
  <c r="U17" i="67"/>
  <c r="C17" i="67"/>
  <c r="T17" i="67"/>
  <c r="D15" i="67"/>
  <c r="D16" i="67"/>
  <c r="E16" i="67"/>
  <c r="E15" i="67"/>
  <c r="B16" i="67"/>
  <c r="B15" i="67"/>
  <c r="B13" i="67"/>
  <c r="B12" i="67" s="1"/>
  <c r="B11" i="67" s="1"/>
  <c r="F16" i="67"/>
  <c r="F15" i="67"/>
  <c r="F13" i="67"/>
  <c r="D17" i="67"/>
  <c r="S13" i="67"/>
  <c r="F12" i="67"/>
  <c r="F11" i="67" s="1"/>
  <c r="F10" i="67" s="1"/>
  <c r="F9" i="67" s="1"/>
  <c r="V13" i="67"/>
  <c r="C13" i="67"/>
  <c r="T13" i="67"/>
  <c r="D78" i="67"/>
  <c r="D74" i="67"/>
  <c r="D70" i="67"/>
  <c r="D66" i="67"/>
  <c r="D62" i="67"/>
  <c r="D58" i="67"/>
  <c r="D54" i="67"/>
  <c r="D50" i="67"/>
  <c r="D46" i="67"/>
  <c r="D42" i="67"/>
  <c r="D38" i="67"/>
  <c r="D37" i="67"/>
  <c r="D34" i="67"/>
  <c r="D30" i="67"/>
  <c r="D26" i="67"/>
  <c r="D22" i="67"/>
  <c r="D18" i="67"/>
  <c r="F77" i="67"/>
  <c r="E77" i="67"/>
  <c r="C77" i="67"/>
  <c r="D77" i="67"/>
  <c r="B77" i="67"/>
  <c r="F76" i="67"/>
  <c r="E76" i="67"/>
  <c r="C76" i="67"/>
  <c r="D76" i="67"/>
  <c r="B76" i="67"/>
  <c r="F75" i="67"/>
  <c r="E75" i="67"/>
  <c r="C75" i="67"/>
  <c r="D75" i="67"/>
  <c r="B75" i="67"/>
  <c r="F73" i="67"/>
  <c r="E73" i="67"/>
  <c r="C73" i="67"/>
  <c r="D73" i="67"/>
  <c r="B73" i="67"/>
  <c r="F72" i="67"/>
  <c r="E72" i="67"/>
  <c r="C72" i="67"/>
  <c r="D72" i="67"/>
  <c r="B72" i="67"/>
  <c r="F71" i="67"/>
  <c r="E71" i="67"/>
  <c r="C71" i="67"/>
  <c r="D71" i="67"/>
  <c r="B71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Q61" i="67"/>
  <c r="P61" i="67"/>
  <c r="O61" i="67"/>
  <c r="N61" i="67"/>
  <c r="F61" i="67"/>
  <c r="V61" i="67"/>
  <c r="E61" i="67"/>
  <c r="U61" i="67"/>
  <c r="C61" i="67"/>
  <c r="T61" i="67"/>
  <c r="B61" i="67"/>
  <c r="S61" i="67"/>
  <c r="Q60" i="67"/>
  <c r="P60" i="67"/>
  <c r="O60" i="67"/>
  <c r="N60" i="67"/>
  <c r="F60" i="67"/>
  <c r="E60" i="67"/>
  <c r="C60" i="67"/>
  <c r="D60" i="67"/>
  <c r="B60" i="67"/>
  <c r="Q59" i="67"/>
  <c r="P59" i="67"/>
  <c r="O59" i="67"/>
  <c r="N59" i="67"/>
  <c r="F59" i="67"/>
  <c r="E59" i="67"/>
  <c r="C59" i="67"/>
  <c r="D59" i="67"/>
  <c r="B59" i="67"/>
  <c r="Q58" i="67"/>
  <c r="P58" i="67"/>
  <c r="O58" i="67"/>
  <c r="N58" i="67"/>
  <c r="F57" i="67"/>
  <c r="V57" i="67"/>
  <c r="E57" i="67"/>
  <c r="U57" i="67"/>
  <c r="C57" i="67"/>
  <c r="T57" i="67"/>
  <c r="B57" i="67"/>
  <c r="S57" i="67"/>
  <c r="F56" i="67"/>
  <c r="Q56" i="67"/>
  <c r="E56" i="67"/>
  <c r="P56" i="67"/>
  <c r="C56" i="67"/>
  <c r="O56" i="67"/>
  <c r="B56" i="67"/>
  <c r="N56" i="67"/>
  <c r="F55" i="67"/>
  <c r="Q55" i="67"/>
  <c r="E55" i="67"/>
  <c r="P55" i="67"/>
  <c r="C55" i="67"/>
  <c r="O55" i="67"/>
  <c r="B55" i="67"/>
  <c r="N55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/>
  <c r="F53" i="67"/>
  <c r="V53" i="67"/>
  <c r="P50" i="67"/>
  <c r="E51" i="67"/>
  <c r="E52" i="67"/>
  <c r="E53" i="67"/>
  <c r="U53" i="67"/>
  <c r="O50" i="67"/>
  <c r="C51" i="67"/>
  <c r="C52" i="67"/>
  <c r="C53" i="67"/>
  <c r="T53" i="67"/>
  <c r="N50" i="67"/>
  <c r="B51" i="67"/>
  <c r="B52" i="67"/>
  <c r="B53" i="67"/>
  <c r="S53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/>
  <c r="F49" i="67"/>
  <c r="V49" i="67"/>
  <c r="P46" i="67"/>
  <c r="E47" i="67"/>
  <c r="E48" i="67"/>
  <c r="E49" i="67"/>
  <c r="U49" i="67"/>
  <c r="O46" i="67"/>
  <c r="C47" i="67"/>
  <c r="C48" i="67"/>
  <c r="C49" i="67"/>
  <c r="T49" i="67"/>
  <c r="N46" i="67"/>
  <c r="B47" i="67"/>
  <c r="B48" i="67"/>
  <c r="B49" i="67"/>
  <c r="S49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/>
  <c r="F45" i="67"/>
  <c r="V45" i="67"/>
  <c r="P42" i="67"/>
  <c r="E43" i="67"/>
  <c r="E44" i="67"/>
  <c r="E45" i="67"/>
  <c r="U45" i="67"/>
  <c r="O42" i="67"/>
  <c r="C43" i="67"/>
  <c r="C44" i="67"/>
  <c r="C45" i="67"/>
  <c r="T45" i="67"/>
  <c r="N42" i="67"/>
  <c r="B43" i="67"/>
  <c r="B44" i="67"/>
  <c r="B45" i="67"/>
  <c r="S45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/>
  <c r="F41" i="67"/>
  <c r="V41" i="67"/>
  <c r="P38" i="67"/>
  <c r="E39" i="67"/>
  <c r="E40" i="67"/>
  <c r="E41" i="67"/>
  <c r="U41" i="67"/>
  <c r="O38" i="67"/>
  <c r="C39" i="67"/>
  <c r="C40" i="67"/>
  <c r="C41" i="67"/>
  <c r="T41" i="67"/>
  <c r="N38" i="67"/>
  <c r="B39" i="67"/>
  <c r="B40" i="67"/>
  <c r="B41" i="67"/>
  <c r="S41" i="67"/>
  <c r="T37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/>
  <c r="F37" i="67"/>
  <c r="V37" i="67"/>
  <c r="P34" i="67"/>
  <c r="E35" i="67"/>
  <c r="E36" i="67"/>
  <c r="E37" i="67"/>
  <c r="U37" i="67"/>
  <c r="O34" i="67"/>
  <c r="C35" i="67"/>
  <c r="C36" i="67"/>
  <c r="D36" i="67"/>
  <c r="N34" i="67"/>
  <c r="B35" i="67"/>
  <c r="B36" i="67"/>
  <c r="B37" i="67"/>
  <c r="S37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/>
  <c r="F33" i="67"/>
  <c r="V33" i="67"/>
  <c r="P30" i="67"/>
  <c r="E31" i="67"/>
  <c r="E32" i="67"/>
  <c r="E33" i="67"/>
  <c r="U33" i="67"/>
  <c r="O30" i="67"/>
  <c r="C31" i="67"/>
  <c r="C32" i="67"/>
  <c r="C33" i="67"/>
  <c r="T33" i="67"/>
  <c r="N30" i="67"/>
  <c r="B31" i="67"/>
  <c r="B32" i="67"/>
  <c r="B33" i="67"/>
  <c r="S33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/>
  <c r="F29" i="67"/>
  <c r="V29" i="67"/>
  <c r="P26" i="67"/>
  <c r="E27" i="67"/>
  <c r="E28" i="67"/>
  <c r="E29" i="67"/>
  <c r="U29" i="67"/>
  <c r="O26" i="67"/>
  <c r="C27" i="67"/>
  <c r="C28" i="67"/>
  <c r="C29" i="67"/>
  <c r="T29" i="67"/>
  <c r="N26" i="67"/>
  <c r="B27" i="67"/>
  <c r="B28" i="67"/>
  <c r="B29" i="67"/>
  <c r="S29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/>
  <c r="F25" i="67"/>
  <c r="V25" i="67"/>
  <c r="P22" i="67"/>
  <c r="E23" i="67"/>
  <c r="E24" i="67"/>
  <c r="E25" i="67"/>
  <c r="U25" i="67"/>
  <c r="O22" i="67"/>
  <c r="C23" i="67"/>
  <c r="C24" i="67"/>
  <c r="C25" i="67"/>
  <c r="T25" i="67"/>
  <c r="N22" i="67"/>
  <c r="B23" i="67"/>
  <c r="B24" i="67"/>
  <c r="B25" i="67"/>
  <c r="S25" i="67"/>
  <c r="Q21" i="67"/>
  <c r="P21" i="67"/>
  <c r="O21" i="67"/>
  <c r="N21" i="67"/>
  <c r="Q20" i="67"/>
  <c r="P20" i="67"/>
  <c r="O20" i="67"/>
  <c r="N20" i="67"/>
  <c r="Q19" i="67"/>
  <c r="P19" i="67"/>
  <c r="O19" i="67"/>
  <c r="N19" i="67"/>
  <c r="Q18" i="67"/>
  <c r="F19" i="67"/>
  <c r="F20" i="67"/>
  <c r="F21" i="67"/>
  <c r="V21" i="67"/>
  <c r="P18" i="67"/>
  <c r="E19" i="67"/>
  <c r="E20" i="67"/>
  <c r="E21" i="67"/>
  <c r="U21" i="67"/>
  <c r="O18" i="67"/>
  <c r="C19" i="67"/>
  <c r="C20" i="67"/>
  <c r="C21" i="67"/>
  <c r="T21" i="67"/>
  <c r="N18" i="67"/>
  <c r="B19" i="67"/>
  <c r="B20" i="67"/>
  <c r="B21" i="67"/>
  <c r="S21" i="67"/>
  <c r="D13" i="67"/>
  <c r="C12" i="67"/>
  <c r="C11" i="67" s="1"/>
  <c r="D19" i="67"/>
  <c r="D21" i="67"/>
  <c r="D23" i="67"/>
  <c r="D25" i="67"/>
  <c r="D27" i="67"/>
  <c r="D29" i="67"/>
  <c r="D31" i="67"/>
  <c r="D33" i="67"/>
  <c r="D35" i="67"/>
  <c r="D39" i="67"/>
  <c r="D41" i="67"/>
  <c r="D43" i="67"/>
  <c r="D45" i="67"/>
  <c r="D47" i="67"/>
  <c r="D49" i="67"/>
  <c r="D51" i="67"/>
  <c r="D53" i="67"/>
  <c r="D55" i="67"/>
  <c r="D57" i="67"/>
  <c r="D61" i="67"/>
  <c r="D65" i="67"/>
  <c r="D69" i="67"/>
  <c r="D20" i="67"/>
  <c r="D24" i="67"/>
  <c r="D28" i="67"/>
  <c r="D32" i="67"/>
  <c r="D40" i="67"/>
  <c r="D44" i="67"/>
  <c r="D48" i="67"/>
  <c r="D52" i="67"/>
  <c r="D56" i="67"/>
  <c r="N57" i="67"/>
  <c r="P57" i="67"/>
  <c r="O57" i="67"/>
  <c r="Q57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2" i="67"/>
  <c r="H6" i="59"/>
  <c r="O1" i="66"/>
  <c r="J1" i="66"/>
  <c r="G2" i="66" s="1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E2" i="65"/>
  <c r="E1" i="65"/>
  <c r="D2" i="65"/>
  <c r="D1" i="65"/>
  <c r="M18" i="43"/>
  <c r="H1" i="66" s="1"/>
  <c r="G10" i="63"/>
  <c r="I20" i="43"/>
  <c r="H7" i="39"/>
  <c r="F7" i="39"/>
  <c r="S7" i="39" s="1"/>
  <c r="B7" i="64"/>
  <c r="E14" i="64" s="1"/>
  <c r="B5" i="64"/>
  <c r="C25" i="64" s="1"/>
  <c r="B10" i="64"/>
  <c r="D30" i="64" s="1"/>
  <c r="B9" i="64"/>
  <c r="D29" i="64"/>
  <c r="C15" i="64"/>
  <c r="D14" i="64"/>
  <c r="D19" i="64"/>
  <c r="E16" i="64"/>
  <c r="E19" i="64"/>
  <c r="D27" i="64"/>
  <c r="G11" i="9"/>
  <c r="F7" i="9"/>
  <c r="F6" i="9"/>
  <c r="C63" i="39"/>
  <c r="C9" i="39"/>
  <c r="J9" i="39" s="1"/>
  <c r="AC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C19" i="43"/>
  <c r="J20" i="43"/>
  <c r="A16" i="43"/>
  <c r="J71" i="63"/>
  <c r="I71" i="63" s="1"/>
  <c r="D8" i="63"/>
  <c r="D20" i="63"/>
  <c r="D19" i="63"/>
  <c r="L1" i="60"/>
  <c r="K1" i="60"/>
  <c r="M1" i="60" s="1"/>
  <c r="C7" i="63" s="1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/>
  <c r="D66" i="63"/>
  <c r="F64" i="63"/>
  <c r="G64" i="63" s="1"/>
  <c r="D64" i="63"/>
  <c r="F62" i="63"/>
  <c r="G62" i="63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F67" i="63"/>
  <c r="G67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/>
  <c r="J73" i="63"/>
  <c r="I73" i="63"/>
  <c r="D53" i="63"/>
  <c r="D51" i="63"/>
  <c r="I2" i="43"/>
  <c r="D1" i="43"/>
  <c r="G2" i="43"/>
  <c r="D17" i="43"/>
  <c r="H6" i="44"/>
  <c r="G57" i="63"/>
  <c r="D57" i="63"/>
  <c r="G44" i="63"/>
  <c r="D44" i="63"/>
  <c r="G48" i="63"/>
  <c r="D48" i="63"/>
  <c r="D76" i="63"/>
  <c r="E70" i="63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E51" i="63" s="1"/>
  <c r="B49" i="63" s="1"/>
  <c r="G46" i="63"/>
  <c r="D46" i="63"/>
  <c r="D52" i="63"/>
  <c r="G52" i="63"/>
  <c r="G56" i="63"/>
  <c r="D56" i="63"/>
  <c r="G43" i="63"/>
  <c r="G47" i="63"/>
  <c r="D47" i="63"/>
  <c r="O4" i="59"/>
  <c r="F31" i="59"/>
  <c r="F32" i="59" s="1"/>
  <c r="G29" i="59"/>
  <c r="F13" i="59"/>
  <c r="F18" i="59"/>
  <c r="F9" i="9" s="1"/>
  <c r="B8" i="59"/>
  <c r="B11" i="64" s="1"/>
  <c r="C21" i="64" s="1"/>
  <c r="F16" i="59"/>
  <c r="F8" i="9" s="1"/>
  <c r="F19" i="59"/>
  <c r="F10" i="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AB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 s="1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4" i="43"/>
  <c r="F39" i="43"/>
  <c r="F37" i="43"/>
  <c r="H9" i="44"/>
  <c r="H7" i="44"/>
  <c r="F35" i="43"/>
  <c r="J17" i="43"/>
  <c r="I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/>
  <c r="F12" i="39"/>
  <c r="S12" i="39" s="1"/>
  <c r="U8" i="39"/>
  <c r="H35" i="39"/>
  <c r="U35" i="39"/>
  <c r="J35" i="39"/>
  <c r="AC35" i="39"/>
  <c r="N6" i="43"/>
  <c r="M11" i="43"/>
  <c r="M3" i="43"/>
  <c r="F70" i="43"/>
  <c r="H72" i="43" s="1"/>
  <c r="M10" i="43"/>
  <c r="M8" i="43"/>
  <c r="M4" i="43"/>
  <c r="C6" i="43" s="1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0" i="39"/>
  <c r="S10" i="39"/>
  <c r="M12" i="43"/>
  <c r="M6" i="43"/>
  <c r="N11" i="43"/>
  <c r="M5" i="43"/>
  <c r="N4" i="43"/>
  <c r="F48" i="43"/>
  <c r="H56" i="43" s="1"/>
  <c r="H14" i="44"/>
  <c r="H16" i="44"/>
  <c r="H76" i="43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T47" i="39"/>
  <c r="G47" i="39" s="1"/>
  <c r="S19" i="39"/>
  <c r="AA15" i="39"/>
  <c r="S15" i="39"/>
  <c r="AA37" i="39"/>
  <c r="S37" i="39"/>
  <c r="W45" i="39"/>
  <c r="AC45" i="39"/>
  <c r="AB32" i="39"/>
  <c r="W19" i="39"/>
  <c r="B2" i="39"/>
  <c r="G42" i="63"/>
  <c r="H8" i="65"/>
  <c r="H5" i="65"/>
  <c r="G6" i="65"/>
  <c r="G7" i="65"/>
  <c r="G5" i="65"/>
  <c r="G8" i="65"/>
  <c r="H4" i="65"/>
  <c r="G4" i="65"/>
  <c r="H6" i="65"/>
  <c r="H7" i="65"/>
  <c r="D28" i="64" l="1"/>
  <c r="F5" i="9"/>
  <c r="E42" i="63"/>
  <c r="B40" i="63" s="1"/>
  <c r="C15" i="63" s="1"/>
  <c r="I2" i="65"/>
  <c r="I1" i="65"/>
  <c r="F29" i="59"/>
  <c r="H10" i="63"/>
  <c r="E20" i="64"/>
  <c r="D17" i="64"/>
  <c r="D20" i="64"/>
  <c r="E17" i="64"/>
  <c r="D16" i="64"/>
  <c r="E17" i="43"/>
  <c r="N17" i="43"/>
  <c r="L17" i="43"/>
  <c r="O17" i="43"/>
  <c r="M17" i="43"/>
  <c r="G17" i="43"/>
  <c r="C8" i="68"/>
  <c r="C7" i="68"/>
  <c r="C6" i="68"/>
  <c r="C5" i="68"/>
  <c r="D5" i="68"/>
  <c r="D8" i="68"/>
  <c r="D7" i="68"/>
  <c r="D6" i="68"/>
  <c r="G3" i="63"/>
  <c r="C11" i="39"/>
  <c r="G3" i="43"/>
  <c r="J1" i="65"/>
  <c r="C10" i="67"/>
  <c r="D11" i="67"/>
  <c r="F8" i="67"/>
  <c r="F7" i="67" s="1"/>
  <c r="F6" i="67" s="1"/>
  <c r="V9" i="67"/>
  <c r="U13" i="67"/>
  <c r="E12" i="67"/>
  <c r="E11" i="67" s="1"/>
  <c r="E10" i="67" s="1"/>
  <c r="E9" i="67" s="1"/>
  <c r="B10" i="67"/>
  <c r="B9" i="67" s="1"/>
  <c r="I2" i="66"/>
  <c r="N22" i="43" s="1"/>
  <c r="H2" i="66"/>
  <c r="N21" i="43" s="1"/>
  <c r="K2" i="66"/>
  <c r="N24" i="43" s="1"/>
  <c r="H75" i="43"/>
  <c r="H11" i="44"/>
  <c r="H13" i="44"/>
  <c r="N12" i="43"/>
  <c r="N8" i="43"/>
  <c r="M9" i="43"/>
  <c r="N3" i="43"/>
  <c r="N5" i="43"/>
  <c r="H77" i="43"/>
  <c r="H73" i="43"/>
  <c r="N9" i="43"/>
  <c r="H15" i="44"/>
  <c r="M2" i="43"/>
  <c r="N7" i="43"/>
  <c r="N1" i="43"/>
  <c r="M7" i="43"/>
  <c r="N2" i="43"/>
  <c r="N10" i="43"/>
  <c r="H8" i="44"/>
  <c r="C17" i="43"/>
  <c r="H12" i="44"/>
  <c r="F81" i="43"/>
  <c r="H84" i="43" s="1"/>
  <c r="F114" i="43"/>
  <c r="H5" i="44"/>
  <c r="M1" i="43"/>
  <c r="A12" i="43"/>
  <c r="F59" i="43"/>
  <c r="F19" i="43"/>
  <c r="H9" i="39"/>
  <c r="C58" i="39"/>
  <c r="D56" i="39"/>
  <c r="AA7" i="39"/>
  <c r="R47" i="39" s="1"/>
  <c r="E47" i="39" s="1"/>
  <c r="E51" i="39" s="1"/>
  <c r="F51" i="39" s="1"/>
  <c r="J2" i="65"/>
  <c r="J7" i="39"/>
  <c r="AB9" i="39"/>
  <c r="U9" i="39"/>
  <c r="H50" i="43"/>
  <c r="H51" i="43"/>
  <c r="H53" i="43"/>
  <c r="H55" i="43"/>
  <c r="H49" i="43"/>
  <c r="H70" i="43"/>
  <c r="H71" i="43"/>
  <c r="H63" i="43"/>
  <c r="H78" i="43"/>
  <c r="W9" i="39"/>
  <c r="H74" i="43"/>
  <c r="F17" i="59"/>
  <c r="F12" i="59" s="1"/>
  <c r="I9" i="63"/>
  <c r="C9" i="63" s="1"/>
  <c r="C10" i="63"/>
  <c r="H54" i="43"/>
  <c r="H48" i="43"/>
  <c r="H52" i="43"/>
  <c r="O3" i="59"/>
  <c r="F28" i="59" s="1"/>
  <c r="F33" i="59" s="1"/>
  <c r="B17" i="9" s="1"/>
  <c r="G51" i="39"/>
  <c r="H51" i="39" s="1"/>
  <c r="S9" i="39"/>
  <c r="H16" i="63"/>
  <c r="I3" i="63"/>
  <c r="I3" i="65"/>
  <c r="E7" i="65"/>
  <c r="D7" i="65"/>
  <c r="E6" i="65"/>
  <c r="E4" i="65"/>
  <c r="E8" i="65"/>
  <c r="D8" i="65"/>
  <c r="D5" i="65"/>
  <c r="D4" i="65"/>
  <c r="E5" i="65"/>
  <c r="D6" i="65"/>
  <c r="H87" i="43" l="1"/>
  <c r="H85" i="43"/>
  <c r="C16" i="43"/>
  <c r="D5" i="43" s="1"/>
  <c r="F11" i="39"/>
  <c r="J11" i="39"/>
  <c r="H11" i="39"/>
  <c r="E52" i="39"/>
  <c r="F52" i="39" s="1"/>
  <c r="F22" i="43"/>
  <c r="G22" i="43"/>
  <c r="I102" i="43"/>
  <c r="G102" i="43"/>
  <c r="E102" i="43"/>
  <c r="F102" i="43"/>
  <c r="H22" i="43"/>
  <c r="E22" i="43"/>
  <c r="N104" i="46"/>
  <c r="B114" i="43"/>
  <c r="M102" i="43"/>
  <c r="K102" i="43"/>
  <c r="C102" i="43"/>
  <c r="N102" i="43"/>
  <c r="L102" i="43"/>
  <c r="J102" i="43"/>
  <c r="H102" i="43"/>
  <c r="D102" i="43"/>
  <c r="E13" i="63"/>
  <c r="G13" i="63"/>
  <c r="G12" i="63"/>
  <c r="D14" i="63"/>
  <c r="F13" i="63"/>
  <c r="H13" i="63"/>
  <c r="H12" i="63"/>
  <c r="B80" i="63"/>
  <c r="E12" i="63"/>
  <c r="R48" i="39"/>
  <c r="C48" i="39" s="1"/>
  <c r="B3" i="39" s="1"/>
  <c r="K4" i="65"/>
  <c r="K1" i="65"/>
  <c r="K2" i="65"/>
  <c r="K3" i="65"/>
  <c r="E8" i="67"/>
  <c r="E7" i="67" s="1"/>
  <c r="E6" i="67" s="1"/>
  <c r="U9" i="67"/>
  <c r="B8" i="67"/>
  <c r="B7" i="67" s="1"/>
  <c r="B6" i="67" s="1"/>
  <c r="S9" i="67"/>
  <c r="C9" i="67"/>
  <c r="D10" i="67"/>
  <c r="H83" i="43"/>
  <c r="H88" i="43"/>
  <c r="H82" i="43"/>
  <c r="H86" i="43"/>
  <c r="H81" i="43"/>
  <c r="H62" i="43"/>
  <c r="H61" i="43"/>
  <c r="H64" i="43"/>
  <c r="H65" i="43"/>
  <c r="H67" i="43"/>
  <c r="H60" i="43"/>
  <c r="H66" i="43"/>
  <c r="H59" i="43"/>
  <c r="D58" i="39"/>
  <c r="E56" i="39"/>
  <c r="W7" i="39"/>
  <c r="AC7" i="39"/>
  <c r="V47" i="39" s="1"/>
  <c r="I47" i="39" s="1"/>
  <c r="F20" i="59"/>
  <c r="F11" i="9" s="1"/>
  <c r="C20" i="63"/>
  <c r="C22" i="63" s="1"/>
  <c r="C21" i="63"/>
  <c r="E21" i="63" s="1"/>
  <c r="G1" i="65"/>
  <c r="G3" i="65"/>
  <c r="E20" i="43"/>
  <c r="G2" i="65"/>
  <c r="C5" i="43" l="1"/>
  <c r="C47" i="39"/>
  <c r="F12" i="63"/>
  <c r="D13" i="63" s="1"/>
  <c r="B83" i="63"/>
  <c r="B85" i="63"/>
  <c r="B84" i="63"/>
  <c r="B82" i="63"/>
  <c r="B81" i="63" s="1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7" i="43"/>
  <c r="J103" i="43"/>
  <c r="N110" i="43"/>
  <c r="N103" i="43"/>
  <c r="N107" i="43"/>
  <c r="N105" i="43"/>
  <c r="N104" i="43"/>
  <c r="N108" i="43"/>
  <c r="N106" i="43"/>
  <c r="K107" i="43"/>
  <c r="K105" i="43"/>
  <c r="K104" i="43"/>
  <c r="K110" i="43"/>
  <c r="K103" i="43"/>
  <c r="K108" i="43"/>
  <c r="K106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G119" i="43"/>
  <c r="H119" i="43" s="1"/>
  <c r="D119" i="43"/>
  <c r="E119" i="43" s="1"/>
  <c r="F119" i="43" s="1"/>
  <c r="I118" i="43"/>
  <c r="J118" i="43" s="1"/>
  <c r="K118" i="43" s="1"/>
  <c r="L118" i="43" s="1"/>
  <c r="M118" i="43" s="1"/>
  <c r="D22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W11" i="39"/>
  <c r="AC11" i="39"/>
  <c r="H110" i="43"/>
  <c r="H106" i="43"/>
  <c r="H107" i="43"/>
  <c r="H105" i="43"/>
  <c r="H108" i="43"/>
  <c r="H103" i="43"/>
  <c r="H104" i="43"/>
  <c r="L108" i="43"/>
  <c r="L110" i="43"/>
  <c r="L105" i="43"/>
  <c r="L106" i="43"/>
  <c r="L104" i="43"/>
  <c r="L103" i="43"/>
  <c r="L107" i="43"/>
  <c r="C108" i="43"/>
  <c r="C110" i="43"/>
  <c r="C105" i="43"/>
  <c r="C103" i="43"/>
  <c r="C23" i="43" s="1"/>
  <c r="C106" i="43"/>
  <c r="C107" i="43"/>
  <c r="C104" i="43"/>
  <c r="M107" i="43"/>
  <c r="M110" i="43"/>
  <c r="M108" i="43"/>
  <c r="M106" i="43"/>
  <c r="M103" i="43"/>
  <c r="M105" i="43"/>
  <c r="M104" i="43"/>
  <c r="F108" i="43"/>
  <c r="F105" i="43"/>
  <c r="F103" i="43"/>
  <c r="F106" i="43"/>
  <c r="F110" i="43"/>
  <c r="F107" i="43"/>
  <c r="F104" i="43"/>
  <c r="G104" i="43"/>
  <c r="G105" i="43"/>
  <c r="G108" i="43"/>
  <c r="G110" i="43"/>
  <c r="G107" i="43"/>
  <c r="G106" i="43"/>
  <c r="G103" i="43"/>
  <c r="AB11" i="39"/>
  <c r="U11" i="39"/>
  <c r="AA11" i="39"/>
  <c r="S11" i="39"/>
  <c r="G21" i="59"/>
  <c r="G12" i="9" s="1"/>
  <c r="T9" i="67"/>
  <c r="D9" i="67"/>
  <c r="C8" i="67"/>
  <c r="R20" i="43"/>
  <c r="S20" i="43"/>
  <c r="P20" i="43"/>
  <c r="Q20" i="43"/>
  <c r="C23" i="64"/>
  <c r="C22" i="64" s="1"/>
  <c r="G9" i="59"/>
  <c r="C12" i="9" s="1"/>
  <c r="G52" i="39"/>
  <c r="H52" i="39" s="1"/>
  <c r="I52" i="39"/>
  <c r="J52" i="39" s="1"/>
  <c r="I51" i="39"/>
  <c r="J51" i="39" s="1"/>
  <c r="F56" i="39"/>
  <c r="E58" i="39"/>
  <c r="G20" i="43"/>
  <c r="C20" i="43" s="1"/>
  <c r="B5" i="63"/>
  <c r="F22" i="59"/>
  <c r="F13" i="9" s="1"/>
  <c r="B4" i="63"/>
  <c r="E20" i="63"/>
  <c r="F7" i="59" l="1"/>
  <c r="D12" i="63"/>
  <c r="C11" i="63" s="1"/>
  <c r="C116" i="43"/>
  <c r="D114" i="43"/>
  <c r="J22" i="43" s="1"/>
  <c r="C21" i="43" s="1"/>
  <c r="C29" i="43" s="1"/>
  <c r="B3" i="43" s="1"/>
  <c r="F21" i="59"/>
  <c r="F12" i="9" s="1"/>
  <c r="F14" i="9" s="1"/>
  <c r="C7" i="67"/>
  <c r="D8" i="67"/>
  <c r="B17" i="59"/>
  <c r="B18" i="59" s="1"/>
  <c r="G56" i="39"/>
  <c r="F58" i="39"/>
  <c r="E41" i="43"/>
  <c r="C41" i="43" s="1"/>
  <c r="C39" i="43" s="1"/>
  <c r="C37" i="43"/>
  <c r="C33" i="43"/>
  <c r="C34" i="43"/>
  <c r="C35" i="43"/>
  <c r="C36" i="43"/>
  <c r="C28" i="64"/>
  <c r="C30" i="64"/>
  <c r="B3" i="64"/>
  <c r="F11" i="59"/>
  <c r="C18" i="63" l="1"/>
  <c r="C19" i="63"/>
  <c r="E19" i="63" s="1"/>
  <c r="D7" i="67"/>
  <c r="C6" i="67"/>
  <c r="H56" i="39"/>
  <c r="G58" i="39"/>
  <c r="C38" i="43"/>
  <c r="E38" i="43" s="1"/>
  <c r="G36" i="43"/>
  <c r="I36" i="43" s="1"/>
  <c r="E36" i="43"/>
  <c r="E35" i="43"/>
  <c r="G35" i="43"/>
  <c r="I35" i="43" s="1"/>
  <c r="E33" i="43"/>
  <c r="G33" i="43"/>
  <c r="I33" i="43" s="1"/>
  <c r="E39" i="43"/>
  <c r="G39" i="43"/>
  <c r="I39" i="43" s="1"/>
  <c r="C30" i="43"/>
  <c r="E29" i="43"/>
  <c r="E34" i="43"/>
  <c r="G34" i="43"/>
  <c r="I34" i="43" s="1"/>
  <c r="G37" i="43"/>
  <c r="I37" i="43" s="1"/>
  <c r="E37" i="43"/>
  <c r="C29" i="64"/>
  <c r="E29" i="64" s="1"/>
  <c r="E30" i="64"/>
  <c r="E28" i="64"/>
  <c r="C27" i="64"/>
  <c r="E27" i="64" s="1"/>
  <c r="B3" i="63" l="1"/>
  <c r="F6" i="59" s="1"/>
  <c r="F5" i="59" s="1"/>
  <c r="E18" i="63"/>
  <c r="D6" i="67"/>
  <c r="I19" i="43"/>
  <c r="H58" i="39"/>
  <c r="I56" i="39"/>
  <c r="G38" i="43"/>
  <c r="I38" i="43" s="1"/>
  <c r="E30" i="43"/>
  <c r="B4" i="43"/>
  <c r="C26" i="43"/>
  <c r="B2" i="43" s="1"/>
  <c r="C27" i="43" l="1"/>
  <c r="B5" i="9"/>
  <c r="F8" i="59"/>
  <c r="J56" i="39"/>
  <c r="I58" i="39"/>
  <c r="B11" i="9" l="1"/>
  <c r="F9" i="59"/>
  <c r="F10" i="59"/>
  <c r="B13" i="9" s="1"/>
  <c r="J58" i="39"/>
  <c r="K56" i="39"/>
  <c r="B12" i="9" l="1"/>
  <c r="B14" i="9" s="1"/>
  <c r="F4" i="59"/>
  <c r="F24" i="59" s="1"/>
  <c r="K58" i="39"/>
  <c r="L56" i="39"/>
  <c r="F25" i="59" l="1"/>
  <c r="B15" i="9"/>
  <c r="F35" i="59"/>
  <c r="L58" i="39"/>
  <c r="M56" i="39"/>
  <c r="B18" i="9" l="1"/>
  <c r="C11" i="68" s="1"/>
  <c r="D2" i="69"/>
  <c r="B16" i="9"/>
  <c r="H16" i="9" s="1"/>
  <c r="F36" i="59"/>
  <c r="N56" i="39"/>
  <c r="M58" i="39"/>
  <c r="B19" i="9" l="1"/>
  <c r="E2" i="69"/>
  <c r="B11" i="68"/>
  <c r="H19" i="9"/>
  <c r="O56" i="39"/>
  <c r="O58" i="39" s="1"/>
  <c r="N58" i="39"/>
  <c r="D4" i="69" l="1"/>
  <c r="E4" i="69" l="1"/>
  <c r="D3" i="69" l="1"/>
  <c r="E3" i="69" l="1"/>
  <c r="D5" i="69" l="1"/>
  <c r="E5" i="69" l="1"/>
  <c r="E6" i="69" s="1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9" authorId="0">
      <text>
        <r>
          <rPr>
            <b/>
            <sz val="11"/>
            <color indexed="81"/>
            <rFont val="宋体"/>
            <family val="3"/>
            <charset val="134"/>
          </rPr>
          <t>除经营性用途以外的地上计出让金部分，请按实际情况录入并作备注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7" authorId="0">
      <text>
        <r>
          <rPr>
            <sz val="11"/>
            <color indexed="81"/>
            <rFont val="宋体"/>
            <family val="3"/>
            <charset val="134"/>
          </rPr>
          <t>项不固定，随情况自定，但需包含有有主用途，如：
住宅-公寓商业-独栋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6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<sst xmlns="http://schemas.openxmlformats.org/spreadsheetml/2006/main" count="4390" uniqueCount="1991">
  <si>
    <t>商业</t>
    <phoneticPr fontId="4" type="noConversion"/>
  </si>
  <si>
    <t>——</t>
    <phoneticPr fontId="4" type="noConversion"/>
  </si>
  <si>
    <t>工业</t>
  </si>
  <si>
    <t>——</t>
    <phoneticPr fontId="11" type="noConversion"/>
  </si>
  <si>
    <t>居住社区成熟度</t>
  </si>
  <si>
    <t>七通</t>
  </si>
  <si>
    <t>100/</t>
    <phoneticPr fontId="4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</si>
  <si>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</si>
  <si>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</si>
  <si>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</si>
  <si>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</si>
  <si>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</si>
  <si>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4" type="noConversion"/>
  </si>
  <si>
    <t>较好</t>
    <phoneticPr fontId="4" type="noConversion"/>
  </si>
  <si>
    <t>好</t>
    <phoneticPr fontId="4" type="noConversion"/>
  </si>
  <si>
    <t>一般</t>
  </si>
  <si>
    <t>区域土地利用方向</t>
    <phoneticPr fontId="4" type="noConversion"/>
  </si>
  <si>
    <t>居住社区成熟度</t>
    <phoneticPr fontId="4" type="noConversion"/>
  </si>
  <si>
    <t>——</t>
    <phoneticPr fontId="11" type="noConversion"/>
  </si>
  <si>
    <t>高速路</t>
    <phoneticPr fontId="33" type="noConversion"/>
  </si>
  <si>
    <t>快速路</t>
    <phoneticPr fontId="33" type="noConversion"/>
  </si>
  <si>
    <t>主干道</t>
  </si>
  <si>
    <t>主干道</t>
    <phoneticPr fontId="33" type="noConversion"/>
  </si>
  <si>
    <t>次干道</t>
    <phoneticPr fontId="33" type="noConversion"/>
  </si>
  <si>
    <t>支路</t>
    <phoneticPr fontId="34" type="noConversion"/>
  </si>
  <si>
    <t>有</t>
  </si>
  <si>
    <t>无</t>
  </si>
  <si>
    <t>正常</t>
  </si>
  <si>
    <t>产业集聚程度</t>
    <phoneticPr fontId="4" type="noConversion"/>
  </si>
  <si>
    <t>多面临街</t>
  </si>
  <si>
    <t>四级</t>
    <phoneticPr fontId="4" type="noConversion"/>
  </si>
  <si>
    <t>五级</t>
    <phoneticPr fontId="4" type="noConversion"/>
  </si>
  <si>
    <t>六级</t>
    <phoneticPr fontId="4" type="noConversion"/>
  </si>
  <si>
    <t>二级</t>
    <phoneticPr fontId="4" type="noConversion"/>
  </si>
  <si>
    <t>六级</t>
  </si>
  <si>
    <t>估价结果</t>
    <phoneticPr fontId="5" type="noConversion"/>
  </si>
  <si>
    <r>
      <rPr>
        <sz val="11"/>
        <color indexed="8"/>
        <rFont val="楷体_GB2312"/>
        <family val="3"/>
        <charset val="134"/>
      </rPr>
      <t>是</t>
    </r>
    <phoneticPr fontId="11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</si>
  <si>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</si>
  <si>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5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</si>
  <si>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1" type="noConversion"/>
  </si>
  <si>
    <r>
      <rPr>
        <sz val="11"/>
        <color indexed="8"/>
        <rFont val="楷体_GB2312"/>
        <family val="3"/>
        <charset val="134"/>
      </rPr>
      <t>否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</si>
  <si>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</si>
  <si>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</si>
  <si>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</si>
  <si>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非经营性</t>
    </r>
    <phoneticPr fontId="11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</si>
  <si>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</si>
  <si>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5" type="noConversion"/>
  </si>
  <si>
    <r>
      <rPr>
        <sz val="11"/>
        <color indexed="8"/>
        <rFont val="楷体_GB2312"/>
        <family val="3"/>
        <charset val="134"/>
      </rPr>
      <t>楼面地价</t>
    </r>
    <phoneticPr fontId="11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</si>
  <si>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</si>
  <si>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5" type="noConversion"/>
  </si>
  <si>
    <r>
      <rPr>
        <sz val="11"/>
        <color indexed="8"/>
        <rFont val="楷体_GB2312"/>
        <family val="3"/>
        <charset val="134"/>
      </rPr>
      <t>工业</t>
    </r>
    <phoneticPr fontId="11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</si>
  <si>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</si>
  <si>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</si>
  <si>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5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</si>
  <si>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</si>
  <si>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</si>
  <si>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</si>
  <si>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1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</si>
  <si>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</si>
  <si>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估价方法</t>
    </r>
    <phoneticPr fontId="11" type="noConversion"/>
  </si>
  <si>
    <r>
      <rPr>
        <sz val="11"/>
        <color indexed="8"/>
        <rFont val="楷体_GB2312"/>
        <family val="3"/>
        <charset val="134"/>
      </rPr>
      <t>判定</t>
    </r>
    <phoneticPr fontId="11" type="noConversion"/>
  </si>
  <si>
    <r>
      <rPr>
        <sz val="11"/>
        <color indexed="8"/>
        <rFont val="楷体_GB2312"/>
        <family val="3"/>
        <charset val="134"/>
      </rPr>
      <t>位置</t>
    </r>
    <phoneticPr fontId="11" type="noConversion"/>
  </si>
  <si>
    <r>
      <rPr>
        <sz val="11"/>
        <color indexed="8"/>
        <rFont val="楷体_GB2312"/>
        <family val="3"/>
        <charset val="134"/>
      </rPr>
      <t>主用途</t>
    </r>
    <phoneticPr fontId="11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</si>
  <si>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1" type="noConversion"/>
  </si>
  <si>
    <r>
      <rPr>
        <sz val="11"/>
        <color indexed="8"/>
        <rFont val="楷体_GB2312"/>
        <family val="3"/>
        <charset val="134"/>
      </rPr>
      <t>地类判定</t>
    </r>
    <phoneticPr fontId="11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</si>
  <si>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1" type="noConversion"/>
  </si>
  <si>
    <r>
      <rPr>
        <sz val="11"/>
        <color indexed="8"/>
        <rFont val="楷体_GB2312"/>
        <family val="3"/>
        <charset val="134"/>
      </rPr>
      <t>类别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</si>
  <si>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1" type="noConversion"/>
  </si>
  <si>
    <r>
      <rPr>
        <sz val="11"/>
        <color indexed="8"/>
        <rFont val="楷体_GB2312"/>
        <family val="3"/>
        <charset val="134"/>
      </rPr>
      <t>商业繁华度</t>
    </r>
    <phoneticPr fontId="1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</si>
  <si>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1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</si>
  <si>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1" type="noConversion"/>
  </si>
  <si>
    <r>
      <rPr>
        <sz val="11"/>
        <color indexed="8"/>
        <rFont val="楷体_GB2312"/>
        <family val="3"/>
        <charset val="134"/>
      </rPr>
      <t>交通便捷度</t>
    </r>
    <phoneticPr fontId="11" type="noConversion"/>
  </si>
  <si>
    <r>
      <rPr>
        <sz val="11"/>
        <color indexed="8"/>
        <rFont val="楷体_GB2312"/>
        <family val="3"/>
        <charset val="134"/>
      </rPr>
      <t>环境质量</t>
    </r>
    <phoneticPr fontId="11" type="noConversion"/>
  </si>
  <si>
    <r>
      <rPr>
        <sz val="11"/>
        <color indexed="8"/>
        <rFont val="楷体_GB2312"/>
        <family val="3"/>
        <charset val="134"/>
      </rPr>
      <t>临街状况</t>
    </r>
    <phoneticPr fontId="45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</si>
  <si>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1" type="noConversion"/>
  </si>
  <si>
    <r>
      <rPr>
        <sz val="11"/>
        <color indexed="8"/>
        <rFont val="楷体_GB2312"/>
        <family val="3"/>
        <charset val="134"/>
      </rPr>
      <t>单价内涵</t>
    </r>
    <phoneticPr fontId="11" type="noConversion"/>
  </si>
  <si>
    <r>
      <rPr>
        <sz val="11"/>
        <color indexed="8"/>
        <rFont val="楷体_GB2312"/>
        <family val="3"/>
        <charset val="134"/>
      </rPr>
      <t>地上</t>
    </r>
    <phoneticPr fontId="11" type="noConversion"/>
  </si>
  <si>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</si>
  <si>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</si>
  <si>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经营性</t>
    </r>
    <phoneticPr fontId="11" type="noConversion"/>
  </si>
  <si>
    <r>
      <rPr>
        <sz val="11"/>
        <color indexed="8"/>
        <rFont val="楷体_GB2312"/>
        <family val="3"/>
        <charset val="134"/>
      </rPr>
      <t>地下</t>
    </r>
    <phoneticPr fontId="11" type="noConversion"/>
  </si>
  <si>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</si>
  <si>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</si>
  <si>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1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</si>
  <si>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1" type="noConversion"/>
  </si>
  <si>
    <r>
      <rPr>
        <sz val="11"/>
        <color indexed="8"/>
        <rFont val="楷体_GB2312"/>
        <family val="3"/>
        <charset val="134"/>
      </rPr>
      <t>仓储</t>
    </r>
    <phoneticPr fontId="11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</si>
  <si>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</si>
  <si>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2" type="noConversion"/>
  </si>
  <si>
    <r>
      <rPr>
        <b/>
        <sz val="12"/>
        <rFont val="楷体_GB2312"/>
        <family val="3"/>
        <charset val="134"/>
      </rPr>
      <t>楼面单价</t>
    </r>
    <phoneticPr fontId="12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</si>
  <si>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4" type="noConversion"/>
  </si>
  <si>
    <r>
      <rPr>
        <b/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</si>
  <si>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rFont val="楷体_GB2312"/>
        <family val="3"/>
        <charset val="134"/>
      </rPr>
      <t>估价对象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</si>
  <si>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</si>
  <si>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4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</si>
  <si>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4" type="noConversion"/>
  </si>
  <si>
    <r>
      <rPr>
        <sz val="11"/>
        <color indexed="8"/>
        <rFont val="楷体_GB2312"/>
        <family val="3"/>
        <charset val="134"/>
      </rPr>
      <t>修正幅度</t>
    </r>
    <phoneticPr fontId="4" type="noConversion"/>
  </si>
  <si>
    <r>
      <rPr>
        <sz val="11"/>
        <rFont val="楷体_GB2312"/>
        <family val="3"/>
        <charset val="134"/>
      </rPr>
      <t>比较因素</t>
    </r>
    <phoneticPr fontId="4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</si>
  <si>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</si>
  <si>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</si>
  <si>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sz val="11"/>
        <color indexed="8"/>
        <rFont val="楷体_GB2312"/>
        <family val="3"/>
        <charset val="134"/>
      </rPr>
      <t>交易时间</t>
    </r>
    <phoneticPr fontId="4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</si>
  <si>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</si>
  <si>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</si>
  <si>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</si>
  <si>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</si>
  <si>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4" type="noConversion"/>
  </si>
  <si>
    <r>
      <rPr>
        <sz val="11"/>
        <color indexed="8"/>
        <rFont val="楷体_GB2312"/>
        <family val="3"/>
        <charset val="134"/>
      </rPr>
      <t>容积率</t>
    </r>
    <phoneticPr fontId="4" type="noConversion"/>
  </si>
  <si>
    <r>
      <rPr>
        <b/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</si>
  <si>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区位状况</t>
    </r>
    <phoneticPr fontId="4" type="noConversion"/>
  </si>
  <si>
    <r>
      <rPr>
        <sz val="11"/>
        <rFont val="楷体_GB2312"/>
        <family val="3"/>
        <charset val="134"/>
      </rPr>
      <t>实物状况</t>
    </r>
    <phoneticPr fontId="4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</si>
  <si>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4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</si>
  <si>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</si>
  <si>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4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</si>
  <si>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4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</si>
  <si>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4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</si>
  <si>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4" type="noConversion"/>
  </si>
  <si>
    <r>
      <rPr>
        <sz val="11"/>
        <color indexed="8"/>
        <rFont val="楷体_GB2312"/>
        <family val="3"/>
        <charset val="134"/>
      </rPr>
      <t>正常</t>
    </r>
    <phoneticPr fontId="24" type="noConversion"/>
  </si>
  <si>
    <r>
      <rPr>
        <b/>
        <sz val="11"/>
        <rFont val="楷体_GB2312"/>
        <family val="3"/>
        <charset val="134"/>
      </rPr>
      <t>权益状况</t>
    </r>
    <phoneticPr fontId="4" type="noConversion"/>
  </si>
  <si>
    <r>
      <rPr>
        <sz val="11"/>
        <color indexed="8"/>
        <rFont val="楷体_GB2312"/>
        <family val="3"/>
        <charset val="134"/>
      </rPr>
      <t>用途</t>
    </r>
    <phoneticPr fontId="4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</si>
  <si>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4" type="noConversion"/>
  </si>
  <si>
    <r>
      <rPr>
        <sz val="11"/>
        <color indexed="8"/>
        <rFont val="楷体_GB2312"/>
        <family val="3"/>
        <charset val="134"/>
      </rPr>
      <t>好</t>
    </r>
    <phoneticPr fontId="4" type="noConversion"/>
  </si>
  <si>
    <r>
      <rPr>
        <sz val="11"/>
        <color indexed="8"/>
        <rFont val="楷体_GB2312"/>
        <family val="3"/>
        <charset val="134"/>
      </rPr>
      <t>较好</t>
    </r>
    <phoneticPr fontId="4" type="noConversion"/>
  </si>
  <si>
    <r>
      <rPr>
        <sz val="11"/>
        <color indexed="8"/>
        <rFont val="楷体_GB2312"/>
        <family val="3"/>
        <charset val="134"/>
      </rPr>
      <t>一般</t>
    </r>
    <phoneticPr fontId="4" type="noConversion"/>
  </si>
  <si>
    <r>
      <rPr>
        <sz val="11"/>
        <color indexed="8"/>
        <rFont val="楷体_GB2312"/>
        <family val="3"/>
        <charset val="134"/>
      </rPr>
      <t>较差</t>
    </r>
    <phoneticPr fontId="4" type="noConversion"/>
  </si>
  <si>
    <r>
      <rPr>
        <sz val="11"/>
        <color indexed="8"/>
        <rFont val="楷体_GB2312"/>
        <family val="3"/>
        <charset val="134"/>
      </rPr>
      <t>差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</si>
  <si>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4" type="noConversion"/>
  </si>
  <si>
    <r>
      <rPr>
        <sz val="11"/>
        <color indexed="8"/>
        <rFont val="楷体_GB2312"/>
        <family val="3"/>
        <charset val="134"/>
      </rPr>
      <t>交易情况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</si>
  <si>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33" type="noConversion"/>
  </si>
  <si>
    <r>
      <rPr>
        <sz val="11"/>
        <color indexed="8"/>
        <rFont val="楷体_GB2312"/>
        <family val="3"/>
        <charset val="134"/>
      </rPr>
      <t>临街状况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</si>
  <si>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3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</si>
  <si>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3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</si>
  <si>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4" type="noConversion"/>
  </si>
  <si>
    <r>
      <rPr>
        <sz val="11"/>
        <color indexed="8"/>
        <rFont val="楷体_GB2312"/>
        <family val="3"/>
        <charset val="134"/>
      </rPr>
      <t>交通便捷度</t>
    </r>
    <phoneticPr fontId="33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</si>
  <si>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4" type="noConversion"/>
  </si>
  <si>
    <r>
      <rPr>
        <b/>
        <sz val="16"/>
        <rFont val="楷体_GB2312"/>
        <family val="3"/>
        <charset val="134"/>
      </rPr>
      <t>住宅、综合</t>
    </r>
    <phoneticPr fontId="3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</si>
  <si>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</si>
  <si>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3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</si>
  <si>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3" type="noConversion"/>
  </si>
  <si>
    <r>
      <rPr>
        <sz val="11"/>
        <color indexed="8"/>
        <rFont val="楷体_GB2312"/>
        <family val="3"/>
        <charset val="134"/>
      </rPr>
      <t>土地级别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</si>
  <si>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33" type="noConversion"/>
  </si>
  <si>
    <r>
      <rPr>
        <sz val="11"/>
        <color indexed="8"/>
        <rFont val="楷体_GB2312"/>
        <family val="3"/>
        <charset val="134"/>
      </rPr>
      <t>宗地形状</t>
    </r>
    <phoneticPr fontId="3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</si>
  <si>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</si>
  <si>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</si>
  <si>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3" type="noConversion"/>
  </si>
  <si>
    <r>
      <rPr>
        <b/>
        <sz val="11"/>
        <rFont val="楷体_GB2312"/>
        <family val="3"/>
        <charset val="134"/>
      </rPr>
      <t>成交单价</t>
    </r>
    <phoneticPr fontId="4" type="noConversion"/>
  </si>
  <si>
    <r>
      <rPr>
        <sz val="11"/>
        <color indexed="8"/>
        <rFont val="楷体_GB2312"/>
        <family val="3"/>
        <charset val="134"/>
      </rPr>
      <t>商业繁华度</t>
    </r>
    <phoneticPr fontId="4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</si>
  <si>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4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</si>
  <si>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4" type="noConversion"/>
  </si>
  <si>
    <r>
      <rPr>
        <sz val="11"/>
        <rFont val="楷体_GB2312"/>
        <family val="3"/>
        <charset val="134"/>
      </rPr>
      <t>多面临街</t>
    </r>
    <phoneticPr fontId="33" type="noConversion"/>
  </si>
  <si>
    <r>
      <rPr>
        <sz val="11"/>
        <rFont val="楷体_GB2312"/>
        <family val="3"/>
        <charset val="134"/>
      </rPr>
      <t>双面临街</t>
    </r>
    <phoneticPr fontId="33" type="noConversion"/>
  </si>
  <si>
    <r>
      <rPr>
        <sz val="11"/>
        <rFont val="楷体_GB2312"/>
        <family val="3"/>
        <charset val="134"/>
      </rPr>
      <t>单面临街</t>
    </r>
    <phoneticPr fontId="33" type="noConversion"/>
  </si>
  <si>
    <r>
      <rPr>
        <sz val="11"/>
        <rFont val="楷体_GB2312"/>
        <family val="3"/>
        <charset val="134"/>
      </rPr>
      <t>不临街</t>
    </r>
    <phoneticPr fontId="33" type="noConversion"/>
  </si>
  <si>
    <r>
      <rPr>
        <sz val="11"/>
        <color indexed="8"/>
        <rFont val="楷体_GB2312"/>
        <family val="3"/>
        <charset val="134"/>
      </rPr>
      <t>宗地面积</t>
    </r>
    <phoneticPr fontId="4" type="noConversion"/>
  </si>
  <si>
    <r>
      <rPr>
        <sz val="11"/>
        <color indexed="8"/>
        <rFont val="楷体_GB2312"/>
        <family val="3"/>
        <charset val="134"/>
      </rPr>
      <t>宗地形状</t>
    </r>
    <phoneticPr fontId="4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</si>
  <si>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4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</si>
  <si>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4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</si>
  <si>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4" type="noConversion"/>
  </si>
  <si>
    <t>用途类型</t>
    <phoneticPr fontId="11" type="noConversion"/>
  </si>
  <si>
    <t>红色字体</t>
    <phoneticPr fontId="38" type="noConversion"/>
  </si>
  <si>
    <t>下拉菜单</t>
  </si>
  <si>
    <t>错误提示</t>
    <phoneticPr fontId="38" type="noConversion"/>
  </si>
  <si>
    <t>特别提示</t>
    <phoneticPr fontId="38" type="noConversion"/>
  </si>
  <si>
    <t>需要新增方法表时，请右键点击所选方法标签，选择‘移动或复制’，勾选建立副本，以保证公示链接无误</t>
    <phoneticPr fontId="38" type="noConversion"/>
  </si>
  <si>
    <t>录入项</t>
    <phoneticPr fontId="4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</si>
  <si>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</si>
  <si>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</si>
  <si>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8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</si>
  <si>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8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</si>
  <si>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8" type="noConversion"/>
  </si>
  <si>
    <r>
      <rPr>
        <sz val="11"/>
        <color indexed="8"/>
        <rFont val="楷体_GB2312"/>
        <family val="3"/>
        <charset val="134"/>
      </rPr>
      <t>基础表</t>
    </r>
    <phoneticPr fontId="4" type="noConversion"/>
  </si>
  <si>
    <r>
      <rPr>
        <sz val="11"/>
        <color indexed="8"/>
        <rFont val="楷体_GB2312"/>
        <family val="3"/>
        <charset val="134"/>
      </rPr>
      <t>房地状况</t>
    </r>
    <phoneticPr fontId="4" type="noConversion"/>
  </si>
  <si>
    <r>
      <rPr>
        <sz val="11"/>
        <color indexed="8"/>
        <rFont val="楷体_GB2312"/>
        <family val="3"/>
        <charset val="134"/>
      </rPr>
      <t>结果表</t>
    </r>
    <phoneticPr fontId="4" type="noConversion"/>
  </si>
  <si>
    <r>
      <rPr>
        <sz val="11"/>
        <color indexed="8"/>
        <rFont val="楷体_GB2312"/>
        <family val="3"/>
        <charset val="134"/>
      </rPr>
      <t>方法</t>
    </r>
    <phoneticPr fontId="4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</si>
  <si>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8" type="noConversion"/>
  </si>
  <si>
    <r>
      <rPr>
        <sz val="11"/>
        <color indexed="8"/>
        <rFont val="楷体_GB2312"/>
        <family val="3"/>
        <charset val="134"/>
      </rPr>
      <t>土地-工业</t>
    </r>
    <phoneticPr fontId="38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</si>
  <si>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8" type="noConversion"/>
  </si>
  <si>
    <r>
      <rPr>
        <sz val="11"/>
        <color indexed="8"/>
        <rFont val="楷体_GB2312"/>
        <family val="3"/>
        <charset val="134"/>
      </rPr>
      <t>平层住宅</t>
    </r>
    <phoneticPr fontId="11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</si>
  <si>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1" type="noConversion"/>
  </si>
  <si>
    <r>
      <rPr>
        <sz val="11"/>
        <color indexed="8"/>
        <rFont val="楷体_GB2312"/>
        <family val="3"/>
        <charset val="134"/>
      </rPr>
      <t>普通住宅</t>
    </r>
    <phoneticPr fontId="11" type="noConversion"/>
  </si>
  <si>
    <r>
      <rPr>
        <sz val="11"/>
        <color indexed="8"/>
        <rFont val="楷体_GB2312"/>
        <family val="3"/>
        <charset val="134"/>
      </rPr>
      <t>公寓</t>
    </r>
    <phoneticPr fontId="11" type="noConversion"/>
  </si>
  <si>
    <r>
      <rPr>
        <sz val="11"/>
        <color indexed="8"/>
        <rFont val="楷体_GB2312"/>
        <family val="3"/>
        <charset val="134"/>
      </rPr>
      <t>洋房</t>
    </r>
    <phoneticPr fontId="11" type="noConversion"/>
  </si>
  <si>
    <r>
      <rPr>
        <sz val="11"/>
        <color indexed="8"/>
        <rFont val="楷体_GB2312"/>
        <family val="3"/>
        <charset val="134"/>
      </rPr>
      <t>叠拼</t>
    </r>
    <phoneticPr fontId="11" type="noConversion"/>
  </si>
  <si>
    <r>
      <rPr>
        <sz val="11"/>
        <color indexed="8"/>
        <rFont val="楷体_GB2312"/>
        <family val="3"/>
        <charset val="134"/>
      </rPr>
      <t>联排</t>
    </r>
    <phoneticPr fontId="11" type="noConversion"/>
  </si>
  <si>
    <r>
      <rPr>
        <sz val="11"/>
        <color indexed="8"/>
        <rFont val="楷体_GB2312"/>
        <family val="3"/>
        <charset val="134"/>
      </rPr>
      <t>双拼</t>
    </r>
    <phoneticPr fontId="11" type="noConversion"/>
  </si>
  <si>
    <r>
      <rPr>
        <sz val="11"/>
        <color indexed="8"/>
        <rFont val="楷体_GB2312"/>
        <family val="3"/>
        <charset val="134"/>
      </rPr>
      <t>独栋</t>
    </r>
    <phoneticPr fontId="11" type="noConversion"/>
  </si>
  <si>
    <r>
      <rPr>
        <sz val="11"/>
        <color indexed="8"/>
        <rFont val="楷体_GB2312"/>
        <family val="3"/>
        <charset val="134"/>
      </rPr>
      <t>底商</t>
    </r>
    <phoneticPr fontId="11" type="noConversion"/>
  </si>
  <si>
    <r>
      <rPr>
        <sz val="11"/>
        <color indexed="8"/>
        <rFont val="楷体_GB2312"/>
        <family val="3"/>
        <charset val="134"/>
      </rPr>
      <t>独立商业</t>
    </r>
    <phoneticPr fontId="11" type="noConversion"/>
  </si>
  <si>
    <r>
      <rPr>
        <sz val="11"/>
        <color indexed="8"/>
        <rFont val="楷体_GB2312"/>
        <family val="3"/>
        <charset val="134"/>
      </rPr>
      <t>商业街</t>
    </r>
    <phoneticPr fontId="11" type="noConversion"/>
  </si>
  <si>
    <r>
      <rPr>
        <sz val="11"/>
        <color indexed="8"/>
        <rFont val="楷体_GB2312"/>
        <family val="3"/>
        <charset val="134"/>
      </rPr>
      <t>酒店</t>
    </r>
    <phoneticPr fontId="11" type="noConversion"/>
  </si>
  <si>
    <r>
      <rPr>
        <sz val="11"/>
        <color indexed="8"/>
        <rFont val="楷体_GB2312"/>
        <family val="3"/>
        <charset val="134"/>
      </rPr>
      <t>标准厂房</t>
    </r>
    <phoneticPr fontId="11" type="noConversion"/>
  </si>
  <si>
    <r>
      <rPr>
        <sz val="11"/>
        <color indexed="8"/>
        <rFont val="楷体_GB2312"/>
        <family val="3"/>
        <charset val="134"/>
      </rPr>
      <t>特殊厂房</t>
    </r>
    <phoneticPr fontId="11" type="noConversion"/>
  </si>
  <si>
    <r>
      <rPr>
        <sz val="11"/>
        <color indexed="8"/>
        <rFont val="楷体_GB2312"/>
        <family val="3"/>
        <charset val="134"/>
      </rPr>
      <t>办公楼</t>
    </r>
    <phoneticPr fontId="11" type="noConversion"/>
  </si>
  <si>
    <r>
      <rPr>
        <sz val="11"/>
        <color indexed="8"/>
        <rFont val="楷体_GB2312"/>
        <family val="3"/>
        <charset val="134"/>
      </rPr>
      <t>宿舍</t>
    </r>
    <phoneticPr fontId="11" type="noConversion"/>
  </si>
  <si>
    <r>
      <rPr>
        <sz val="11"/>
        <color indexed="8"/>
        <rFont val="楷体_GB2312"/>
        <family val="3"/>
        <charset val="134"/>
      </rPr>
      <t>食堂</t>
    </r>
    <phoneticPr fontId="11" type="noConversion"/>
  </si>
  <si>
    <r>
      <rPr>
        <sz val="11"/>
        <color indexed="8"/>
        <rFont val="楷体_GB2312"/>
        <family val="3"/>
        <charset val="134"/>
      </rPr>
      <t>车库</t>
    </r>
    <phoneticPr fontId="11" type="noConversion"/>
  </si>
  <si>
    <r>
      <rPr>
        <sz val="11"/>
        <color indexed="8"/>
        <rFont val="楷体_GB2312"/>
        <family val="3"/>
        <charset val="134"/>
      </rPr>
      <t>戊类库房</t>
    </r>
    <phoneticPr fontId="11" type="noConversion"/>
  </si>
  <si>
    <r>
      <rPr>
        <sz val="11"/>
        <color indexed="8"/>
        <rFont val="楷体_GB2312"/>
        <family val="3"/>
        <charset val="134"/>
      </rPr>
      <t>燃品库房</t>
    </r>
    <phoneticPr fontId="11" type="noConversion"/>
  </si>
  <si>
    <r>
      <rPr>
        <sz val="11"/>
        <color indexed="8"/>
        <rFont val="楷体_GB2312"/>
        <family val="3"/>
        <charset val="134"/>
      </rPr>
      <t>非燃品库房</t>
    </r>
    <phoneticPr fontId="11" type="noConversion"/>
  </si>
  <si>
    <r>
      <rPr>
        <sz val="11"/>
        <color indexed="8"/>
        <rFont val="楷体_GB2312"/>
        <family val="3"/>
        <charset val="134"/>
      </rPr>
      <t>限价商品房</t>
    </r>
    <phoneticPr fontId="44" type="noConversion"/>
  </si>
  <si>
    <r>
      <rPr>
        <sz val="11"/>
        <color indexed="8"/>
        <rFont val="楷体_GB2312"/>
        <family val="3"/>
        <charset val="134"/>
      </rPr>
      <t>自住商品房</t>
    </r>
    <phoneticPr fontId="44" type="noConversion"/>
  </si>
  <si>
    <t>地类判定</t>
    <phoneticPr fontId="4" type="noConversion"/>
  </si>
  <si>
    <t>终止日期</t>
    <phoneticPr fontId="4" type="noConversion"/>
  </si>
  <si>
    <t>剩余土地使用年限</t>
    <phoneticPr fontId="4" type="noConversion"/>
  </si>
  <si>
    <t>年期修正系数</t>
    <phoneticPr fontId="4" type="noConversion"/>
  </si>
  <si>
    <t>估价对象周边道路状况、公共交通通达情况、停车便捷程度，综合评价交通便捷度较好</t>
    <phoneticPr fontId="44" type="noConversion"/>
  </si>
  <si>
    <t>环境状况</t>
    <phoneticPr fontId="30" type="noConversion"/>
  </si>
  <si>
    <t>该园区内无污染型企业，绿化较好，卫生条件良好，整体环境状况较好</t>
    <phoneticPr fontId="44" type="noConversion"/>
  </si>
  <si>
    <t>区域自然环境：；人文环境；综合评价环境状况一般</t>
    <phoneticPr fontId="44" type="noConversion"/>
  </si>
  <si>
    <t>土地修正因素</t>
    <phoneticPr fontId="4" type="noConversion"/>
  </si>
  <si>
    <t>住宅、办公及商业</t>
    <phoneticPr fontId="29" type="noConversion"/>
  </si>
  <si>
    <t>工业</t>
    <phoneticPr fontId="29" type="noConversion"/>
  </si>
  <si>
    <t>区位状况</t>
    <phoneticPr fontId="30" type="noConversion"/>
  </si>
  <si>
    <t>区位状况</t>
    <phoneticPr fontId="24" type="noConversion"/>
  </si>
  <si>
    <t>产业集聚程度</t>
    <phoneticPr fontId="30" type="noConversion"/>
  </si>
  <si>
    <t>商业繁华度</t>
    <phoneticPr fontId="30" type="noConversion"/>
  </si>
  <si>
    <t>交通便捷度</t>
    <phoneticPr fontId="30" type="noConversion"/>
  </si>
  <si>
    <t>办公集聚程度</t>
    <phoneticPr fontId="30" type="noConversion"/>
  </si>
  <si>
    <t>区域土地利用方向</t>
    <phoneticPr fontId="30" type="noConversion"/>
  </si>
  <si>
    <t>毗邻道路的类型与等级</t>
    <phoneticPr fontId="30" type="noConversion"/>
  </si>
  <si>
    <t>土地级别</t>
    <phoneticPr fontId="30" type="noConversion"/>
  </si>
  <si>
    <t>估价对象周边居住用地比例、居住小区规模和社区发展完善程度，综合评价居住社区成熟度一般</t>
    <phoneticPr fontId="44" type="noConversion"/>
  </si>
  <si>
    <t>估价对象位于XX商圈，周边商业氛围成熟，人流量大，商业繁华度好</t>
    <phoneticPr fontId="24" type="noConversion"/>
  </si>
  <si>
    <t>估价对象周边道路状况、公共交通通达情况、停车便捷程度，综合评价交通便捷度较好</t>
    <phoneticPr fontId="44" type="noConversion"/>
  </si>
  <si>
    <t>估价对象位于XX商圈，周边办公楼项目较多，入驻率高，办公集聚程度较好</t>
    <phoneticPr fontId="24" type="noConversion"/>
  </si>
  <si>
    <t>测算中的特殊事项处理</t>
    <phoneticPr fontId="5" type="noConversion"/>
  </si>
  <si>
    <t xml:space="preserve">测算人员：      </t>
    <phoneticPr fontId="4" type="noConversion"/>
  </si>
  <si>
    <t xml:space="preserve"> 日期：  年  月  日</t>
    <phoneticPr fontId="5" type="noConversion"/>
  </si>
  <si>
    <t xml:space="preserve">初审意见：      </t>
    <phoneticPr fontId="4" type="noConversion"/>
  </si>
  <si>
    <t>签字：                    日期：  年  月  日</t>
    <phoneticPr fontId="5" type="noConversion"/>
  </si>
  <si>
    <t xml:space="preserve">终审意见：      </t>
    <phoneticPr fontId="4" type="noConversion"/>
  </si>
  <si>
    <t>工业</t>
    <phoneticPr fontId="4" type="noConversion"/>
  </si>
  <si>
    <t>估价对象名称</t>
    <phoneticPr fontId="4" type="noConversion"/>
  </si>
  <si>
    <t>案例A名称</t>
    <phoneticPr fontId="4" type="noConversion"/>
  </si>
  <si>
    <t>案例C名称</t>
    <phoneticPr fontId="4" type="noConversion"/>
  </si>
  <si>
    <t>项目位置</t>
    <phoneticPr fontId="4" type="noConversion"/>
  </si>
  <si>
    <t>案例B名称</t>
    <phoneticPr fontId="4" type="noConversion"/>
  </si>
  <si>
    <t>规则</t>
    <phoneticPr fontId="24" type="noConversion"/>
  </si>
  <si>
    <t>较规则</t>
    <phoneticPr fontId="24" type="noConversion"/>
  </si>
  <si>
    <t>较不规则</t>
    <phoneticPr fontId="33" type="noConversion"/>
  </si>
  <si>
    <t>不规则</t>
    <phoneticPr fontId="33" type="noConversion"/>
  </si>
  <si>
    <t>比例适宜</t>
    <phoneticPr fontId="4" type="noConversion"/>
  </si>
  <si>
    <t>比例较适宜</t>
    <phoneticPr fontId="4" type="noConversion"/>
  </si>
  <si>
    <t>比较较不适宜</t>
    <phoneticPr fontId="4" type="noConversion"/>
  </si>
  <si>
    <t>七通</t>
    <phoneticPr fontId="4" type="noConversion"/>
  </si>
  <si>
    <t>六通</t>
    <phoneticPr fontId="4" type="noConversion"/>
  </si>
  <si>
    <t>五通</t>
    <phoneticPr fontId="4" type="noConversion"/>
  </si>
  <si>
    <t>四通</t>
    <phoneticPr fontId="4" type="noConversion"/>
  </si>
  <si>
    <t>三通</t>
    <phoneticPr fontId="4" type="noConversion"/>
  </si>
  <si>
    <t>好</t>
    <phoneticPr fontId="4" type="noConversion"/>
  </si>
  <si>
    <t>较好</t>
    <phoneticPr fontId="4" type="noConversion"/>
  </si>
  <si>
    <t>一般</t>
    <phoneticPr fontId="33" type="noConversion"/>
  </si>
  <si>
    <t>较差</t>
    <phoneticPr fontId="33" type="noConversion"/>
  </si>
  <si>
    <t>差</t>
    <phoneticPr fontId="33" type="noConversion"/>
  </si>
  <si>
    <t>锁定项</t>
    <phoneticPr fontId="4" type="noConversion"/>
  </si>
  <si>
    <t>定义</t>
    <phoneticPr fontId="4" type="noConversion"/>
  </si>
  <si>
    <t>四级</t>
  </si>
  <si>
    <t>Ⅱ—03</t>
  </si>
  <si>
    <t>用途类别</t>
    <phoneticPr fontId="4" type="noConversion"/>
  </si>
  <si>
    <t>楼层</t>
    <phoneticPr fontId="4" type="noConversion"/>
  </si>
  <si>
    <t>（地上）</t>
    <phoneticPr fontId="4" type="noConversion"/>
  </si>
  <si>
    <t>A1</t>
    <phoneticPr fontId="4" type="noConversion"/>
  </si>
  <si>
    <t>A2</t>
  </si>
  <si>
    <t>A3</t>
  </si>
  <si>
    <t>A4</t>
  </si>
  <si>
    <t>轨道交通站点周边</t>
    <phoneticPr fontId="4" type="noConversion"/>
  </si>
  <si>
    <t>500米范围内</t>
  </si>
  <si>
    <t>基准期日</t>
    <phoneticPr fontId="4" type="noConversion"/>
  </si>
  <si>
    <t>估价期日</t>
    <phoneticPr fontId="4" type="noConversion"/>
  </si>
  <si>
    <t>季度</t>
    <phoneticPr fontId="4" type="noConversion"/>
  </si>
  <si>
    <t>自定义</t>
    <phoneticPr fontId="4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</si>
  <si>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</si>
  <si>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</si>
  <si>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</si>
  <si>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</si>
  <si>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</si>
  <si>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</si>
  <si>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</si>
  <si>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</si>
  <si>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</si>
  <si>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</si>
  <si>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</si>
  <si>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</si>
  <si>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</si>
  <si>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</si>
  <si>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4" type="noConversion"/>
  </si>
  <si>
    <t>R&gt;10</t>
    <phoneticPr fontId="4" type="noConversion"/>
  </si>
  <si>
    <t>地下第1层商业</t>
    <phoneticPr fontId="4" type="noConversion"/>
  </si>
  <si>
    <t>地下第2层商业</t>
    <phoneticPr fontId="4" type="noConversion"/>
  </si>
  <si>
    <t>地下第3层商业</t>
    <phoneticPr fontId="4" type="noConversion"/>
  </si>
  <si>
    <t>地下第4层商业</t>
    <phoneticPr fontId="4" type="noConversion"/>
  </si>
  <si>
    <t>地下办公</t>
    <phoneticPr fontId="4" type="noConversion"/>
  </si>
  <si>
    <t>地下仓储</t>
    <phoneticPr fontId="4" type="noConversion"/>
  </si>
  <si>
    <t>地下车库</t>
    <phoneticPr fontId="4" type="noConversion"/>
  </si>
  <si>
    <t>北京市区片基准地价表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</si>
  <si>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</si>
  <si>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</si>
  <si>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</si>
  <si>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</si>
  <si>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</si>
  <si>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</si>
  <si>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</si>
  <si>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</si>
  <si>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</si>
  <si>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</si>
  <si>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</si>
  <si>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</si>
  <si>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基准日期：2014年1月1日                                                    单位：元/建筑平方米</t>
    <phoneticPr fontId="4" type="noConversion"/>
  </si>
  <si>
    <t>Ⅰ—01</t>
    <phoneticPr fontId="4" type="noConversion"/>
  </si>
  <si>
    <t>Ⅱ—01</t>
    <phoneticPr fontId="4" type="noConversion"/>
  </si>
  <si>
    <t>Ⅲ—01</t>
    <phoneticPr fontId="4" type="noConversion"/>
  </si>
  <si>
    <t>Ⅳ-01</t>
    <phoneticPr fontId="4" type="noConversion"/>
  </si>
  <si>
    <t>Ⅴ-01</t>
    <phoneticPr fontId="4" type="noConversion"/>
  </si>
  <si>
    <t>Ⅵ-01</t>
    <phoneticPr fontId="4" type="noConversion"/>
  </si>
  <si>
    <t>Ⅶ-01</t>
    <phoneticPr fontId="4" type="noConversion"/>
  </si>
  <si>
    <t>Ⅷ-01</t>
    <phoneticPr fontId="4" type="noConversion"/>
  </si>
  <si>
    <t>Ⅸ-01</t>
    <phoneticPr fontId="4" type="noConversion"/>
  </si>
  <si>
    <t>Ⅹ-01</t>
    <phoneticPr fontId="4" type="noConversion"/>
  </si>
  <si>
    <t>Ⅺ-门1</t>
    <phoneticPr fontId="4" type="noConversion"/>
  </si>
  <si>
    <t>Ⅻ-门1</t>
    <phoneticPr fontId="4" type="noConversion"/>
  </si>
  <si>
    <t>级别</t>
    <phoneticPr fontId="4" type="noConversion"/>
  </si>
  <si>
    <t>商业</t>
    <phoneticPr fontId="4" type="noConversion"/>
  </si>
  <si>
    <t>工业</t>
    <phoneticPr fontId="4" type="noConversion"/>
  </si>
  <si>
    <t>Ⅰ—02</t>
    <phoneticPr fontId="4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</si>
  <si>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</si>
  <si>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</si>
  <si>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</si>
  <si>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</si>
  <si>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</si>
  <si>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</si>
  <si>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</si>
  <si>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</si>
  <si>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</si>
  <si>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4" type="noConversion"/>
  </si>
  <si>
    <t>Ⅻ-房1</t>
    <phoneticPr fontId="4" type="noConversion"/>
  </si>
  <si>
    <t>区片编号</t>
    <phoneticPr fontId="4" type="noConversion"/>
  </si>
  <si>
    <t>区片价格</t>
    <phoneticPr fontId="4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</si>
  <si>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</si>
  <si>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</si>
  <si>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</si>
  <si>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</si>
  <si>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</si>
  <si>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</si>
  <si>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</si>
  <si>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4" type="noConversion"/>
  </si>
  <si>
    <t>Ⅹ-门1</t>
    <phoneticPr fontId="4" type="noConversion"/>
  </si>
  <si>
    <t>Ⅺ-房1</t>
    <phoneticPr fontId="4" type="noConversion"/>
  </si>
  <si>
    <t>Ⅻ-昌1</t>
    <phoneticPr fontId="4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</si>
  <si>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</si>
  <si>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</si>
  <si>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</si>
  <si>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</si>
  <si>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</si>
  <si>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</si>
  <si>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</si>
  <si>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</si>
  <si>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</si>
  <si>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4" type="noConversion"/>
  </si>
  <si>
    <t>Ⅹ-房1</t>
    <phoneticPr fontId="4" type="noConversion"/>
  </si>
  <si>
    <t>Ⅺ-房2</t>
  </si>
  <si>
    <t>Ⅻ-平1</t>
    <phoneticPr fontId="4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</si>
  <si>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</si>
  <si>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</si>
  <si>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</si>
  <si>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</si>
  <si>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</si>
  <si>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</si>
  <si>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</si>
  <si>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4" type="noConversion"/>
  </si>
  <si>
    <t>Ⅸ-门潭</t>
    <phoneticPr fontId="4" type="noConversion"/>
  </si>
  <si>
    <t>Ⅹ-房2</t>
  </si>
  <si>
    <t>Ⅺ-通1</t>
    <phoneticPr fontId="4" type="noConversion"/>
  </si>
  <si>
    <t>Ⅻ-怀1</t>
    <phoneticPr fontId="4" type="noConversion"/>
  </si>
  <si>
    <t>三级</t>
    <phoneticPr fontId="4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</si>
  <si>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</si>
  <si>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</si>
  <si>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</si>
  <si>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</si>
  <si>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</si>
  <si>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</si>
  <si>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4" type="noConversion"/>
  </si>
  <si>
    <t>Ⅸ-房1</t>
    <phoneticPr fontId="4" type="noConversion"/>
  </si>
  <si>
    <t>Ⅹ-通1</t>
    <phoneticPr fontId="4" type="noConversion"/>
  </si>
  <si>
    <t>Ⅺ-顺1</t>
    <phoneticPr fontId="4" type="noConversion"/>
  </si>
  <si>
    <t>Ⅻ-密1</t>
    <phoneticPr fontId="4" type="noConversion"/>
  </si>
  <si>
    <t>四级</t>
    <phoneticPr fontId="4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</si>
  <si>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</si>
  <si>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</si>
  <si>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</si>
  <si>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</si>
  <si>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</si>
  <si>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</si>
  <si>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4" type="noConversion"/>
  </si>
  <si>
    <t>Ⅸ-房2</t>
  </si>
  <si>
    <t>Ⅹ-顺1</t>
    <phoneticPr fontId="4" type="noConversion"/>
  </si>
  <si>
    <t>Ⅺ-兴1</t>
    <phoneticPr fontId="4" type="noConversion"/>
  </si>
  <si>
    <t>Ⅻ-延1</t>
    <phoneticPr fontId="4" type="noConversion"/>
  </si>
  <si>
    <t>五级</t>
    <phoneticPr fontId="4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</si>
  <si>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</si>
  <si>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</si>
  <si>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</si>
  <si>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</si>
  <si>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</si>
  <si>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</si>
  <si>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</si>
  <si>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</si>
  <si>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</si>
  <si>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4" type="noConversion"/>
  </si>
  <si>
    <t>二级</t>
  </si>
  <si>
    <t>Ⅱ—01</t>
    <phoneticPr fontId="4" type="noConversion"/>
  </si>
  <si>
    <t>六级</t>
    <phoneticPr fontId="4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</si>
  <si>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</si>
  <si>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</si>
  <si>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</si>
  <si>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</si>
  <si>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</si>
  <si>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</si>
  <si>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</si>
  <si>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</si>
  <si>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</si>
  <si>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4" type="noConversion"/>
  </si>
  <si>
    <t>七级</t>
    <phoneticPr fontId="4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</si>
  <si>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</si>
  <si>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</si>
  <si>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</si>
  <si>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</si>
  <si>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</si>
  <si>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</si>
  <si>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4" type="noConversion"/>
  </si>
  <si>
    <t>Ⅸ-房5</t>
  </si>
  <si>
    <t>Ⅹ-兴1</t>
    <phoneticPr fontId="4" type="noConversion"/>
  </si>
  <si>
    <t>Ⅺ-昌2</t>
  </si>
  <si>
    <t>八级</t>
    <phoneticPr fontId="4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</si>
  <si>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</si>
  <si>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</si>
  <si>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</si>
  <si>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</si>
  <si>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</si>
  <si>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</si>
  <si>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</si>
  <si>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</si>
  <si>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</si>
  <si>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4" type="noConversion"/>
  </si>
  <si>
    <t>九级</t>
    <phoneticPr fontId="4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</si>
  <si>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</si>
  <si>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</si>
  <si>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</si>
  <si>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</si>
  <si>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</si>
  <si>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</si>
  <si>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</si>
  <si>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4" type="noConversion"/>
  </si>
  <si>
    <t>Ⅹ-昌1</t>
    <phoneticPr fontId="4" type="noConversion"/>
  </si>
  <si>
    <t>Ⅺ-平2</t>
  </si>
  <si>
    <t>十级</t>
    <phoneticPr fontId="4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</si>
  <si>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</si>
  <si>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</si>
  <si>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</si>
  <si>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</si>
  <si>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</si>
  <si>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</si>
  <si>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4" type="noConversion"/>
  </si>
  <si>
    <t>Ⅸ-通2</t>
  </si>
  <si>
    <t>Ⅹ-昌2</t>
  </si>
  <si>
    <t>Ⅺ-平3</t>
  </si>
  <si>
    <t>十一级</t>
    <phoneticPr fontId="4" type="noConversion"/>
  </si>
  <si>
    <t>Ⅱ—14</t>
  </si>
  <si>
    <t>Ⅲ—14</t>
  </si>
  <si>
    <t>Ⅳ-14</t>
  </si>
  <si>
    <t>Ⅴ-14</t>
  </si>
  <si>
    <t>Ⅵ-14</t>
  </si>
  <si>
    <t>Ⅶ-门1</t>
    <phoneticPr fontId="4" type="noConversion"/>
  </si>
  <si>
    <t>Ⅷ-顺2</t>
  </si>
  <si>
    <t>Ⅸ-通3</t>
  </si>
  <si>
    <t>Ⅹ-昌3</t>
  </si>
  <si>
    <t>Ⅺ-平4</t>
  </si>
  <si>
    <t>十二级</t>
    <phoneticPr fontId="4" type="noConversion"/>
  </si>
  <si>
    <t>Ⅱ—15</t>
  </si>
  <si>
    <t>Ⅲ—15</t>
  </si>
  <si>
    <t>Ⅳ-15</t>
  </si>
  <si>
    <t>Ⅴ-15</t>
  </si>
  <si>
    <t>Ⅵ-15</t>
  </si>
  <si>
    <t>Ⅶ-房1</t>
    <phoneticPr fontId="4" type="noConversion"/>
  </si>
  <si>
    <t>Ⅷ-顺3</t>
    <phoneticPr fontId="4" type="noConversion"/>
  </si>
  <si>
    <t>Ⅸ-顺1</t>
    <phoneticPr fontId="4" type="noConversion"/>
  </si>
  <si>
    <t>Ⅹ-平1</t>
    <phoneticPr fontId="4" type="noConversion"/>
  </si>
  <si>
    <t>Ⅺ-怀1</t>
    <phoneticPr fontId="4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</si>
  <si>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</si>
  <si>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</si>
  <si>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</si>
  <si>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</si>
  <si>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</si>
  <si>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</si>
  <si>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</si>
  <si>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</si>
  <si>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</si>
  <si>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</si>
  <si>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</si>
  <si>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</si>
  <si>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</si>
  <si>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</si>
  <si>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</si>
  <si>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4" type="noConversion"/>
  </si>
  <si>
    <t>Ⅷ-顺5</t>
  </si>
  <si>
    <t>Ⅸ-顺3</t>
  </si>
  <si>
    <t>Ⅹ-怀1</t>
    <phoneticPr fontId="4" type="noConversion"/>
  </si>
  <si>
    <t>Ⅺ-密1</t>
    <phoneticPr fontId="4" type="noConversion"/>
  </si>
  <si>
    <t>Ⅱ—18</t>
  </si>
  <si>
    <t>Ⅲ—18</t>
  </si>
  <si>
    <t>Ⅳ-18</t>
  </si>
  <si>
    <t>Ⅴ-18</t>
  </si>
  <si>
    <t>Ⅵ-18</t>
  </si>
  <si>
    <t>Ⅶ-顺1</t>
    <phoneticPr fontId="4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</si>
  <si>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</si>
  <si>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</si>
  <si>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</si>
  <si>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</si>
  <si>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</si>
  <si>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</si>
  <si>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</si>
  <si>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</si>
  <si>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</si>
  <si>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</si>
  <si>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</si>
  <si>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4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</si>
  <si>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</si>
  <si>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</si>
  <si>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</si>
  <si>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</si>
  <si>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</si>
  <si>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</si>
  <si>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4" type="noConversion"/>
  </si>
  <si>
    <t>Ⅷ-兴1</t>
    <phoneticPr fontId="4" type="noConversion"/>
  </si>
  <si>
    <t>Ⅸ-兴2</t>
  </si>
  <si>
    <t>Ⅹ-密1</t>
    <phoneticPr fontId="4" type="noConversion"/>
  </si>
  <si>
    <t>Ⅺ-延1</t>
    <phoneticPr fontId="4" type="noConversion"/>
  </si>
  <si>
    <t>Ⅱ—13</t>
    <phoneticPr fontId="4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</si>
  <si>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</si>
  <si>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</si>
  <si>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</si>
  <si>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</si>
  <si>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</si>
  <si>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</si>
  <si>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4" type="noConversion"/>
  </si>
  <si>
    <t>Ⅺ-延2</t>
  </si>
  <si>
    <t>Ⅳ-22</t>
  </si>
  <si>
    <t>Ⅴ-22</t>
  </si>
  <si>
    <t>Ⅵ-22</t>
  </si>
  <si>
    <t>Ⅶ-兴3</t>
  </si>
  <si>
    <t>Ⅷ-昌1</t>
    <phoneticPr fontId="4" type="noConversion"/>
  </si>
  <si>
    <t>Ⅸ-兴4</t>
  </si>
  <si>
    <t>Ⅹ-延2</t>
  </si>
  <si>
    <t>Ⅳ-23</t>
  </si>
  <si>
    <t>Ⅴ-23</t>
  </si>
  <si>
    <t>Ⅵ-23</t>
  </si>
  <si>
    <t>Ⅶ-昌1</t>
    <phoneticPr fontId="4" type="noConversion"/>
  </si>
  <si>
    <t>Ⅷ-昌2</t>
  </si>
  <si>
    <t>Ⅸ-兴5</t>
  </si>
  <si>
    <t>Ⅹ-亦1</t>
    <phoneticPr fontId="4" type="noConversion"/>
  </si>
  <si>
    <t>Ⅳ-电子城东</t>
    <phoneticPr fontId="4" type="noConversion"/>
  </si>
  <si>
    <t>Ⅴ-24</t>
  </si>
  <si>
    <t>Ⅵ-24</t>
  </si>
  <si>
    <t>Ⅶ-昌2</t>
  </si>
  <si>
    <t>Ⅷ-昌3</t>
  </si>
  <si>
    <t>Ⅸ-昌1</t>
    <phoneticPr fontId="4" type="noConversion"/>
  </si>
  <si>
    <t>Ⅹ-马坊工业园</t>
    <phoneticPr fontId="4" type="noConversion"/>
  </si>
  <si>
    <t>Ⅳ-电子城西</t>
    <phoneticPr fontId="4" type="noConversion"/>
  </si>
  <si>
    <t>Ⅴ-25</t>
  </si>
  <si>
    <t>Ⅵ-通1</t>
    <phoneticPr fontId="4" type="noConversion"/>
  </si>
  <si>
    <t>Ⅶ-昌3</t>
  </si>
  <si>
    <t>Ⅷ-昌4</t>
  </si>
  <si>
    <t>Ⅸ-昌2</t>
  </si>
  <si>
    <t>Ⅹ-延庆开发区</t>
    <phoneticPr fontId="4" type="noConversion"/>
  </si>
  <si>
    <t>Ⅳ-上地核心</t>
    <phoneticPr fontId="4" type="noConversion"/>
  </si>
  <si>
    <t>Ⅴ-26</t>
  </si>
  <si>
    <t>Ⅵ-通2</t>
  </si>
  <si>
    <t>Ⅶ-昌4</t>
  </si>
  <si>
    <t>Ⅷ-平1</t>
    <phoneticPr fontId="4" type="noConversion"/>
  </si>
  <si>
    <t>Ⅸ-昌3</t>
  </si>
  <si>
    <t>Ⅹ-八达岭开发区</t>
    <phoneticPr fontId="4" type="noConversion"/>
  </si>
  <si>
    <t>Ⅳ-丰台园东</t>
    <phoneticPr fontId="4" type="noConversion"/>
  </si>
  <si>
    <t>Ⅴ-电子城北</t>
    <phoneticPr fontId="4" type="noConversion"/>
  </si>
  <si>
    <t>Ⅵ-通3</t>
  </si>
  <si>
    <t>Ⅶ-昌5</t>
  </si>
  <si>
    <t>Ⅷ-怀1</t>
    <phoneticPr fontId="4" type="noConversion"/>
  </si>
  <si>
    <t>Ⅸ-昌4</t>
  </si>
  <si>
    <t>三级</t>
  </si>
  <si>
    <t>Ⅲ—01</t>
    <phoneticPr fontId="4" type="noConversion"/>
  </si>
  <si>
    <t>Ⅴ-永丰产业基地</t>
    <phoneticPr fontId="4" type="noConversion"/>
  </si>
  <si>
    <t>Ⅵ-通4</t>
  </si>
  <si>
    <t>Ⅶ-亦1</t>
    <phoneticPr fontId="4" type="noConversion"/>
  </si>
  <si>
    <t>Ⅷ-密1</t>
    <phoneticPr fontId="4" type="noConversion"/>
  </si>
  <si>
    <t>Ⅸ-昌5</t>
  </si>
  <si>
    <t>Ⅴ-航天城</t>
    <phoneticPr fontId="4" type="noConversion"/>
  </si>
  <si>
    <t>Ⅵ-顺1</t>
    <phoneticPr fontId="4" type="noConversion"/>
  </si>
  <si>
    <t>Ⅶ-国际教育园</t>
    <phoneticPr fontId="4" type="noConversion"/>
  </si>
  <si>
    <t>Ⅷ-廷1</t>
    <phoneticPr fontId="4" type="noConversion"/>
  </si>
  <si>
    <t>Ⅸ-昌南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</si>
  <si>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</si>
  <si>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Ⅵ-兴1</t>
    <phoneticPr fontId="4" type="noConversion"/>
  </si>
  <si>
    <t>Ⅶ-农林园</t>
    <phoneticPr fontId="4" type="noConversion"/>
  </si>
  <si>
    <t>Ⅷ-亦1</t>
    <phoneticPr fontId="4" type="noConversion"/>
  </si>
  <si>
    <t>Ⅸ-平1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</si>
  <si>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</si>
  <si>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Ⅵ-昌1</t>
    <phoneticPr fontId="4" type="noConversion"/>
  </si>
  <si>
    <t>Ⅶ-上庄科技</t>
    <phoneticPr fontId="4" type="noConversion"/>
  </si>
  <si>
    <t>Ⅷ-亦2</t>
  </si>
  <si>
    <t>Ⅸ-怀1</t>
    <phoneticPr fontId="4" type="noConversion"/>
  </si>
  <si>
    <t>Ⅴ-石景山园南区</t>
    <phoneticPr fontId="4" type="noConversion"/>
  </si>
  <si>
    <t>Ⅵ-昌2</t>
  </si>
  <si>
    <t>Ⅶ-文化教育基地</t>
    <phoneticPr fontId="4" type="noConversion"/>
  </si>
  <si>
    <t>Ⅷ-良乡开发区A</t>
    <phoneticPr fontId="4" type="noConversion"/>
  </si>
  <si>
    <t>Ⅸ-密1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</si>
  <si>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</si>
  <si>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</si>
  <si>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</si>
  <si>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Ⅷ-良乡开发区B</t>
    <phoneticPr fontId="4" type="noConversion"/>
  </si>
  <si>
    <t>Ⅸ-延1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</si>
  <si>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</si>
  <si>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</si>
  <si>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</si>
  <si>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Ⅷ-良乡开发区C</t>
    <phoneticPr fontId="4" type="noConversion"/>
  </si>
  <si>
    <t>Ⅸ-亦1</t>
    <phoneticPr fontId="4" type="noConversion"/>
  </si>
  <si>
    <t>Ⅵ-亦1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</si>
  <si>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</si>
  <si>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Ⅷ-通州环保园</t>
    <phoneticPr fontId="4" type="noConversion"/>
  </si>
  <si>
    <t>Ⅸ-房山工业园东</t>
    <phoneticPr fontId="4" type="noConversion"/>
  </si>
  <si>
    <t>Ⅵ-创新园</t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</si>
  <si>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</si>
  <si>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Ⅷ-空港北区A</t>
    <phoneticPr fontId="4" type="noConversion"/>
  </si>
  <si>
    <t>Ⅸ-房山工业园西</t>
    <phoneticPr fontId="4" type="noConversion"/>
  </si>
  <si>
    <t>Ⅵ-海淀环保园</t>
    <phoneticPr fontId="4" type="noConversion"/>
  </si>
  <si>
    <t>Ⅶ-石龙开发区</t>
    <phoneticPr fontId="4" type="noConversion"/>
  </si>
  <si>
    <t>Ⅷ-空港北区B</t>
    <phoneticPr fontId="4" type="noConversion"/>
  </si>
  <si>
    <t>Ⅸ-通州开发区东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</si>
  <si>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</si>
  <si>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Ⅶ-光机电</t>
    <phoneticPr fontId="4" type="noConversion"/>
  </si>
  <si>
    <t>Ⅷ-生物医药基地</t>
    <phoneticPr fontId="4" type="noConversion"/>
  </si>
  <si>
    <t>Ⅸ-永乐开发区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</si>
  <si>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</si>
  <si>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Ⅶ-通州开发区西</t>
    <phoneticPr fontId="4" type="noConversion"/>
  </si>
  <si>
    <t>Ⅷ-小汤山工业园</t>
    <phoneticPr fontId="4" type="noConversion"/>
  </si>
  <si>
    <t>Ⅸ-采育开发区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</si>
  <si>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</si>
  <si>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Ⅶ-林河开发区</t>
    <phoneticPr fontId="4" type="noConversion"/>
  </si>
  <si>
    <t>Ⅸ-兴谷开发区A</t>
    <phoneticPr fontId="4" type="noConversion"/>
  </si>
  <si>
    <t>Ⅵ-天竺保税区南</t>
    <phoneticPr fontId="4" type="noConversion"/>
  </si>
  <si>
    <t>Ⅶ-大兴开发区</t>
    <phoneticPr fontId="4" type="noConversion"/>
  </si>
  <si>
    <t>Ⅸ-兴谷开发区B</t>
    <phoneticPr fontId="4" type="noConversion"/>
  </si>
  <si>
    <t>Ⅵ-天竺保税区北1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</si>
  <si>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</si>
  <si>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Ⅸ-雁栖开发区A</t>
    <phoneticPr fontId="4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</si>
  <si>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</si>
  <si>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</si>
  <si>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Ⅸ-雁栖开发区B</t>
    <phoneticPr fontId="4" type="noConversion"/>
  </si>
  <si>
    <t>Ⅵ-空港A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</si>
  <si>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</si>
  <si>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t>Ⅸ-雁栖开发区C</t>
    <phoneticPr fontId="4" type="noConversion"/>
  </si>
  <si>
    <t>Ⅵ-空港B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</si>
  <si>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</si>
  <si>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Ⅸ-密云开发区</t>
    <phoneticPr fontId="4" type="noConversion"/>
  </si>
  <si>
    <t>Ⅵ-生命科学园</t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</si>
  <si>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</si>
  <si>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Ⅵ-昌三一光电</t>
    <phoneticPr fontId="4" type="noConversion"/>
  </si>
  <si>
    <t>Ⅶ-BDA东</t>
    <phoneticPr fontId="4" type="noConversion"/>
  </si>
  <si>
    <t>Ⅳ-01</t>
    <phoneticPr fontId="4" type="noConversion"/>
  </si>
  <si>
    <t>Ⅵ-BDA核心</t>
    <phoneticPr fontId="4" type="noConversion"/>
  </si>
  <si>
    <t>Ⅶ-BDA西</t>
    <phoneticPr fontId="4" type="noConversion"/>
  </si>
  <si>
    <t>五级</t>
  </si>
  <si>
    <t>Ⅴ-01</t>
    <phoneticPr fontId="4" type="noConversion"/>
  </si>
  <si>
    <t>Ⅵ-01</t>
    <phoneticPr fontId="4" type="noConversion"/>
  </si>
  <si>
    <t>七级</t>
  </si>
  <si>
    <t>Ⅶ-01</t>
    <phoneticPr fontId="4" type="noConversion"/>
  </si>
  <si>
    <t>八级</t>
  </si>
  <si>
    <t>Ⅷ-01</t>
    <phoneticPr fontId="4" type="noConversion"/>
  </si>
  <si>
    <t>九级</t>
  </si>
  <si>
    <t>Ⅸ-01</t>
    <phoneticPr fontId="4" type="noConversion"/>
  </si>
  <si>
    <t>Ⅸ-门1</t>
    <phoneticPr fontId="4" type="noConversion"/>
  </si>
  <si>
    <t>Ⅸ-门2</t>
    <phoneticPr fontId="4" type="noConversion"/>
  </si>
  <si>
    <t>十级</t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</si>
  <si>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</si>
  <si>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</si>
  <si>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</si>
  <si>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</si>
  <si>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</si>
  <si>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</si>
  <si>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</si>
  <si>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</si>
  <si>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</si>
  <si>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</si>
  <si>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</si>
  <si>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土地级别</t>
    <phoneticPr fontId="4" type="noConversion"/>
  </si>
  <si>
    <t>通路</t>
    <phoneticPr fontId="4" type="noConversion"/>
  </si>
  <si>
    <t>通电</t>
    <phoneticPr fontId="4" type="noConversion"/>
  </si>
  <si>
    <t>通讯</t>
    <phoneticPr fontId="4" type="noConversion"/>
  </si>
  <si>
    <t>通上水</t>
    <phoneticPr fontId="4" type="noConversion"/>
  </si>
  <si>
    <t>通下水</t>
    <phoneticPr fontId="4" type="noConversion"/>
  </si>
  <si>
    <t>通热</t>
    <phoneticPr fontId="4" type="noConversion"/>
  </si>
  <si>
    <t>燃气</t>
    <phoneticPr fontId="4" type="noConversion"/>
  </si>
  <si>
    <t>平整</t>
    <phoneticPr fontId="4" type="noConversion"/>
  </si>
  <si>
    <t>——</t>
    <phoneticPr fontId="4" type="noConversion"/>
  </si>
  <si>
    <t>北京市基准地价用途修正系数表</t>
    <phoneticPr fontId="4" type="noConversion"/>
  </si>
  <si>
    <t>用途</t>
    <phoneticPr fontId="4" type="noConversion"/>
  </si>
  <si>
    <t>用途类别划分</t>
    <phoneticPr fontId="4" type="noConversion"/>
  </si>
  <si>
    <t>用途修正  系数</t>
    <phoneticPr fontId="4" type="noConversion"/>
  </si>
  <si>
    <t>比准类别</t>
    <phoneticPr fontId="4" type="noConversion"/>
  </si>
  <si>
    <t>批发零售用地</t>
    <phoneticPr fontId="4" type="noConversion"/>
  </si>
  <si>
    <t>（指主要用于商品批发、零售的用地，包括商场、商店、超市、各类批发（零售）市场、加油站等及其附属的小型仓库、车间、工场等）</t>
    <phoneticPr fontId="4" type="noConversion"/>
  </si>
  <si>
    <t>其他类别</t>
    <phoneticPr fontId="4" type="noConversion"/>
  </si>
  <si>
    <t>住宿餐饮用地</t>
    <phoneticPr fontId="4" type="noConversion"/>
  </si>
  <si>
    <t>（指主要用于提供住宿、餐饮服务的用地，包括宾馆、酒店、饭店、旅馆、招待所、度假村、餐厅、酒吧等）</t>
    <phoneticPr fontId="4" type="noConversion"/>
  </si>
  <si>
    <t>商务金融用地（商业类）</t>
    <phoneticPr fontId="4" type="noConversion"/>
  </si>
  <si>
    <t>（指金融、证券、通讯、保险等营业网点用地）</t>
    <phoneticPr fontId="4" type="noConversion"/>
  </si>
  <si>
    <t>其他商服用地</t>
    <phoneticPr fontId="4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</si>
  <si>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4" type="noConversion"/>
  </si>
  <si>
    <t>殡葬用地等特殊用地</t>
    <phoneticPr fontId="4" type="noConversion"/>
  </si>
  <si>
    <t>商务金融用地（办公类）</t>
    <phoneticPr fontId="4" type="noConversion"/>
  </si>
  <si>
    <t>（指企业、服务业等办公用地，以及经营性的办公场所用地，包括写字楼、商业性办公楼和企业厂区外独立的办公楼）</t>
    <phoneticPr fontId="4" type="noConversion"/>
  </si>
  <si>
    <t>其他商服用地（停车场、停车楼等用地）</t>
    <phoneticPr fontId="4" type="noConversion"/>
  </si>
  <si>
    <t>其他商服用地（指展览馆、会展中心等用地）</t>
    <phoneticPr fontId="4" type="noConversion"/>
  </si>
  <si>
    <t>机场航站楼用地</t>
    <phoneticPr fontId="4" type="noConversion"/>
  </si>
  <si>
    <t>科教用地</t>
    <phoneticPr fontId="4" type="noConversion"/>
  </si>
  <si>
    <t>（指用于各类教育，独立的科研、勘测、设计、技术推广、科普等的用地）</t>
    <phoneticPr fontId="4" type="noConversion"/>
  </si>
  <si>
    <t>新闻出版用地</t>
    <phoneticPr fontId="4" type="noConversion"/>
  </si>
  <si>
    <t>（指用于广播电台、电视台、电影厂、报社、杂志社、通讯社、出版社等的用地）、</t>
    <phoneticPr fontId="4" type="noConversion"/>
  </si>
  <si>
    <t>机关团体用地</t>
    <phoneticPr fontId="4" type="noConversion"/>
  </si>
  <si>
    <t>（指用于党政机关、社会团体、群众自治组织等的用地）</t>
    <phoneticPr fontId="4" type="noConversion"/>
  </si>
  <si>
    <t>医卫慈善用地</t>
    <phoneticPr fontId="4" type="noConversion"/>
  </si>
  <si>
    <t>（指用于医疗保健、卫生防疫、急救康复、医检药检、福利救助、养老设施等的用地）</t>
    <phoneticPr fontId="4" type="noConversion"/>
  </si>
  <si>
    <t>文体娱乐用地</t>
    <phoneticPr fontId="4" type="noConversion"/>
  </si>
  <si>
    <t>（指各类文化、体育及公共广场用地）</t>
    <phoneticPr fontId="4" type="noConversion"/>
  </si>
  <si>
    <t>产业用地</t>
    <phoneticPr fontId="4" type="noConversion"/>
  </si>
  <si>
    <t>（指高新技术产业研发与展示中心等产业用地）</t>
    <phoneticPr fontId="4" type="noConversion"/>
  </si>
  <si>
    <t>居住用地（指二类居住用地）</t>
    <phoneticPr fontId="4" type="noConversion"/>
  </si>
  <si>
    <t>（指二类居住用地（地上容积率≥１。）</t>
    <phoneticPr fontId="4" type="noConversion"/>
  </si>
  <si>
    <t>居住用地（指一类居住用地）</t>
    <phoneticPr fontId="4" type="noConversion"/>
  </si>
  <si>
    <t>（指一类居住用地（地上容积率＜１。）</t>
    <phoneticPr fontId="4" type="noConversion"/>
  </si>
  <si>
    <t>工业用地</t>
    <phoneticPr fontId="4" type="noConversion"/>
  </si>
  <si>
    <t>（指工业生产及直接为工业生产服务的附属设施用地）</t>
    <phoneticPr fontId="4" type="noConversion"/>
  </si>
  <si>
    <t>采矿用地</t>
    <phoneticPr fontId="4" type="noConversion"/>
  </si>
  <si>
    <t>（指采矿、采石、采砂（沙）场，盐田，砖瓦窑等地面生产设施及尾矿堆放地）</t>
    <phoneticPr fontId="4" type="noConversion"/>
  </si>
  <si>
    <t>仓储用地</t>
    <phoneticPr fontId="4" type="noConversion"/>
  </si>
  <si>
    <t>（指用于物资储备、中转的物流仓储场所等用地）</t>
    <phoneticPr fontId="4" type="noConversion"/>
  </si>
  <si>
    <t>公共设施用地</t>
    <phoneticPr fontId="4" type="noConversion"/>
  </si>
  <si>
    <t>（指用于城乡基础设施的用地，包括给排水、供电、供热、供气、邮政、电信、消防、环卫、公用设施维修等用地。）</t>
    <phoneticPr fontId="4" type="noConversion"/>
  </si>
  <si>
    <t>交通用地</t>
    <phoneticPr fontId="4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</si>
  <si>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4" type="noConversion"/>
  </si>
  <si>
    <t>备注：本用途修正系数仅适用于地上部分各类用途的修正，地下空间部分不适用上表中的用途修正，直接使用地下空间修正</t>
    <phoneticPr fontId="4" type="noConversion"/>
  </si>
  <si>
    <t>地下</t>
    <phoneticPr fontId="4" type="noConversion"/>
  </si>
  <si>
    <t>地下仓储</t>
    <phoneticPr fontId="4" type="noConversion"/>
  </si>
  <si>
    <t>车库</t>
    <phoneticPr fontId="4" type="noConversion"/>
  </si>
  <si>
    <t>—</t>
    <phoneticPr fontId="4" type="noConversion"/>
  </si>
  <si>
    <t>北京市商业路线价加价幅度表</t>
    <phoneticPr fontId="4" type="noConversion"/>
  </si>
  <si>
    <t>序号</t>
    <phoneticPr fontId="4" type="noConversion"/>
  </si>
  <si>
    <t>区县</t>
    <phoneticPr fontId="4" type="noConversion"/>
  </si>
  <si>
    <t>商业街名称</t>
    <phoneticPr fontId="4" type="noConversion"/>
  </si>
  <si>
    <t>起止点</t>
    <phoneticPr fontId="4" type="noConversion"/>
  </si>
  <si>
    <t>加价幅度</t>
    <phoneticPr fontId="4" type="noConversion"/>
  </si>
  <si>
    <t>标准深度（m）</t>
    <phoneticPr fontId="4" type="noConversion"/>
  </si>
  <si>
    <t>东城区</t>
    <phoneticPr fontId="4" type="noConversion"/>
  </si>
  <si>
    <t>东长安街</t>
    <phoneticPr fontId="4" type="noConversion"/>
  </si>
  <si>
    <t>天安门——东单</t>
    <phoneticPr fontId="4" type="noConversion"/>
  </si>
  <si>
    <t>建国门内大街</t>
    <phoneticPr fontId="4" type="noConversion"/>
  </si>
  <si>
    <t>建国门——东单</t>
    <phoneticPr fontId="4" type="noConversion"/>
  </si>
  <si>
    <t>王府井商业街</t>
    <phoneticPr fontId="4" type="noConversion"/>
  </si>
  <si>
    <t>东长安街——五四大街</t>
    <phoneticPr fontId="4" type="noConversion"/>
  </si>
  <si>
    <t>东单北大街</t>
    <phoneticPr fontId="4" type="noConversion"/>
  </si>
  <si>
    <t>金鱼胡同——东单路口</t>
    <phoneticPr fontId="4" type="noConversion"/>
  </si>
  <si>
    <t>东四南大街</t>
    <phoneticPr fontId="4" type="noConversion"/>
  </si>
  <si>
    <t>东四路口——金鱼胡同</t>
    <phoneticPr fontId="4" type="noConversion"/>
  </si>
  <si>
    <t>东直门内大街      （簋街）</t>
    <phoneticPr fontId="4" type="noConversion"/>
  </si>
  <si>
    <t>东直门桥——北新桥</t>
    <phoneticPr fontId="4" type="noConversion"/>
  </si>
  <si>
    <t>北京站东街</t>
    <phoneticPr fontId="4" type="noConversion"/>
  </si>
  <si>
    <t>建国门南大街——北京站</t>
    <phoneticPr fontId="4" type="noConversion"/>
  </si>
  <si>
    <t>北京站街</t>
    <phoneticPr fontId="4" type="noConversion"/>
  </si>
  <si>
    <t>建国门内大街——北京站</t>
    <phoneticPr fontId="4" type="noConversion"/>
  </si>
  <si>
    <t>东四十条</t>
    <phoneticPr fontId="4" type="noConversion"/>
  </si>
  <si>
    <t>东四十条桥——东四北大街</t>
    <phoneticPr fontId="4" type="noConversion"/>
  </si>
  <si>
    <t>张自忠路</t>
    <phoneticPr fontId="4" type="noConversion"/>
  </si>
  <si>
    <t>东四北大街——交道口南大街</t>
    <phoneticPr fontId="4" type="noConversion"/>
  </si>
  <si>
    <t>地安门东大街</t>
    <phoneticPr fontId="4" type="noConversion"/>
  </si>
  <si>
    <t>交道口南大街——地安门外大街</t>
    <phoneticPr fontId="4" type="noConversion"/>
  </si>
  <si>
    <t>前门商业街</t>
    <phoneticPr fontId="4" type="noConversion"/>
  </si>
  <si>
    <t>前门箭楼——珠市口</t>
    <phoneticPr fontId="4" type="noConversion"/>
  </si>
  <si>
    <t>崇外商业街</t>
    <phoneticPr fontId="4" type="noConversion"/>
  </si>
  <si>
    <t>崇文门——磁器口</t>
    <phoneticPr fontId="4" type="noConversion"/>
  </si>
  <si>
    <t>广渠门内大街</t>
    <phoneticPr fontId="4" type="noConversion"/>
  </si>
  <si>
    <t>广渠门——磁器口</t>
    <phoneticPr fontId="4" type="noConversion"/>
  </si>
  <si>
    <t>珠市口东大街</t>
    <phoneticPr fontId="4" type="noConversion"/>
  </si>
  <si>
    <t>磁器口——珠市口</t>
    <phoneticPr fontId="4" type="noConversion"/>
  </si>
  <si>
    <t>西城区</t>
    <phoneticPr fontId="4" type="noConversion"/>
  </si>
  <si>
    <t>西长安街</t>
    <phoneticPr fontId="4" type="noConversion"/>
  </si>
  <si>
    <t>天安门——西单</t>
    <phoneticPr fontId="4" type="noConversion"/>
  </si>
  <si>
    <t>复兴门内大街</t>
    <phoneticPr fontId="4" type="noConversion"/>
  </si>
  <si>
    <t>西单——复兴门</t>
    <phoneticPr fontId="4" type="noConversion"/>
  </si>
  <si>
    <t>复兴门外大街</t>
    <phoneticPr fontId="4" type="noConversion"/>
  </si>
  <si>
    <t>复兴门——木樨地</t>
    <phoneticPr fontId="4" type="noConversion"/>
  </si>
  <si>
    <t>西单商业街</t>
    <phoneticPr fontId="4" type="noConversion"/>
  </si>
  <si>
    <t>西单——辟才胡同</t>
    <phoneticPr fontId="4" type="noConversion"/>
  </si>
  <si>
    <t>西四商业街</t>
    <phoneticPr fontId="4" type="noConversion"/>
  </si>
  <si>
    <t>辟才胡同——平安里</t>
    <phoneticPr fontId="4" type="noConversion"/>
  </si>
  <si>
    <t>新街口商业街</t>
    <phoneticPr fontId="4" type="noConversion"/>
  </si>
  <si>
    <t>平安里——积水潭桥</t>
    <phoneticPr fontId="4" type="noConversion"/>
  </si>
  <si>
    <t>双旗杆西街       （福利特商业街）</t>
    <phoneticPr fontId="4" type="noConversion"/>
  </si>
  <si>
    <t>北三环中路——黄寺大街</t>
    <phoneticPr fontId="4" type="noConversion"/>
  </si>
  <si>
    <t>地安门西大街</t>
    <phoneticPr fontId="4" type="noConversion"/>
  </si>
  <si>
    <t>地安门外大街——新街口南大街</t>
    <phoneticPr fontId="4" type="noConversion"/>
  </si>
  <si>
    <t>平安里西大街</t>
    <phoneticPr fontId="4" type="noConversion"/>
  </si>
  <si>
    <t>新街口南大街——车公庄</t>
    <phoneticPr fontId="4" type="noConversion"/>
  </si>
  <si>
    <t>大栅栏商业街</t>
    <phoneticPr fontId="4" type="noConversion"/>
  </si>
  <si>
    <t>前门大街——煤市街</t>
    <phoneticPr fontId="4" type="noConversion"/>
  </si>
  <si>
    <t>珠市口西大街</t>
    <phoneticPr fontId="4" type="noConversion"/>
  </si>
  <si>
    <t>珠市口——南新华街</t>
    <phoneticPr fontId="4" type="noConversion"/>
  </si>
  <si>
    <t>骡马市大街</t>
    <phoneticPr fontId="4" type="noConversion"/>
  </si>
  <si>
    <t>南新华街——菜市口</t>
    <phoneticPr fontId="4" type="noConversion"/>
  </si>
  <si>
    <t>广安门内大街</t>
    <phoneticPr fontId="4" type="noConversion"/>
  </si>
  <si>
    <t>菜市口——广安门桥</t>
    <phoneticPr fontId="4" type="noConversion"/>
  </si>
  <si>
    <t>宣武门外大街</t>
    <phoneticPr fontId="4" type="noConversion"/>
  </si>
  <si>
    <t>宣武门——菜市口</t>
    <phoneticPr fontId="4" type="noConversion"/>
  </si>
  <si>
    <t>菜市口大街</t>
    <phoneticPr fontId="4" type="noConversion"/>
  </si>
  <si>
    <t>菜市口——开阳桥</t>
    <phoneticPr fontId="4" type="noConversion"/>
  </si>
  <si>
    <t>马连道路</t>
    <phoneticPr fontId="4" type="noConversion"/>
  </si>
  <si>
    <t>广安门外大街——红莲南路</t>
    <phoneticPr fontId="4" type="noConversion"/>
  </si>
  <si>
    <t>朝阳区</t>
    <phoneticPr fontId="4" type="noConversion"/>
  </si>
  <si>
    <t>朝外商业街</t>
    <phoneticPr fontId="4" type="noConversion"/>
  </si>
  <si>
    <t>朝阳门——东大桥</t>
    <phoneticPr fontId="4" type="noConversion"/>
  </si>
  <si>
    <t>安立路</t>
    <phoneticPr fontId="4" type="noConversion"/>
  </si>
  <si>
    <t>安慧桥——慧忠北路</t>
    <phoneticPr fontId="4" type="noConversion"/>
  </si>
  <si>
    <t>三里屯路</t>
    <phoneticPr fontId="4" type="noConversion"/>
  </si>
  <si>
    <t>工人体育场北路——东直门外大街</t>
    <phoneticPr fontId="4" type="noConversion"/>
  </si>
  <si>
    <t>秀水街</t>
    <phoneticPr fontId="4" type="noConversion"/>
  </si>
  <si>
    <t>建国门外大街——光华路</t>
    <phoneticPr fontId="4" type="noConversion"/>
  </si>
  <si>
    <t>大羊坊路         （十里河建材商业街）</t>
    <phoneticPr fontId="4" type="noConversion"/>
  </si>
  <si>
    <t>十里河桥——小武基路</t>
    <phoneticPr fontId="4" type="noConversion"/>
  </si>
  <si>
    <t>建国门外大街</t>
    <phoneticPr fontId="4" type="noConversion"/>
  </si>
  <si>
    <t>建国门桥——国贸桥</t>
    <phoneticPr fontId="4" type="noConversion"/>
  </si>
  <si>
    <t>建国路</t>
    <phoneticPr fontId="4" type="noConversion"/>
  </si>
  <si>
    <t>国贸桥——西大望路</t>
    <phoneticPr fontId="4" type="noConversion"/>
  </si>
  <si>
    <t>海淀区</t>
    <phoneticPr fontId="4" type="noConversion"/>
  </si>
  <si>
    <t>中关村大街</t>
    <phoneticPr fontId="4" type="noConversion"/>
  </si>
  <si>
    <t>海淀南路——北四环</t>
    <phoneticPr fontId="4" type="noConversion"/>
  </si>
  <si>
    <t>复兴路</t>
    <phoneticPr fontId="4" type="noConversion"/>
  </si>
  <si>
    <t>木樨地——万寿路</t>
    <phoneticPr fontId="4" type="noConversion"/>
  </si>
  <si>
    <t>海淀中路</t>
    <phoneticPr fontId="4" type="noConversion"/>
  </si>
  <si>
    <t>丰台区</t>
    <phoneticPr fontId="4" type="noConversion"/>
  </si>
  <si>
    <t>蒲芳路、紫芳路    （方庄商业街）</t>
    <phoneticPr fontId="4" type="noConversion"/>
  </si>
  <si>
    <t>蒲黄榆路——方庄东路</t>
    <phoneticPr fontId="4" type="noConversion"/>
  </si>
  <si>
    <t>石景山区</t>
    <phoneticPr fontId="4" type="noConversion"/>
  </si>
  <si>
    <t>石景山路</t>
    <phoneticPr fontId="4" type="noConversion"/>
  </si>
  <si>
    <t>八宝山——八角桥</t>
    <phoneticPr fontId="4" type="noConversion"/>
  </si>
  <si>
    <t>门头沟区</t>
    <phoneticPr fontId="4" type="noConversion"/>
  </si>
  <si>
    <t>新桥大街</t>
    <phoneticPr fontId="4" type="noConversion"/>
  </si>
  <si>
    <t>门头沟路——双峪路</t>
    <phoneticPr fontId="4" type="noConversion"/>
  </si>
  <si>
    <t>房山区</t>
    <phoneticPr fontId="4" type="noConversion"/>
  </si>
  <si>
    <t>南关大街</t>
    <phoneticPr fontId="4" type="noConversion"/>
  </si>
  <si>
    <t>房山东大街——南关立交桥</t>
    <phoneticPr fontId="4" type="noConversion"/>
  </si>
  <si>
    <t>拱辰大街</t>
    <phoneticPr fontId="4" type="noConversion"/>
  </si>
  <si>
    <t>良乡中路——月华大街</t>
    <phoneticPr fontId="4" type="noConversion"/>
  </si>
  <si>
    <t>通州区</t>
    <phoneticPr fontId="4" type="noConversion"/>
  </si>
  <si>
    <t>新华大街</t>
    <phoneticPr fontId="4" type="noConversion"/>
  </si>
  <si>
    <t>车站路——通惠南路</t>
    <phoneticPr fontId="4" type="noConversion"/>
  </si>
  <si>
    <t>云景东路</t>
    <phoneticPr fontId="4" type="noConversion"/>
  </si>
  <si>
    <t>地铁八通线——云景南大街</t>
    <phoneticPr fontId="4" type="noConversion"/>
  </si>
  <si>
    <t>顺义区</t>
    <phoneticPr fontId="4" type="noConversion"/>
  </si>
  <si>
    <t>新顺大街</t>
    <phoneticPr fontId="4" type="noConversion"/>
  </si>
  <si>
    <t>幸福西街——站前街</t>
    <phoneticPr fontId="4" type="noConversion"/>
  </si>
  <si>
    <t>大兴区</t>
    <phoneticPr fontId="4" type="noConversion"/>
  </si>
  <si>
    <t>兴华大街</t>
    <phoneticPr fontId="4" type="noConversion"/>
  </si>
  <si>
    <t>金星西路——黄村火车站</t>
    <phoneticPr fontId="4" type="noConversion"/>
  </si>
  <si>
    <t>昌平区</t>
    <phoneticPr fontId="4" type="noConversion"/>
  </si>
  <si>
    <t>回龙观西大街</t>
    <phoneticPr fontId="4" type="noConversion"/>
  </si>
  <si>
    <t>京藏高速公路——文华西路</t>
    <phoneticPr fontId="4" type="noConversion"/>
  </si>
  <si>
    <t>鼓楼东、西街</t>
    <phoneticPr fontId="4" type="noConversion"/>
  </si>
  <si>
    <t>东环路——西环路</t>
    <phoneticPr fontId="4" type="noConversion"/>
  </si>
  <si>
    <t>鼓楼南、北街</t>
    <phoneticPr fontId="4" type="noConversion"/>
  </si>
  <si>
    <t>北环路——府学路</t>
    <phoneticPr fontId="4" type="noConversion"/>
  </si>
  <si>
    <t>平谷区</t>
    <phoneticPr fontId="4" type="noConversion"/>
  </si>
  <si>
    <t>步行街</t>
    <phoneticPr fontId="4" type="noConversion"/>
  </si>
  <si>
    <t>文化北街——向阳北街</t>
    <phoneticPr fontId="4" type="noConversion"/>
  </si>
  <si>
    <t>怀柔区</t>
    <phoneticPr fontId="4" type="noConversion"/>
  </si>
  <si>
    <t>商业街</t>
    <phoneticPr fontId="4" type="noConversion"/>
  </si>
  <si>
    <t>迎宾路——青春路</t>
    <phoneticPr fontId="4" type="noConversion"/>
  </si>
  <si>
    <t>密云县</t>
    <phoneticPr fontId="4" type="noConversion"/>
  </si>
  <si>
    <t>鼓楼东、西大街</t>
    <phoneticPr fontId="4" type="noConversion"/>
  </si>
  <si>
    <t>新中街——南更道</t>
    <phoneticPr fontId="4" type="noConversion"/>
  </si>
  <si>
    <t>鼓楼大街</t>
    <phoneticPr fontId="4" type="noConversion"/>
  </si>
  <si>
    <t>西大桥路——康复路</t>
    <phoneticPr fontId="4" type="noConversion"/>
  </si>
  <si>
    <t>延庆县</t>
    <phoneticPr fontId="4" type="noConversion"/>
  </si>
  <si>
    <t>东外大街</t>
    <phoneticPr fontId="4" type="noConversion"/>
  </si>
  <si>
    <t>香苑街——东顺城街</t>
    <phoneticPr fontId="4" type="noConversion"/>
  </si>
  <si>
    <t>不临58条商业街</t>
    <phoneticPr fontId="4" type="noConversion"/>
  </si>
  <si>
    <t>容积率</t>
    <phoneticPr fontId="4" type="noConversion"/>
  </si>
  <si>
    <t>北京市基准地价容积率修正系数表（商业）</t>
    <phoneticPr fontId="4" type="noConversion"/>
  </si>
  <si>
    <t>北京市基准地价容积率修正系数表（办公）</t>
    <phoneticPr fontId="4" type="noConversion"/>
  </si>
  <si>
    <t>北京市基准地价容积率修正系数表（居住）</t>
    <phoneticPr fontId="4" type="noConversion"/>
  </si>
  <si>
    <t>北京市基准地价容积率修正系数表（工业）</t>
    <phoneticPr fontId="4" type="noConversion"/>
  </si>
  <si>
    <t>结果不可超过《北京市区片基准地价因素总修正幅度表》所列修正幅度；依据估价对象用途调整链接</t>
    <phoneticPr fontId="4" type="noConversion"/>
  </si>
  <si>
    <t>影响因素</t>
    <phoneticPr fontId="4" type="noConversion"/>
  </si>
  <si>
    <t>情况说明</t>
    <phoneticPr fontId="4" type="noConversion"/>
  </si>
  <si>
    <t>等级</t>
    <phoneticPr fontId="4" type="noConversion"/>
  </si>
  <si>
    <t xml:space="preserve"> 商业繁华程度</t>
    <phoneticPr fontId="4" type="noConversion"/>
  </si>
  <si>
    <t>交通便捷度</t>
    <phoneticPr fontId="4" type="noConversion"/>
  </si>
  <si>
    <t>区域土地利用方向</t>
    <phoneticPr fontId="4" type="noConversion"/>
  </si>
  <si>
    <t>临街宽度和深度</t>
    <phoneticPr fontId="4" type="noConversion"/>
  </si>
  <si>
    <t>临街道路状况</t>
    <phoneticPr fontId="4" type="noConversion"/>
  </si>
  <si>
    <t>宗地形状及可利用程度</t>
    <phoneticPr fontId="4" type="noConversion"/>
  </si>
  <si>
    <t>公共服务设施状况</t>
    <phoneticPr fontId="4" type="noConversion"/>
  </si>
  <si>
    <t>基础设施完备状况</t>
    <phoneticPr fontId="4" type="noConversion"/>
  </si>
  <si>
    <t>自然和人文环境状况</t>
    <phoneticPr fontId="4" type="noConversion"/>
  </si>
  <si>
    <t>办公集聚程度</t>
    <phoneticPr fontId="4" type="noConversion"/>
  </si>
  <si>
    <t>居住社区成熟度</t>
    <phoneticPr fontId="4" type="noConversion"/>
  </si>
  <si>
    <t>临路状况</t>
    <phoneticPr fontId="4" type="noConversion"/>
  </si>
  <si>
    <t>与区域中心的接近程度</t>
    <phoneticPr fontId="4" type="noConversion"/>
  </si>
  <si>
    <t>产业集聚程度</t>
    <phoneticPr fontId="4" type="noConversion"/>
  </si>
  <si>
    <t>环境状况</t>
    <phoneticPr fontId="4" type="noConversion"/>
  </si>
  <si>
    <t>总价</t>
    <phoneticPr fontId="4" type="noConversion"/>
  </si>
  <si>
    <t>土地级别</t>
    <phoneticPr fontId="4" type="noConversion"/>
  </si>
  <si>
    <t>区片编号</t>
    <phoneticPr fontId="4" type="noConversion"/>
  </si>
  <si>
    <t>楼面单价</t>
    <phoneticPr fontId="4" type="noConversion"/>
  </si>
  <si>
    <t>元/平方米</t>
    <phoneticPr fontId="4" type="noConversion"/>
  </si>
  <si>
    <t>一、</t>
    <phoneticPr fontId="4" type="noConversion"/>
  </si>
  <si>
    <t>适用的楼面熟地价</t>
    <phoneticPr fontId="4" type="noConversion"/>
  </si>
  <si>
    <t>商业路线价修正（商业用途）</t>
    <phoneticPr fontId="4" type="noConversion"/>
  </si>
  <si>
    <t>宗地深度（米）</t>
    <phoneticPr fontId="4" type="noConversion"/>
  </si>
  <si>
    <t>所在商业街</t>
    <phoneticPr fontId="4" type="noConversion"/>
  </si>
  <si>
    <t>加价幅度</t>
    <phoneticPr fontId="4" type="noConversion"/>
  </si>
  <si>
    <t>标准深度（米）</t>
    <phoneticPr fontId="4" type="noConversion"/>
  </si>
  <si>
    <t>1/4标准深度</t>
    <phoneticPr fontId="4" type="noConversion"/>
  </si>
  <si>
    <t>特殊情况修正（居住用途）</t>
    <phoneticPr fontId="4" type="noConversion"/>
  </si>
  <si>
    <t>需根据项目情况调整公式修正项</t>
    <phoneticPr fontId="4" type="noConversion"/>
  </si>
  <si>
    <t>开发程度差异修正</t>
    <phoneticPr fontId="4" type="noConversion"/>
  </si>
  <si>
    <t>估价对象开发程度</t>
    <phoneticPr fontId="4" type="noConversion"/>
  </si>
  <si>
    <t>级别平均容积率</t>
    <phoneticPr fontId="4" type="noConversion"/>
  </si>
  <si>
    <t>级别开发程度</t>
    <phoneticPr fontId="4" type="noConversion"/>
  </si>
  <si>
    <t>二、</t>
    <phoneticPr fontId="4" type="noConversion"/>
  </si>
  <si>
    <t>用途修正系数</t>
    <phoneticPr fontId="4" type="noConversion"/>
  </si>
  <si>
    <t>三、</t>
    <phoneticPr fontId="4" type="noConversion"/>
  </si>
  <si>
    <t>期日修正指数</t>
    <phoneticPr fontId="4" type="noConversion"/>
  </si>
  <si>
    <t>四、</t>
    <phoneticPr fontId="4" type="noConversion"/>
  </si>
  <si>
    <t>年期修正系数</t>
    <phoneticPr fontId="4" type="noConversion"/>
  </si>
  <si>
    <t>现行一年期贷款利率</t>
    <phoneticPr fontId="4" type="noConversion"/>
  </si>
  <si>
    <t>土地还原率</t>
    <phoneticPr fontId="4" type="noConversion"/>
  </si>
  <si>
    <t>五、</t>
    <phoneticPr fontId="4" type="noConversion"/>
  </si>
  <si>
    <t>容积率修正系数</t>
    <phoneticPr fontId="4" type="noConversion"/>
  </si>
  <si>
    <t>楼层修正系数（商业）</t>
    <phoneticPr fontId="4" type="noConversion"/>
  </si>
  <si>
    <t>六、</t>
    <phoneticPr fontId="4" type="noConversion"/>
  </si>
  <si>
    <t>因素修正系数</t>
    <phoneticPr fontId="4" type="noConversion"/>
  </si>
  <si>
    <t>七、</t>
    <phoneticPr fontId="4" type="noConversion"/>
  </si>
  <si>
    <t>估算结果</t>
    <phoneticPr fontId="4" type="noConversion"/>
  </si>
  <si>
    <t>用途</t>
    <phoneticPr fontId="4" type="noConversion"/>
  </si>
  <si>
    <t>商业</t>
    <phoneticPr fontId="4" type="noConversion"/>
  </si>
  <si>
    <t>工业</t>
    <phoneticPr fontId="4" type="noConversion"/>
  </si>
  <si>
    <t>单价</t>
    <phoneticPr fontId="4" type="noConversion"/>
  </si>
  <si>
    <t>上浮比率</t>
    <phoneticPr fontId="4" type="noConversion"/>
  </si>
  <si>
    <t>商业/办公/居住</t>
    <phoneticPr fontId="4" type="noConversion"/>
  </si>
  <si>
    <t>相应用途地下空间修正系数</t>
  </si>
  <si>
    <t>其他（垃圾填埋场/污水处理厂等），自定义，修正幅度不超过±10%</t>
    <phoneticPr fontId="4" type="noConversion"/>
  </si>
  <si>
    <t>零星有其他用地，基本不影响本宗地</t>
  </si>
  <si>
    <t>区域土地利用方向</t>
    <phoneticPr fontId="45" type="noConversion"/>
  </si>
  <si>
    <t>五等判定</t>
    <phoneticPr fontId="11" type="noConversion"/>
  </si>
  <si>
    <t>建筑面积</t>
    <phoneticPr fontId="4" type="noConversion"/>
  </si>
  <si>
    <t>总额</t>
    <phoneticPr fontId="4" type="noConversion"/>
  </si>
  <si>
    <t>政府土地出让收益=楼面熟地价×政府土地出让收益比例</t>
    <phoneticPr fontId="4" type="noConversion"/>
  </si>
  <si>
    <t>政府土地出让收益比例</t>
    <phoneticPr fontId="67" type="noConversion"/>
  </si>
  <si>
    <t>地上部分——楼面熟地价</t>
    <phoneticPr fontId="4" type="noConversion"/>
  </si>
  <si>
    <t>地上部分——政府土地出让收益</t>
    <phoneticPr fontId="4" type="noConversion"/>
  </si>
  <si>
    <t>楼面熟地价=适用的基准地价×期日修正系数×年期修正系数×因素修正系数×相应用途地下空间修正系数</t>
    <phoneticPr fontId="67" type="noConversion"/>
  </si>
  <si>
    <t>政府土地出让收益=楼面熟地价×政府土地出让收益比例</t>
    <phoneticPr fontId="67" type="noConversion"/>
  </si>
  <si>
    <t>地上部分</t>
    <phoneticPr fontId="4" type="noConversion"/>
  </si>
  <si>
    <t>熟地价</t>
    <phoneticPr fontId="67" type="noConversion"/>
  </si>
  <si>
    <t>政府土地出让收益</t>
    <phoneticPr fontId="67" type="noConversion"/>
  </si>
  <si>
    <t>*</t>
    <phoneticPr fontId="11" type="noConversion"/>
  </si>
  <si>
    <t>无</t>
    <phoneticPr fontId="67" type="noConversion"/>
  </si>
  <si>
    <t>二级分类</t>
    <phoneticPr fontId="4" type="noConversion"/>
  </si>
  <si>
    <t>相差季度数</t>
    <phoneticPr fontId="67" type="noConversion"/>
  </si>
  <si>
    <t>土地级别</t>
    <phoneticPr fontId="11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</si>
  <si>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</si>
  <si>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</si>
  <si>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</si>
  <si>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</si>
  <si>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</si>
  <si>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</si>
  <si>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</si>
  <si>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</si>
  <si>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</si>
  <si>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</si>
  <si>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元</t>
    <phoneticPr fontId="4" type="noConversion"/>
  </si>
  <si>
    <t>十一级</t>
  </si>
  <si>
    <t>十二级</t>
  </si>
  <si>
    <t>用途/地上主用途</t>
    <phoneticPr fontId="4" type="noConversion"/>
  </si>
  <si>
    <t>北京市区片基准地价因素总修正幅度表</t>
    <phoneticPr fontId="4" type="noConversion"/>
  </si>
  <si>
    <t>商业</t>
    <phoneticPr fontId="4" type="noConversion"/>
  </si>
  <si>
    <t>工业</t>
    <phoneticPr fontId="4" type="noConversion"/>
  </si>
  <si>
    <t>级别</t>
    <phoneticPr fontId="4" type="noConversion"/>
  </si>
  <si>
    <t>区片编号</t>
    <phoneticPr fontId="4" type="noConversion"/>
  </si>
  <si>
    <t>一级</t>
    <phoneticPr fontId="4" type="noConversion"/>
  </si>
  <si>
    <t>Ⅰ—01</t>
    <phoneticPr fontId="4" type="noConversion"/>
  </si>
  <si>
    <t>Ⅰ—02</t>
    <phoneticPr fontId="4" type="noConversion"/>
  </si>
  <si>
    <t>Ⅱ—01</t>
    <phoneticPr fontId="4" type="noConversion"/>
  </si>
  <si>
    <t>Ⅱ—13</t>
    <phoneticPr fontId="4" type="noConversion"/>
  </si>
  <si>
    <t>Ⅲ—01</t>
    <phoneticPr fontId="4" type="noConversion"/>
  </si>
  <si>
    <t>Ⅳ-01</t>
    <phoneticPr fontId="4" type="noConversion"/>
  </si>
  <si>
    <t>Ⅳ-电子城东</t>
    <phoneticPr fontId="4" type="noConversion"/>
  </si>
  <si>
    <t>Ⅳ-电子城西</t>
    <phoneticPr fontId="4" type="noConversion"/>
  </si>
  <si>
    <t>Ⅳ-上地核心</t>
    <phoneticPr fontId="4" type="noConversion"/>
  </si>
  <si>
    <t>Ⅳ-丰台园东</t>
    <phoneticPr fontId="4" type="noConversion"/>
  </si>
  <si>
    <t>Ⅴ-01</t>
    <phoneticPr fontId="4" type="noConversion"/>
  </si>
  <si>
    <t>Ⅴ-电子城北</t>
    <phoneticPr fontId="4" type="noConversion"/>
  </si>
  <si>
    <t>Ⅴ-永丰产业基地</t>
    <phoneticPr fontId="4" type="noConversion"/>
  </si>
  <si>
    <t>Ⅴ-航天城</t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</si>
  <si>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</si>
  <si>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</si>
  <si>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Ⅴ-石景山园南区</t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</si>
  <si>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</si>
  <si>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</si>
  <si>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Ⅵ-01</t>
    <phoneticPr fontId="4" type="noConversion"/>
  </si>
  <si>
    <t>Ⅵ-通1</t>
    <phoneticPr fontId="4" type="noConversion"/>
  </si>
  <si>
    <t>Ⅵ-顺1</t>
    <phoneticPr fontId="4" type="noConversion"/>
  </si>
  <si>
    <t>Ⅵ-兴1</t>
    <phoneticPr fontId="4" type="noConversion"/>
  </si>
  <si>
    <t>Ⅵ-昌1</t>
    <phoneticPr fontId="4" type="noConversion"/>
  </si>
  <si>
    <t>Ⅵ-亦1</t>
    <phoneticPr fontId="4" type="noConversion"/>
  </si>
  <si>
    <t>Ⅵ-创新园</t>
    <phoneticPr fontId="4" type="noConversion"/>
  </si>
  <si>
    <t>Ⅵ-海淀环保园</t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</si>
  <si>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</si>
  <si>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</si>
  <si>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</si>
  <si>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Ⅵ-天竺保税区南</t>
    <phoneticPr fontId="4" type="noConversion"/>
  </si>
  <si>
    <t>Ⅵ-天竺保税区北1</t>
    <phoneticPr fontId="4" type="noConversion"/>
  </si>
  <si>
    <t>Ⅵ-空港A</t>
    <phoneticPr fontId="4" type="noConversion"/>
  </si>
  <si>
    <t>Ⅵ-空港B</t>
    <phoneticPr fontId="4" type="noConversion"/>
  </si>
  <si>
    <t>Ⅵ-生命科学园</t>
    <phoneticPr fontId="4" type="noConversion"/>
  </si>
  <si>
    <t>Ⅵ-昌三一光电</t>
    <phoneticPr fontId="4" type="noConversion"/>
  </si>
  <si>
    <t>Ⅵ-BDA核心</t>
    <phoneticPr fontId="4" type="noConversion"/>
  </si>
  <si>
    <t>Ⅶ-01</t>
    <phoneticPr fontId="4" type="noConversion"/>
  </si>
  <si>
    <t>Ⅶ-门1</t>
    <phoneticPr fontId="4" type="noConversion"/>
  </si>
  <si>
    <t>Ⅶ-房1</t>
    <phoneticPr fontId="4" type="noConversion"/>
  </si>
  <si>
    <t>Ⅶ-通1</t>
    <phoneticPr fontId="4" type="noConversion"/>
  </si>
  <si>
    <t>Ⅶ-顺1</t>
    <phoneticPr fontId="4" type="noConversion"/>
  </si>
  <si>
    <t>Ⅶ-兴1</t>
    <phoneticPr fontId="4" type="noConversion"/>
  </si>
  <si>
    <t>Ⅶ-昌1</t>
    <phoneticPr fontId="4" type="noConversion"/>
  </si>
  <si>
    <t>Ⅶ-亦1</t>
    <phoneticPr fontId="4" type="noConversion"/>
  </si>
  <si>
    <t>Ⅶ-国际教育园</t>
    <phoneticPr fontId="4" type="noConversion"/>
  </si>
  <si>
    <t>Ⅶ-农林园</t>
    <phoneticPr fontId="4" type="noConversion"/>
  </si>
  <si>
    <t>Ⅶ-上庄科技</t>
    <phoneticPr fontId="4" type="noConversion"/>
  </si>
  <si>
    <t>Ⅶ-文化教育基地</t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</si>
  <si>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</si>
  <si>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</si>
  <si>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</si>
  <si>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4" type="noConversion"/>
  </si>
  <si>
    <t>Ⅶ-石龙开发区</t>
    <phoneticPr fontId="4" type="noConversion"/>
  </si>
  <si>
    <t>Ⅶ-光机电</t>
    <phoneticPr fontId="4" type="noConversion"/>
  </si>
  <si>
    <t>Ⅶ-通州开发区西</t>
    <phoneticPr fontId="4" type="noConversion"/>
  </si>
  <si>
    <t>Ⅶ-林河开发区</t>
    <phoneticPr fontId="4" type="noConversion"/>
  </si>
  <si>
    <t>Ⅶ-大兴开发区</t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</si>
  <si>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</si>
  <si>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</si>
  <si>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</si>
  <si>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4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</si>
  <si>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4" type="noConversion"/>
  </si>
  <si>
    <t>Ⅶ-BDA东</t>
    <phoneticPr fontId="4" type="noConversion"/>
  </si>
  <si>
    <t>Ⅶ-BDA西</t>
    <phoneticPr fontId="4" type="noConversion"/>
  </si>
  <si>
    <t>Ⅷ-01</t>
    <phoneticPr fontId="4" type="noConversion"/>
  </si>
  <si>
    <t>Ⅷ-门1</t>
    <phoneticPr fontId="4" type="noConversion"/>
  </si>
  <si>
    <t>Ⅷ-门军</t>
    <phoneticPr fontId="4" type="noConversion"/>
  </si>
  <si>
    <t>Ⅷ-房1</t>
    <phoneticPr fontId="4" type="noConversion"/>
  </si>
  <si>
    <t>Ⅷ-通1</t>
    <phoneticPr fontId="4" type="noConversion"/>
  </si>
  <si>
    <t>Ⅷ-顺1</t>
    <phoneticPr fontId="4" type="noConversion"/>
  </si>
  <si>
    <t>Ⅷ-顺3</t>
    <phoneticPr fontId="4" type="noConversion"/>
  </si>
  <si>
    <t>Ⅷ-兴1</t>
    <phoneticPr fontId="4" type="noConversion"/>
  </si>
  <si>
    <t>Ⅷ-昌1</t>
    <phoneticPr fontId="4" type="noConversion"/>
  </si>
  <si>
    <t>Ⅷ-平1</t>
    <phoneticPr fontId="4" type="noConversion"/>
  </si>
  <si>
    <t>Ⅷ-怀1</t>
    <phoneticPr fontId="4" type="noConversion"/>
  </si>
  <si>
    <t>Ⅷ-密1</t>
    <phoneticPr fontId="4" type="noConversion"/>
  </si>
  <si>
    <t>Ⅷ-廷1</t>
    <phoneticPr fontId="4" type="noConversion"/>
  </si>
  <si>
    <t>Ⅷ-亦1</t>
    <phoneticPr fontId="4" type="noConversion"/>
  </si>
  <si>
    <t>Ⅷ-良乡开发区A</t>
    <phoneticPr fontId="4" type="noConversion"/>
  </si>
  <si>
    <t>Ⅷ-良乡开发区B</t>
    <phoneticPr fontId="4" type="noConversion"/>
  </si>
  <si>
    <t>Ⅷ-良乡开发区C</t>
    <phoneticPr fontId="4" type="noConversion"/>
  </si>
  <si>
    <t>Ⅷ-通州环保园</t>
    <phoneticPr fontId="4" type="noConversion"/>
  </si>
  <si>
    <t>Ⅷ-空港北区A</t>
    <phoneticPr fontId="4" type="noConversion"/>
  </si>
  <si>
    <t>Ⅷ-空港北区B</t>
    <phoneticPr fontId="4" type="noConversion"/>
  </si>
  <si>
    <t>Ⅷ-生物医药基地</t>
    <phoneticPr fontId="4" type="noConversion"/>
  </si>
  <si>
    <t>Ⅷ-小汤山工业园</t>
    <phoneticPr fontId="4" type="noConversion"/>
  </si>
  <si>
    <t>Ⅸ-01</t>
    <phoneticPr fontId="4" type="noConversion"/>
  </si>
  <si>
    <t>Ⅸ-门1</t>
    <phoneticPr fontId="4" type="noConversion"/>
  </si>
  <si>
    <t>Ⅸ-门2</t>
    <phoneticPr fontId="4" type="noConversion"/>
  </si>
  <si>
    <t>Ⅸ-门潭</t>
    <phoneticPr fontId="4" type="noConversion"/>
  </si>
  <si>
    <t>Ⅸ-房1</t>
    <phoneticPr fontId="4" type="noConversion"/>
  </si>
  <si>
    <t>Ⅸ-通1</t>
    <phoneticPr fontId="4" type="noConversion"/>
  </si>
  <si>
    <t>Ⅸ-顺1</t>
    <phoneticPr fontId="4" type="noConversion"/>
  </si>
  <si>
    <t>Ⅸ-兴1</t>
    <phoneticPr fontId="4" type="noConversion"/>
  </si>
  <si>
    <t>Ⅸ-昌1</t>
    <phoneticPr fontId="4" type="noConversion"/>
  </si>
  <si>
    <t>Ⅸ-昌南</t>
    <phoneticPr fontId="4" type="noConversion"/>
  </si>
  <si>
    <t>Ⅸ-平1</t>
    <phoneticPr fontId="4" type="noConversion"/>
  </si>
  <si>
    <t>Ⅸ-怀1</t>
    <phoneticPr fontId="4" type="noConversion"/>
  </si>
  <si>
    <t>Ⅸ-密1</t>
    <phoneticPr fontId="4" type="noConversion"/>
  </si>
  <si>
    <t>Ⅸ-延1</t>
    <phoneticPr fontId="4" type="noConversion"/>
  </si>
  <si>
    <t>Ⅸ-亦1</t>
    <phoneticPr fontId="4" type="noConversion"/>
  </si>
  <si>
    <t>Ⅸ-房山工业园东</t>
    <phoneticPr fontId="4" type="noConversion"/>
  </si>
  <si>
    <t>Ⅸ-房山工业园西</t>
    <phoneticPr fontId="4" type="noConversion"/>
  </si>
  <si>
    <t>Ⅸ-通州开发区东</t>
    <phoneticPr fontId="4" type="noConversion"/>
  </si>
  <si>
    <t>Ⅸ-永乐开发区</t>
    <phoneticPr fontId="4" type="noConversion"/>
  </si>
  <si>
    <t>Ⅸ-采育开发区</t>
    <phoneticPr fontId="4" type="noConversion"/>
  </si>
  <si>
    <t>Ⅸ-兴谷开发区A</t>
    <phoneticPr fontId="4" type="noConversion"/>
  </si>
  <si>
    <t>Ⅸ-兴谷开发区B</t>
    <phoneticPr fontId="4" type="noConversion"/>
  </si>
  <si>
    <t>Ⅸ-雁栖开发区A</t>
    <phoneticPr fontId="4" type="noConversion"/>
  </si>
  <si>
    <t>Ⅸ-雁栖开发区B</t>
    <phoneticPr fontId="4" type="noConversion"/>
  </si>
  <si>
    <t>Ⅸ-雁栖开发区C</t>
    <phoneticPr fontId="4" type="noConversion"/>
  </si>
  <si>
    <t>Ⅸ-密云开发区</t>
    <phoneticPr fontId="4" type="noConversion"/>
  </si>
  <si>
    <t>Ⅹ-01</t>
    <phoneticPr fontId="4" type="noConversion"/>
  </si>
  <si>
    <t>Ⅹ-门1</t>
    <phoneticPr fontId="4" type="noConversion"/>
  </si>
  <si>
    <t>Ⅹ-门斋</t>
    <phoneticPr fontId="4" type="noConversion"/>
  </si>
  <si>
    <t>Ⅹ-房1</t>
    <phoneticPr fontId="4" type="noConversion"/>
  </si>
  <si>
    <t>Ⅹ-通1</t>
    <phoneticPr fontId="4" type="noConversion"/>
  </si>
  <si>
    <t>Ⅹ-顺1</t>
    <phoneticPr fontId="4" type="noConversion"/>
  </si>
  <si>
    <t>Ⅹ-兴1</t>
    <phoneticPr fontId="4" type="noConversion"/>
  </si>
  <si>
    <t>Ⅹ-昌1</t>
    <phoneticPr fontId="4" type="noConversion"/>
  </si>
  <si>
    <t>Ⅹ-平1</t>
    <phoneticPr fontId="4" type="noConversion"/>
  </si>
  <si>
    <t>Ⅹ-怀1</t>
    <phoneticPr fontId="4" type="noConversion"/>
  </si>
  <si>
    <t>Ⅹ-密1</t>
    <phoneticPr fontId="4" type="noConversion"/>
  </si>
  <si>
    <t>Ⅹ-延1</t>
    <phoneticPr fontId="4" type="noConversion"/>
  </si>
  <si>
    <t>Ⅹ-亦1</t>
    <phoneticPr fontId="4" type="noConversion"/>
  </si>
  <si>
    <t>Ⅹ-马坊工业园</t>
    <phoneticPr fontId="4" type="noConversion"/>
  </si>
  <si>
    <t>Ⅹ-延庆开发区</t>
    <phoneticPr fontId="4" type="noConversion"/>
  </si>
  <si>
    <t>Ⅹ-八达岭开发区</t>
    <phoneticPr fontId="4" type="noConversion"/>
  </si>
  <si>
    <t>十一级</t>
    <phoneticPr fontId="4" type="noConversion"/>
  </si>
  <si>
    <t>Ⅺ-门1</t>
    <phoneticPr fontId="4" type="noConversion"/>
  </si>
  <si>
    <t>Ⅺ-门斋</t>
    <phoneticPr fontId="4" type="noConversion"/>
  </si>
  <si>
    <t>Ⅺ-房1</t>
    <phoneticPr fontId="4" type="noConversion"/>
  </si>
  <si>
    <t>Ⅺ-通1</t>
    <phoneticPr fontId="4" type="noConversion"/>
  </si>
  <si>
    <t>Ⅺ-顺1</t>
    <phoneticPr fontId="4" type="noConversion"/>
  </si>
  <si>
    <t>Ⅺ-兴1</t>
    <phoneticPr fontId="4" type="noConversion"/>
  </si>
  <si>
    <t>Ⅺ-兴2</t>
    <phoneticPr fontId="4" type="noConversion"/>
  </si>
  <si>
    <t>Ⅺ-昌1</t>
    <phoneticPr fontId="4" type="noConversion"/>
  </si>
  <si>
    <t>Ⅺ-平1</t>
    <phoneticPr fontId="4" type="noConversion"/>
  </si>
  <si>
    <t>Ⅺ-怀1</t>
    <phoneticPr fontId="4" type="noConversion"/>
  </si>
  <si>
    <t>Ⅺ-密1</t>
    <phoneticPr fontId="4" type="noConversion"/>
  </si>
  <si>
    <t>Ⅺ-延1</t>
    <phoneticPr fontId="4" type="noConversion"/>
  </si>
  <si>
    <t>十二级</t>
    <phoneticPr fontId="4" type="noConversion"/>
  </si>
  <si>
    <t>Ⅻ-门1</t>
    <phoneticPr fontId="4" type="noConversion"/>
  </si>
  <si>
    <t>Ⅻ-房1</t>
    <phoneticPr fontId="4" type="noConversion"/>
  </si>
  <si>
    <t>Ⅻ-昌1</t>
    <phoneticPr fontId="4" type="noConversion"/>
  </si>
  <si>
    <t>Ⅻ-平1</t>
    <phoneticPr fontId="4" type="noConversion"/>
  </si>
  <si>
    <t>Ⅻ-怀1</t>
    <phoneticPr fontId="4" type="noConversion"/>
  </si>
  <si>
    <t>Ⅻ-密1</t>
    <phoneticPr fontId="4" type="noConversion"/>
  </si>
  <si>
    <t>Ⅻ-延1</t>
    <phoneticPr fontId="4" type="noConversion"/>
  </si>
  <si>
    <t>幅度控制(±)</t>
    <phoneticPr fontId="4" type="noConversion"/>
  </si>
  <si>
    <t>元</t>
    <phoneticPr fontId="33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</si>
  <si>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3" type="noConversion"/>
  </si>
  <si>
    <t>结构</t>
    <phoneticPr fontId="11" type="noConversion"/>
  </si>
  <si>
    <t>非生产用房</t>
  </si>
  <si>
    <t>非生产用房</t>
    <phoneticPr fontId="11" type="noConversion"/>
  </si>
  <si>
    <t>生产用房</t>
  </si>
  <si>
    <t>生产用房</t>
    <phoneticPr fontId="11" type="noConversion"/>
  </si>
  <si>
    <t>受腐蚀的生产用房</t>
  </si>
  <si>
    <t>建筑使用方向</t>
    <phoneticPr fontId="11" type="noConversion"/>
  </si>
  <si>
    <t>受腐蚀的生产用房</t>
    <phoneticPr fontId="11" type="noConversion"/>
  </si>
  <si>
    <t>结构类型</t>
  </si>
  <si>
    <t>建筑物结构</t>
    <phoneticPr fontId="4" type="noConversion"/>
  </si>
  <si>
    <t>建筑使用方向</t>
    <phoneticPr fontId="4" type="noConversion"/>
  </si>
  <si>
    <t>建成年代</t>
    <phoneticPr fontId="4" type="noConversion"/>
  </si>
  <si>
    <t>建筑物耐用年限</t>
    <phoneticPr fontId="4" type="noConversion"/>
  </si>
  <si>
    <t>钢</t>
    <phoneticPr fontId="4" type="noConversion"/>
  </si>
  <si>
    <t>钢混</t>
    <phoneticPr fontId="4" type="noConversion"/>
  </si>
  <si>
    <t>砖混</t>
    <phoneticPr fontId="4" type="noConversion"/>
  </si>
  <si>
    <t>各因素幅度控制(±)</t>
    <phoneticPr fontId="4" type="noConversion"/>
  </si>
  <si>
    <t>各因素幅度控制(±)</t>
    <phoneticPr fontId="4" type="noConversion"/>
  </si>
  <si>
    <t>北京市基准地价商业用途楼层修正系数表</t>
    <phoneticPr fontId="4" type="noConversion"/>
  </si>
  <si>
    <t>用途</t>
    <phoneticPr fontId="4" type="noConversion"/>
  </si>
  <si>
    <t>所在楼层</t>
    <phoneticPr fontId="4" type="noConversion"/>
  </si>
  <si>
    <t>楼层修正系数</t>
    <phoneticPr fontId="4" type="noConversion"/>
  </si>
  <si>
    <t>一级</t>
    <phoneticPr fontId="4" type="noConversion"/>
  </si>
  <si>
    <t>二级</t>
    <phoneticPr fontId="4" type="noConversion"/>
  </si>
  <si>
    <t>三级</t>
    <phoneticPr fontId="4" type="noConversion"/>
  </si>
  <si>
    <t>四级</t>
    <phoneticPr fontId="4" type="noConversion"/>
  </si>
  <si>
    <t>五级</t>
    <phoneticPr fontId="4" type="noConversion"/>
  </si>
  <si>
    <t>六级</t>
    <phoneticPr fontId="4" type="noConversion"/>
  </si>
  <si>
    <t>七级</t>
    <phoneticPr fontId="4" type="noConversion"/>
  </si>
  <si>
    <t>八级</t>
    <phoneticPr fontId="4" type="noConversion"/>
  </si>
  <si>
    <t>九级</t>
    <phoneticPr fontId="4" type="noConversion"/>
  </si>
  <si>
    <t>十级</t>
    <phoneticPr fontId="4" type="noConversion"/>
  </si>
  <si>
    <t>十一级</t>
    <phoneticPr fontId="4" type="noConversion"/>
  </si>
  <si>
    <t>十二级</t>
    <phoneticPr fontId="4" type="noConversion"/>
  </si>
  <si>
    <t>说明：R为宗地地上容积率</t>
    <phoneticPr fontId="4" type="noConversion"/>
  </si>
  <si>
    <r>
      <rPr>
        <sz val="10"/>
        <rFont val="楷体_GB2312"/>
        <family val="3"/>
        <charset val="134"/>
      </rPr>
      <t>修正系数</t>
    </r>
    <phoneticPr fontId="4" type="noConversion"/>
  </si>
  <si>
    <t>土地级别</t>
    <phoneticPr fontId="4" type="noConversion"/>
  </si>
  <si>
    <t>建筑面积</t>
    <phoneticPr fontId="67" type="noConversion"/>
  </si>
  <si>
    <t>2017-1</t>
    <phoneticPr fontId="67" type="noConversion"/>
  </si>
  <si>
    <t>2017-2</t>
    <phoneticPr fontId="67" type="noConversion"/>
  </si>
  <si>
    <t>2017-3</t>
    <phoneticPr fontId="67" type="noConversion"/>
  </si>
  <si>
    <t>公共配套设施</t>
    <phoneticPr fontId="11" type="noConversion"/>
  </si>
  <si>
    <t>基础设施水平</t>
    <phoneticPr fontId="11" type="noConversion"/>
  </si>
  <si>
    <t>七通</t>
    <phoneticPr fontId="11" type="noConversion"/>
  </si>
  <si>
    <t>六通</t>
    <phoneticPr fontId="11" type="noConversion"/>
  </si>
  <si>
    <t>五通</t>
    <phoneticPr fontId="11" type="noConversion"/>
  </si>
  <si>
    <t>四通</t>
    <phoneticPr fontId="11" type="noConversion"/>
  </si>
  <si>
    <t>三通</t>
    <phoneticPr fontId="11" type="noConversion"/>
  </si>
  <si>
    <t>公共配套设施</t>
    <phoneticPr fontId="24" type="noConversion"/>
  </si>
  <si>
    <t>基础设施水平</t>
    <phoneticPr fontId="24" type="noConversion"/>
  </si>
  <si>
    <t>估价对象所在区域公共配套设施齐备情况</t>
    <phoneticPr fontId="44" type="noConversion"/>
  </si>
  <si>
    <t>估价对象所在区域基础设施水平</t>
    <phoneticPr fontId="24" type="noConversion"/>
  </si>
  <si>
    <t>七通</t>
    <phoneticPr fontId="24" type="noConversion"/>
  </si>
  <si>
    <t>六通</t>
    <phoneticPr fontId="24" type="noConversion"/>
  </si>
  <si>
    <t>五通</t>
    <phoneticPr fontId="24" type="noConversion"/>
  </si>
  <si>
    <t>四通</t>
    <phoneticPr fontId="24" type="noConversion"/>
  </si>
  <si>
    <t>三通</t>
    <phoneticPr fontId="24" type="noConversion"/>
  </si>
  <si>
    <t>公共配套设施</t>
    <phoneticPr fontId="33" type="noConversion"/>
  </si>
  <si>
    <t>基础设施水平</t>
    <phoneticPr fontId="33" type="noConversion"/>
  </si>
  <si>
    <t>基础设施水平</t>
    <phoneticPr fontId="33" type="noConversion"/>
  </si>
  <si>
    <t>前期开发成本发生时间</t>
  </si>
  <si>
    <t>适用的基准地价</t>
  </si>
  <si>
    <t>计算公式</t>
  </si>
  <si>
    <t>说明：</t>
    <phoneticPr fontId="109" type="noConversion"/>
  </si>
  <si>
    <t>2002年12月10日之前</t>
  </si>
  <si>
    <t>1993年北京市基准地价（京政发〔1993〕34号）</t>
    <phoneticPr fontId="109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</si>
  <si>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9" type="noConversion"/>
  </si>
  <si>
    <t>①应用1993年北京市基准地价进行前期开发成本测算，当被转让旧房及建筑物为非住宅时，不计取小区建设配套费。</t>
    <phoneticPr fontId="109" type="noConversion"/>
  </si>
  <si>
    <t>2002年12月10日（含）～2014年8月28日之前</t>
  </si>
  <si>
    <t>2002年北京市基准地价（京政发〔2002〕32号）</t>
    <phoneticPr fontId="109" type="noConversion"/>
  </si>
  <si>
    <t>前期开发成本（元/建筑面积）=楼面熟地价-地价款</t>
    <phoneticPr fontId="109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</si>
  <si>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9" type="noConversion"/>
  </si>
  <si>
    <t>2014年8月28日（含）以后</t>
  </si>
  <si>
    <t>2014年北京市基准地价（京政发〔2014〕26号）</t>
    <phoneticPr fontId="109" type="noConversion"/>
  </si>
  <si>
    <t>前期开发成本（元/建筑面积）=楼面熟地价-政府土地出让收益</t>
    <phoneticPr fontId="109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</si>
  <si>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9" type="noConversion"/>
  </si>
  <si>
    <t>成本法</t>
    <phoneticPr fontId="109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</si>
  <si>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9" type="noConversion"/>
  </si>
  <si>
    <t>土地面积（㎡）</t>
    <phoneticPr fontId="109" type="noConversion"/>
  </si>
  <si>
    <t>建筑面积（㎡）</t>
    <phoneticPr fontId="109" type="noConversion"/>
  </si>
  <si>
    <t>容积率</t>
  </si>
  <si>
    <t>序号</t>
    <phoneticPr fontId="109" type="noConversion"/>
  </si>
  <si>
    <t>项目</t>
    <phoneticPr fontId="109" type="noConversion"/>
  </si>
  <si>
    <t>单价（元/㎡）</t>
    <phoneticPr fontId="109" type="noConversion"/>
  </si>
  <si>
    <t>=1+2+3+4</t>
    <phoneticPr fontId="109" type="noConversion"/>
  </si>
  <si>
    <t>楼面熟地单价</t>
  </si>
  <si>
    <t>出让金水平</t>
    <phoneticPr fontId="109" type="noConversion"/>
  </si>
  <si>
    <t>项目</t>
    <phoneticPr fontId="109" type="noConversion"/>
  </si>
  <si>
    <t>管理费用</t>
    <phoneticPr fontId="109" type="noConversion"/>
  </si>
  <si>
    <t>财务费用</t>
    <phoneticPr fontId="109" type="noConversion"/>
  </si>
  <si>
    <t>其他成本费用</t>
    <phoneticPr fontId="109" type="noConversion"/>
  </si>
  <si>
    <t>工业用途18%-28%、居住用途30%-50%、商业用途35%-50%、办公用途25%-40%计取</t>
    <phoneticPr fontId="109" type="noConversion"/>
  </si>
  <si>
    <t>（1+2）×费率</t>
    <phoneticPr fontId="109" type="noConversion"/>
  </si>
  <si>
    <t>=1+2+3+4</t>
    <phoneticPr fontId="109" type="noConversion"/>
  </si>
  <si>
    <t>建筑安装工程费</t>
    <phoneticPr fontId="109" type="noConversion"/>
  </si>
  <si>
    <t>基础、结构、设备安装等</t>
    <phoneticPr fontId="109" type="noConversion"/>
  </si>
  <si>
    <t>装修</t>
    <phoneticPr fontId="109" type="noConversion"/>
  </si>
  <si>
    <t>工程勘察设计和前期工程费</t>
    <phoneticPr fontId="109" type="noConversion"/>
  </si>
  <si>
    <t>5%-8%计取</t>
    <phoneticPr fontId="109" type="noConversion"/>
  </si>
  <si>
    <t xml:space="preserve">建筑安装工程费×费率 </t>
    <phoneticPr fontId="109" type="noConversion"/>
  </si>
  <si>
    <t>室外工程费</t>
    <phoneticPr fontId="109" type="noConversion"/>
  </si>
  <si>
    <t>10%-15%计取</t>
    <phoneticPr fontId="109" type="noConversion"/>
  </si>
  <si>
    <t>基础设施建设费</t>
  </si>
  <si>
    <t>5%-15%计取</t>
    <phoneticPr fontId="109" type="noConversion"/>
  </si>
  <si>
    <t>2%-5%计取</t>
    <phoneticPr fontId="109" type="noConversion"/>
  </si>
  <si>
    <t>房屋重置成本价</t>
    <phoneticPr fontId="109" type="noConversion"/>
  </si>
  <si>
    <t>单价</t>
    <phoneticPr fontId="109" type="noConversion"/>
  </si>
  <si>
    <t>总价</t>
    <phoneticPr fontId="109" type="noConversion"/>
  </si>
  <si>
    <t>折扣率</t>
    <phoneticPr fontId="109" type="noConversion"/>
  </si>
  <si>
    <t>权重</t>
    <phoneticPr fontId="109" type="noConversion"/>
  </si>
  <si>
    <t>直线法测算成新度折扣率</t>
    <phoneticPr fontId="109" type="noConversion"/>
  </si>
  <si>
    <t>←不应低于30%</t>
    <phoneticPr fontId="109" type="noConversion"/>
  </si>
  <si>
    <t>观察法测算成新度折扣率</t>
    <phoneticPr fontId="109" type="noConversion"/>
  </si>
  <si>
    <t>基础工程</t>
    <phoneticPr fontId="4" type="noConversion"/>
  </si>
  <si>
    <t>结构工程</t>
    <phoneticPr fontId="4" type="noConversion"/>
  </si>
  <si>
    <t>设备安装及装饰工程</t>
    <phoneticPr fontId="4" type="noConversion"/>
  </si>
  <si>
    <t>估价对象成新度折扣率</t>
    <phoneticPr fontId="109" type="noConversion"/>
  </si>
  <si>
    <t>房屋重置成新单价</t>
    <phoneticPr fontId="109" type="noConversion"/>
  </si>
  <si>
    <t>房屋重置成本单价×成新度折扣率</t>
    <phoneticPr fontId="109" type="noConversion"/>
  </si>
  <si>
    <t>房屋重置成新总价</t>
    <phoneticPr fontId="109" type="noConversion"/>
  </si>
  <si>
    <t>房屋重置成本总价×成新度折扣率</t>
    <phoneticPr fontId="109" type="noConversion"/>
  </si>
  <si>
    <t>残值率</t>
    <phoneticPr fontId="109" type="noConversion"/>
  </si>
  <si>
    <t>砖木（一等）</t>
    <phoneticPr fontId="4" type="noConversion"/>
  </si>
  <si>
    <t>砖木（二等）</t>
    <phoneticPr fontId="4" type="noConversion"/>
  </si>
  <si>
    <t>砖木（三等）</t>
    <phoneticPr fontId="4" type="noConversion"/>
  </si>
  <si>
    <t>简易</t>
    <phoneticPr fontId="4" type="noConversion"/>
  </si>
  <si>
    <t>残值率</t>
    <phoneticPr fontId="4" type="noConversion"/>
  </si>
  <si>
    <t>建筑物已使用年限</t>
    <phoneticPr fontId="4" type="noConversion"/>
  </si>
  <si>
    <t>（非住宅不计）</t>
    <phoneticPr fontId="109" type="noConversion"/>
  </si>
  <si>
    <t>建设期</t>
    <phoneticPr fontId="4" type="noConversion"/>
  </si>
  <si>
    <t>价值时点</t>
    <phoneticPr fontId="109" type="noConversion"/>
  </si>
  <si>
    <t>法定最高/出让年限</t>
    <phoneticPr fontId="4" type="noConversion"/>
  </si>
  <si>
    <t>（1）</t>
    <phoneticPr fontId="109" type="noConversion"/>
  </si>
  <si>
    <t>（2）</t>
    <phoneticPr fontId="109" type="noConversion"/>
  </si>
  <si>
    <t>（3）</t>
  </si>
  <si>
    <t>1）</t>
    <phoneticPr fontId="109" type="noConversion"/>
  </si>
  <si>
    <t>2）</t>
    <phoneticPr fontId="109" type="noConversion"/>
  </si>
  <si>
    <t>1）</t>
    <phoneticPr fontId="109" type="noConversion"/>
  </si>
  <si>
    <t>2）</t>
    <phoneticPr fontId="109" type="noConversion"/>
  </si>
  <si>
    <t>一、房屋重置成本价</t>
    <phoneticPr fontId="109" type="noConversion"/>
  </si>
  <si>
    <t>（一）</t>
    <phoneticPr fontId="109" type="noConversion"/>
  </si>
  <si>
    <t>二、成新度折扣率</t>
    <phoneticPr fontId="109" type="noConversion"/>
  </si>
  <si>
    <t>（二）</t>
    <phoneticPr fontId="109" type="noConversion"/>
  </si>
  <si>
    <t>（三）</t>
    <phoneticPr fontId="109" type="noConversion"/>
  </si>
  <si>
    <t>三、估价结果确定</t>
    <phoneticPr fontId="109" type="noConversion"/>
  </si>
  <si>
    <t>公式</t>
    <phoneticPr fontId="109" type="noConversion"/>
  </si>
  <si>
    <t>（二)</t>
    <phoneticPr fontId="109" type="noConversion"/>
  </si>
  <si>
    <t>公共配套设施建设费</t>
    <phoneticPr fontId="109" type="noConversion"/>
  </si>
  <si>
    <t>基础信息</t>
    <phoneticPr fontId="109" type="noConversion"/>
  </si>
  <si>
    <t>1%-3%计取</t>
    <phoneticPr fontId="109" type="noConversion"/>
  </si>
  <si>
    <t>=（1）-（2）</t>
    <phoneticPr fontId="109" type="noConversion"/>
  </si>
  <si>
    <t>=（1）+（2）+（3）</t>
    <phoneticPr fontId="109" type="noConversion"/>
  </si>
  <si>
    <t>=1）+2）</t>
    <phoneticPr fontId="109" type="noConversion"/>
  </si>
  <si>
    <t>费率</t>
    <phoneticPr fontId="109" type="noConversion"/>
  </si>
  <si>
    <t>土地级别</t>
    <phoneticPr fontId="109" type="noConversion"/>
  </si>
  <si>
    <t>区片编号</t>
    <phoneticPr fontId="109" type="noConversion"/>
  </si>
  <si>
    <t>高限</t>
    <phoneticPr fontId="109" type="noConversion"/>
  </si>
  <si>
    <t>低限</t>
    <phoneticPr fontId="109" type="noConversion"/>
  </si>
  <si>
    <t>商业</t>
    <phoneticPr fontId="109" type="noConversion"/>
  </si>
  <si>
    <t>综合</t>
    <phoneticPr fontId="109" type="noConversion"/>
  </si>
  <si>
    <t>居住</t>
    <phoneticPr fontId="109" type="noConversion"/>
  </si>
  <si>
    <t>工业</t>
    <phoneticPr fontId="109" type="noConversion"/>
  </si>
  <si>
    <t>熟地价</t>
    <phoneticPr fontId="109" type="noConversion"/>
  </si>
  <si>
    <t>毛地价</t>
    <phoneticPr fontId="109" type="noConversion"/>
  </si>
  <si>
    <t>办公/综合</t>
    <phoneticPr fontId="11" type="noConversion"/>
  </si>
  <si>
    <t>住宅/居住</t>
    <phoneticPr fontId="11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</si>
  <si>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</si>
  <si>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</si>
  <si>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</si>
  <si>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住宅/居住</t>
    <phoneticPr fontId="4" type="noConversion"/>
  </si>
  <si>
    <t>办公/综合</t>
    <phoneticPr fontId="4" type="noConversion"/>
  </si>
  <si>
    <t>办公/综合</t>
    <phoneticPr fontId="4" type="noConversion"/>
  </si>
  <si>
    <t>住宅/居住</t>
    <phoneticPr fontId="4" type="noConversion"/>
  </si>
  <si>
    <t>住宅/居住</t>
    <phoneticPr fontId="4" type="noConversion"/>
  </si>
  <si>
    <t>商业（远郊）</t>
    <phoneticPr fontId="4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</si>
  <si>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</si>
  <si>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9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</si>
  <si>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9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</si>
  <si>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</si>
  <si>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9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</si>
  <si>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9" type="noConversion"/>
  </si>
  <si>
    <t>公共服务设施和基础设施状况</t>
    <phoneticPr fontId="4" type="noConversion"/>
  </si>
  <si>
    <t>与商业中心的接近程度</t>
    <phoneticPr fontId="4" type="noConversion"/>
  </si>
  <si>
    <t>影响因素</t>
  </si>
  <si>
    <t>低</t>
    <phoneticPr fontId="109" type="noConversion"/>
  </si>
  <si>
    <t>高</t>
    <phoneticPr fontId="109" type="noConversion"/>
  </si>
  <si>
    <t>影响因素/低</t>
    <phoneticPr fontId="109" type="noConversion"/>
  </si>
  <si>
    <t>影响因素/高</t>
    <phoneticPr fontId="109" type="noConversion"/>
  </si>
  <si>
    <t>低</t>
    <phoneticPr fontId="109" type="noConversion"/>
  </si>
  <si>
    <t>高</t>
    <phoneticPr fontId="109" type="noConversion"/>
  </si>
  <si>
    <t>六、</t>
    <phoneticPr fontId="109" type="noConversion"/>
  </si>
  <si>
    <t>楼面熟地价</t>
    <phoneticPr fontId="4" type="noConversion"/>
  </si>
  <si>
    <t>楼面毛地价</t>
    <phoneticPr fontId="109" type="noConversion"/>
  </si>
  <si>
    <t>地面毛地价</t>
    <phoneticPr fontId="109" type="noConversion"/>
  </si>
  <si>
    <t>地面熟地价</t>
    <phoneticPr fontId="4" type="noConversion"/>
  </si>
  <si>
    <t>楼面熟地价=适用的基准地价×期日修正系数×年期修正系数×容积率修正系数×因素修正系数</t>
    <phoneticPr fontId="4" type="noConversion"/>
  </si>
  <si>
    <t>地面熟地价=适用的基准地价×期日修正系数×年期修正系数×容积率修正系数×因素修正系数×宗地容积率</t>
    <phoneticPr fontId="4" type="noConversion"/>
  </si>
  <si>
    <t>楼面毛地价=适用的基准地价×期日修正系数×年期修正系数×因素修正系数×级别平均容积率/宗地容积率</t>
    <phoneticPr fontId="4" type="noConversion"/>
  </si>
  <si>
    <t>地面毛地价=适用的基准地价×期日修正系数×年期修正系数×因素修正系数×级别平均容积率</t>
    <phoneticPr fontId="4" type="noConversion"/>
  </si>
  <si>
    <t>其他修正</t>
    <phoneticPr fontId="4" type="noConversion"/>
  </si>
  <si>
    <t>楼面熟地价</t>
    <phoneticPr fontId="4" type="noConversion"/>
  </si>
  <si>
    <t>楼面熟地价</t>
    <phoneticPr fontId="109" type="noConversion"/>
  </si>
  <si>
    <t>楼面毛低价</t>
    <phoneticPr fontId="109" type="noConversion"/>
  </si>
  <si>
    <t>其他修正，如开发程度</t>
    <phoneticPr fontId="109" type="noConversion"/>
  </si>
  <si>
    <t>1.熟地价</t>
    <phoneticPr fontId="109" type="noConversion"/>
  </si>
  <si>
    <t>2.毛地价</t>
    <phoneticPr fontId="109" type="noConversion"/>
  </si>
  <si>
    <t>面积</t>
    <phoneticPr fontId="4" type="noConversion"/>
  </si>
  <si>
    <t>土地面积</t>
    <phoneticPr fontId="67" type="noConversion"/>
  </si>
  <si>
    <t>出让金及城市基础设施建设费</t>
    <phoneticPr fontId="109" type="noConversion"/>
  </si>
  <si>
    <t>办公/综合</t>
    <phoneticPr fontId="4" type="noConversion"/>
  </si>
  <si>
    <t>住宅/居住</t>
    <phoneticPr fontId="109" type="noConversion"/>
  </si>
  <si>
    <t>2014基准地价</t>
    <phoneticPr fontId="11" type="noConversion"/>
  </si>
  <si>
    <t>2002基准地价</t>
    <phoneticPr fontId="11" type="noConversion"/>
  </si>
  <si>
    <t>住宅/居住</t>
    <phoneticPr fontId="67" type="noConversion"/>
  </si>
  <si>
    <t>3.出让金</t>
    <phoneticPr fontId="109" type="noConversion"/>
  </si>
  <si>
    <t>市区</t>
    <phoneticPr fontId="109" type="noConversion"/>
  </si>
  <si>
    <t>郊区</t>
    <phoneticPr fontId="109" type="noConversion"/>
  </si>
  <si>
    <t>位置</t>
    <phoneticPr fontId="109" type="noConversion"/>
  </si>
  <si>
    <t>1993基准地价</t>
    <phoneticPr fontId="11" type="noConversion"/>
  </si>
  <si>
    <t>估价结果一览表</t>
    <phoneticPr fontId="109" type="noConversion"/>
  </si>
  <si>
    <t>前期开发成本及其费用</t>
    <phoneticPr fontId="109" type="noConversion"/>
  </si>
  <si>
    <t>房屋建设成本及其费用</t>
  </si>
  <si>
    <t>名称</t>
  </si>
  <si>
    <t>单价
(元/㎡)</t>
    <phoneticPr fontId="109" type="noConversion"/>
  </si>
  <si>
    <t>费率</t>
  </si>
  <si>
    <t>费率</t>
    <phoneticPr fontId="109" type="noConversion"/>
  </si>
  <si>
    <t>1.前期开发成本</t>
    <phoneticPr fontId="109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</si>
  <si>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</si>
  <si>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</si>
  <si>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</si>
  <si>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</si>
  <si>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</si>
  <si>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9" type="noConversion"/>
  </si>
  <si>
    <t>2.管理费用</t>
  </si>
  <si>
    <t>3.财务费用</t>
    <phoneticPr fontId="109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</si>
  <si>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</si>
  <si>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</si>
  <si>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</si>
  <si>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</si>
  <si>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</si>
  <si>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</si>
  <si>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9" type="noConversion"/>
  </si>
  <si>
    <t>总价=重置成本单价×建筑面积</t>
  </si>
  <si>
    <t>成新度折扣率</t>
  </si>
  <si>
    <t>采用年龄-寿命法</t>
  </si>
  <si>
    <t>房屋重置成新单价</t>
    <phoneticPr fontId="109" type="noConversion"/>
  </si>
  <si>
    <t>重置成新单价=重置成本单价×成新度折扣率</t>
  </si>
  <si>
    <t>房屋重置成新总价（万元）</t>
    <phoneticPr fontId="109" type="noConversion"/>
  </si>
  <si>
    <t>重置成新总价=重置成本总价×成新度折扣率</t>
    <phoneticPr fontId="109" type="noConversion"/>
  </si>
  <si>
    <t>（1）建筑安装工程费</t>
    <phoneticPr fontId="5" type="noConversion"/>
  </si>
  <si>
    <t>（2）工程勘察设计和前期工程费</t>
    <phoneticPr fontId="5" type="noConversion"/>
  </si>
  <si>
    <t>（3）公共配套设施建设费</t>
    <phoneticPr fontId="5" type="noConversion"/>
  </si>
  <si>
    <t>（4）基础设施建设费</t>
    <phoneticPr fontId="5" type="noConversion"/>
  </si>
  <si>
    <t>2014基准地价</t>
    <phoneticPr fontId="4" type="noConversion"/>
  </si>
  <si>
    <t>2002基准地价</t>
    <phoneticPr fontId="4" type="noConversion"/>
  </si>
  <si>
    <t>1993基准地价</t>
    <phoneticPr fontId="4" type="noConversion"/>
  </si>
  <si>
    <t>容积率</t>
    <phoneticPr fontId="4" type="noConversion"/>
  </si>
  <si>
    <t>地价区类</t>
    <phoneticPr fontId="109" type="noConversion"/>
  </si>
  <si>
    <t>一类</t>
    <phoneticPr fontId="109" type="noConversion"/>
  </si>
  <si>
    <t>二类</t>
    <phoneticPr fontId="109" type="noConversion"/>
  </si>
  <si>
    <t>三类</t>
    <phoneticPr fontId="109" type="noConversion"/>
  </si>
  <si>
    <t>四类</t>
    <phoneticPr fontId="109" type="noConversion"/>
  </si>
  <si>
    <t>五类</t>
    <phoneticPr fontId="109" type="noConversion"/>
  </si>
  <si>
    <t>六类</t>
    <phoneticPr fontId="109" type="noConversion"/>
  </si>
  <si>
    <t>七类</t>
    <phoneticPr fontId="109" type="noConversion"/>
  </si>
  <si>
    <t>八类</t>
    <phoneticPr fontId="109" type="noConversion"/>
  </si>
  <si>
    <t>九类</t>
    <phoneticPr fontId="109" type="noConversion"/>
  </si>
  <si>
    <t>十类</t>
    <phoneticPr fontId="109" type="noConversion"/>
  </si>
  <si>
    <t>住宅</t>
    <phoneticPr fontId="109" type="noConversion"/>
  </si>
  <si>
    <t>工业</t>
    <phoneticPr fontId="109" type="noConversion"/>
  </si>
  <si>
    <r>
      <rPr>
        <sz val="10"/>
        <rFont val="楷体_GB2312"/>
        <family val="3"/>
        <charset val="134"/>
      </rPr>
      <t>出让金</t>
    </r>
    <phoneticPr fontId="109" type="noConversion"/>
  </si>
  <si>
    <r>
      <rPr>
        <sz val="10"/>
        <rFont val="楷体_GB2312"/>
        <family val="3"/>
        <charset val="134"/>
      </rPr>
      <t>商业</t>
    </r>
    <phoneticPr fontId="109" type="noConversion"/>
  </si>
  <si>
    <t>低</t>
    <phoneticPr fontId="109" type="noConversion"/>
  </si>
  <si>
    <t>高</t>
    <phoneticPr fontId="109" type="noConversion"/>
  </si>
  <si>
    <r>
      <rPr>
        <sz val="10"/>
        <rFont val="楷体_GB2312"/>
        <family val="3"/>
        <charset val="134"/>
      </rPr>
      <t>公寓</t>
    </r>
    <phoneticPr fontId="109" type="noConversion"/>
  </si>
  <si>
    <r>
      <rPr>
        <sz val="10"/>
        <rFont val="楷体_GB2312"/>
        <family val="3"/>
        <charset val="134"/>
      </rPr>
      <t>住宅</t>
    </r>
    <phoneticPr fontId="109" type="noConversion"/>
  </si>
  <si>
    <r>
      <rPr>
        <sz val="10"/>
        <rFont val="楷体_GB2312"/>
        <family val="3"/>
        <charset val="134"/>
      </rPr>
      <t>工业</t>
    </r>
    <phoneticPr fontId="109" type="noConversion"/>
  </si>
  <si>
    <t>基础设施配套建设费</t>
    <phoneticPr fontId="109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</si>
  <si>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</si>
  <si>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</si>
  <si>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</si>
  <si>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</si>
  <si>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近郊区县征地费</t>
  </si>
  <si>
    <t>近郊区县征地费</t>
    <phoneticPr fontId="109" type="noConversion"/>
  </si>
  <si>
    <t>远郊区县征地费</t>
    <phoneticPr fontId="109" type="noConversion"/>
  </si>
  <si>
    <t>用地分类表</t>
    <phoneticPr fontId="109" type="noConversion"/>
  </si>
  <si>
    <t>商业、金融</t>
    <phoneticPr fontId="109" type="noConversion"/>
  </si>
  <si>
    <t>写字楼、公寓</t>
    <phoneticPr fontId="109" type="noConversion"/>
  </si>
  <si>
    <t>工业、仓储</t>
    <phoneticPr fontId="109" type="noConversion"/>
  </si>
  <si>
    <t>商业：各种商店、公司、对外营业场所</t>
    <phoneticPr fontId="109" type="noConversion"/>
  </si>
  <si>
    <t>商业</t>
    <phoneticPr fontId="109" type="noConversion"/>
  </si>
  <si>
    <t>公寓</t>
    <phoneticPr fontId="109" type="noConversion"/>
  </si>
  <si>
    <t>住宅</t>
    <phoneticPr fontId="109" type="noConversion"/>
  </si>
  <si>
    <t>出让金</t>
    <phoneticPr fontId="4" type="noConversion"/>
  </si>
  <si>
    <t>市政及四源</t>
    <phoneticPr fontId="109" type="noConversion"/>
  </si>
  <si>
    <t>小区建设配套费</t>
    <phoneticPr fontId="109" type="noConversion"/>
  </si>
  <si>
    <t>城镇拆迁费</t>
    <phoneticPr fontId="109" type="noConversion"/>
  </si>
  <si>
    <t>土地开发及其他费用</t>
    <phoneticPr fontId="109" type="noConversion"/>
  </si>
  <si>
    <t>93版地类划分</t>
    <phoneticPr fontId="109" type="noConversion"/>
  </si>
  <si>
    <t>地价区类</t>
    <phoneticPr fontId="4" type="noConversion"/>
  </si>
  <si>
    <t>餐饮：饭店、酒店、饭馆、对外营业的食堂等</t>
    <phoneticPr fontId="109" type="noConversion"/>
  </si>
  <si>
    <t>金融：银行、储蓄、信用、信托、证券、保险</t>
    <phoneticPr fontId="109" type="noConversion"/>
  </si>
  <si>
    <t>旅游：为旅游设立的宾馆、大厦、游乐园、旅游区、俱乐部、康乐设施</t>
    <phoneticPr fontId="109" type="noConversion"/>
  </si>
  <si>
    <t>公寓：高档住宅、庭院式公寓、别墅</t>
    <phoneticPr fontId="109" type="noConversion"/>
  </si>
  <si>
    <t>办公：写字楼、非营业的公司用房</t>
    <phoneticPr fontId="109" type="noConversion"/>
  </si>
  <si>
    <t>服务：修理服务、停车场、商品转运、信息、租赁</t>
    <phoneticPr fontId="109" type="noConversion"/>
  </si>
  <si>
    <t>商品房住宅，一般商品办公用房</t>
    <phoneticPr fontId="109" type="noConversion"/>
  </si>
  <si>
    <t>工业：各类工厂、车间、手工作坊、露天作业场</t>
    <phoneticPr fontId="109" type="noConversion"/>
  </si>
  <si>
    <t>仓储：储备、中转、供应的仓库、油库、材料堆放场等</t>
    <phoneticPr fontId="109" type="noConversion"/>
  </si>
  <si>
    <t>高限</t>
    <phoneticPr fontId="109" type="noConversion"/>
  </si>
  <si>
    <t>近郊区县征地费</t>
    <phoneticPr fontId="109" type="noConversion"/>
  </si>
  <si>
    <t>最高年限</t>
    <phoneticPr fontId="4" type="noConversion"/>
  </si>
  <si>
    <t>二、</t>
    <phoneticPr fontId="109" type="noConversion"/>
  </si>
  <si>
    <t>三、</t>
    <phoneticPr fontId="109" type="noConversion"/>
  </si>
  <si>
    <t>居民住宅</t>
  </si>
  <si>
    <t>计算过程</t>
    <phoneticPr fontId="109" type="noConversion"/>
  </si>
  <si>
    <t>单价</t>
    <phoneticPr fontId="109" type="noConversion"/>
  </si>
  <si>
    <t>2.生地价</t>
    <phoneticPr fontId="109" type="noConversion"/>
  </si>
  <si>
    <t>楼面生地价</t>
    <phoneticPr fontId="109" type="noConversion"/>
  </si>
  <si>
    <t>地面生地价</t>
    <phoneticPr fontId="109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</si>
  <si>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</si>
  <si>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4" type="noConversion"/>
  </si>
  <si>
    <t>合计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</si>
  <si>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</si>
  <si>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</si>
  <si>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</si>
  <si>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</si>
  <si>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</si>
  <si>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合计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</si>
  <si>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</si>
  <si>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</si>
  <si>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</si>
  <si>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宗地容积率R</t>
    <phoneticPr fontId="4" type="noConversion"/>
  </si>
  <si>
    <t>修正系数</t>
    <phoneticPr fontId="4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</si>
  <si>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4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</si>
  <si>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</si>
  <si>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</si>
  <si>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</si>
  <si>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</si>
  <si>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</si>
  <si>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</si>
  <si>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</si>
  <si>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4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</si>
  <si>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</si>
  <si>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7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</si>
  <si>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4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</si>
  <si>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4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</si>
  <si>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4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</si>
  <si>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4" type="noConversion"/>
  </si>
  <si>
    <r>
      <rPr>
        <sz val="10"/>
        <color theme="1"/>
        <rFont val="宋体"/>
        <family val="3"/>
        <charset val="134"/>
      </rPr>
      <t>容积率</t>
    </r>
    <phoneticPr fontId="4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</si>
  <si>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</si>
  <si>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</si>
  <si>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</si>
  <si>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</si>
  <si>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4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</si>
  <si>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4" type="noConversion"/>
  </si>
  <si>
    <r>
      <rPr>
        <b/>
        <sz val="12"/>
        <rFont val="宋体"/>
        <family val="3"/>
        <charset val="134"/>
      </rPr>
      <t>单价</t>
    </r>
    <phoneticPr fontId="4" type="noConversion"/>
  </si>
  <si>
    <r>
      <rPr>
        <sz val="11"/>
        <rFont val="宋体"/>
        <family val="3"/>
        <charset val="134"/>
      </rPr>
      <t>自定义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</si>
  <si>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</si>
  <si>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</si>
  <si>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</si>
  <si>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</si>
  <si>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</si>
  <si>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</si>
  <si>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</si>
  <si>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r>
      <rPr>
        <sz val="10"/>
        <color indexed="8"/>
        <rFont val="宋体"/>
        <family val="3"/>
        <charset val="134"/>
      </rPr>
      <t>修正幅度</t>
    </r>
    <phoneticPr fontId="4" type="noConversion"/>
  </si>
  <si>
    <r>
      <rPr>
        <sz val="10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</si>
  <si>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好</t>
    </r>
    <phoneticPr fontId="4" type="noConversion"/>
  </si>
  <si>
    <r>
      <rPr>
        <sz val="11"/>
        <color indexed="8"/>
        <rFont val="宋体"/>
        <family val="3"/>
        <charset val="134"/>
      </rPr>
      <t>较好</t>
    </r>
    <phoneticPr fontId="4" type="noConversion"/>
  </si>
  <si>
    <r>
      <rPr>
        <sz val="11"/>
        <color indexed="8"/>
        <rFont val="宋体"/>
        <family val="3"/>
        <charset val="134"/>
      </rPr>
      <t>一般</t>
    </r>
    <phoneticPr fontId="4" type="noConversion"/>
  </si>
  <si>
    <r>
      <rPr>
        <sz val="11"/>
        <color indexed="8"/>
        <rFont val="宋体"/>
        <family val="3"/>
        <charset val="134"/>
      </rPr>
      <t>较差</t>
    </r>
    <phoneticPr fontId="4" type="noConversion"/>
  </si>
  <si>
    <r>
      <rPr>
        <sz val="11"/>
        <color indexed="8"/>
        <rFont val="宋体"/>
        <family val="3"/>
        <charset val="134"/>
      </rPr>
      <t>差</t>
    </r>
    <phoneticPr fontId="4" type="noConversion"/>
  </si>
  <si>
    <t>价值时点</t>
    <phoneticPr fontId="4" type="noConversion"/>
  </si>
  <si>
    <t>贷款利率</t>
    <phoneticPr fontId="4" type="noConversion"/>
  </si>
  <si>
    <t>存款利率</t>
    <phoneticPr fontId="4" type="noConversion"/>
  </si>
  <si>
    <t>0半年以内（含）</t>
    <phoneticPr fontId="4" type="noConversion"/>
  </si>
  <si>
    <t>0.5-1年（含）</t>
    <phoneticPr fontId="4" type="noConversion"/>
  </si>
  <si>
    <t>1-3年（含）</t>
    <phoneticPr fontId="4" type="noConversion"/>
  </si>
  <si>
    <t>3-5年（含）</t>
    <phoneticPr fontId="4" type="noConversion"/>
  </si>
  <si>
    <t>5年以上</t>
    <phoneticPr fontId="4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</si>
  <si>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</si>
  <si>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</si>
  <si>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4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</si>
  <si>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</si>
  <si>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</si>
  <si>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</si>
  <si>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</si>
  <si>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</si>
  <si>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</si>
  <si>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4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</si>
  <si>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</si>
  <si>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</si>
  <si>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</si>
  <si>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</si>
  <si>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</si>
  <si>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</si>
  <si>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</si>
  <si>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9" type="noConversion"/>
  </si>
  <si>
    <t>完整土地使用权平均价格，谓之为地下时，取地上1/3</t>
    <phoneticPr fontId="109" type="noConversion"/>
  </si>
  <si>
    <t>土地级别</t>
    <phoneticPr fontId="33" type="noConversion"/>
  </si>
  <si>
    <t>一级</t>
    <phoneticPr fontId="33" type="noConversion"/>
  </si>
  <si>
    <t>二级</t>
    <phoneticPr fontId="33" type="noConversion"/>
  </si>
  <si>
    <t>三级</t>
    <phoneticPr fontId="33" type="noConversion"/>
  </si>
  <si>
    <t>四级</t>
    <phoneticPr fontId="33" type="noConversion"/>
  </si>
  <si>
    <t>五级</t>
    <phoneticPr fontId="33" type="noConversion"/>
  </si>
  <si>
    <t>六级</t>
    <phoneticPr fontId="33" type="noConversion"/>
  </si>
  <si>
    <t>七级</t>
    <phoneticPr fontId="33" type="noConversion"/>
  </si>
  <si>
    <t>八级</t>
    <phoneticPr fontId="33" type="noConversion"/>
  </si>
  <si>
    <t>九级</t>
    <phoneticPr fontId="33" type="noConversion"/>
  </si>
  <si>
    <t>十级</t>
    <phoneticPr fontId="33" type="noConversion"/>
  </si>
  <si>
    <t>十一级</t>
    <phoneticPr fontId="33" type="noConversion"/>
  </si>
  <si>
    <t>十二级</t>
    <phoneticPr fontId="33" type="noConversion"/>
  </si>
  <si>
    <t>区位状况</t>
    <phoneticPr fontId="4" type="noConversion"/>
  </si>
  <si>
    <r>
      <rPr>
        <b/>
        <sz val="11"/>
        <rFont val="楷体_GB2312"/>
        <family val="3"/>
        <charset val="134"/>
      </rPr>
      <t>实物状况</t>
    </r>
    <phoneticPr fontId="4" type="noConversion"/>
  </si>
  <si>
    <t>实物状况</t>
    <phoneticPr fontId="4" type="noConversion"/>
  </si>
  <si>
    <t>好</t>
    <phoneticPr fontId="4" type="noConversion"/>
  </si>
  <si>
    <t>较好</t>
    <phoneticPr fontId="4" type="noConversion"/>
  </si>
  <si>
    <t>一般</t>
    <phoneticPr fontId="4" type="noConversion"/>
  </si>
  <si>
    <t>较差</t>
    <phoneticPr fontId="4" type="noConversion"/>
  </si>
  <si>
    <t>差</t>
    <phoneticPr fontId="4" type="noConversion"/>
  </si>
  <si>
    <t>比较法</t>
    <phoneticPr fontId="11" type="noConversion"/>
  </si>
  <si>
    <t>楼面单价</t>
    <phoneticPr fontId="4" type="noConversion"/>
  </si>
  <si>
    <t>位置</t>
    <phoneticPr fontId="67" type="noConversion"/>
  </si>
  <si>
    <t>——</t>
    <phoneticPr fontId="109" type="noConversion"/>
  </si>
  <si>
    <t>通过市国土局审定出让案例水平运用市场比较法确定，特殊情况为毛地价</t>
    <phoneticPr fontId="109" type="noConversion"/>
  </si>
  <si>
    <t>求取前期开发成本</t>
  </si>
  <si>
    <t>开发类别</t>
    <phoneticPr fontId="109" type="noConversion"/>
  </si>
  <si>
    <t>四、</t>
    <phoneticPr fontId="4" type="noConversion"/>
  </si>
  <si>
    <t>五、</t>
    <phoneticPr fontId="109" type="noConversion"/>
  </si>
  <si>
    <t>征地费</t>
    <phoneticPr fontId="109" type="noConversion"/>
  </si>
  <si>
    <t>非住宅时不计取</t>
    <phoneticPr fontId="109" type="noConversion"/>
  </si>
  <si>
    <t>93版计算出的熟地价不得高于02版计算结果，请验证</t>
    <phoneticPr fontId="109" type="noConversion"/>
  </si>
  <si>
    <t>楼面单价（毛）</t>
    <phoneticPr fontId="109" type="noConversion"/>
  </si>
  <si>
    <t>楼面单价（出）</t>
    <phoneticPr fontId="109" type="noConversion"/>
  </si>
  <si>
    <t>元/平方米</t>
    <phoneticPr fontId="4" type="noConversion"/>
  </si>
  <si>
    <t>元/平方米</t>
    <phoneticPr fontId="109" type="noConversion"/>
  </si>
  <si>
    <t>前期开发成本及其费用</t>
    <phoneticPr fontId="109" type="noConversion"/>
  </si>
  <si>
    <t>前期开发成本</t>
    <phoneticPr fontId="109" type="noConversion"/>
  </si>
  <si>
    <t>房屋建设成本及其费用</t>
    <phoneticPr fontId="109" type="noConversion"/>
  </si>
  <si>
    <t>房屋建设成本</t>
    <phoneticPr fontId="109" type="noConversion"/>
  </si>
  <si>
    <t>财务费用</t>
    <phoneticPr fontId="109" type="noConversion"/>
  </si>
  <si>
    <t>其他成本费用</t>
    <phoneticPr fontId="109" type="noConversion"/>
  </si>
  <si>
    <t>（三）</t>
    <phoneticPr fontId="109" type="noConversion"/>
  </si>
  <si>
    <t>基础工程</t>
    <phoneticPr fontId="109" type="noConversion"/>
  </si>
  <si>
    <t>结构工程</t>
    <phoneticPr fontId="109" type="noConversion"/>
  </si>
  <si>
    <t>设备安装及装饰工程</t>
    <phoneticPr fontId="109" type="noConversion"/>
  </si>
  <si>
    <t>砖木</t>
    <phoneticPr fontId="109" type="noConversion"/>
  </si>
  <si>
    <t>砖混</t>
    <phoneticPr fontId="109" type="noConversion"/>
  </si>
  <si>
    <t>钢混</t>
    <phoneticPr fontId="109" type="noConversion"/>
  </si>
  <si>
    <t>钢</t>
    <phoneticPr fontId="109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</si>
  <si>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9" type="noConversion"/>
  </si>
  <si>
    <t>2017-4</t>
    <phoneticPr fontId="67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</si>
  <si>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</si>
  <si>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</si>
  <si>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</si>
  <si>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</si>
  <si>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</si>
  <si>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</si>
  <si>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</si>
  <si>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</si>
  <si>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</si>
  <si>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</si>
  <si>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</si>
  <si>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</si>
  <si>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</si>
  <si>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</si>
  <si>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</si>
  <si>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</si>
  <si>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</si>
  <si>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</si>
  <si>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</si>
  <si>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</si>
  <si>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</si>
  <si>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</si>
  <si>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</si>
  <si>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</si>
  <si>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</si>
  <si>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</si>
  <si>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</si>
  <si>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</si>
  <si>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</si>
  <si>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</si>
  <si>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</si>
  <si>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</si>
  <si>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</si>
  <si>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</si>
  <si>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</si>
  <si>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</si>
  <si>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</si>
  <si>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</si>
  <si>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</si>
  <si>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</si>
  <si>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</si>
  <si>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</si>
  <si>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</si>
  <si>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</si>
  <si>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</si>
  <si>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</si>
  <si>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</si>
  <si>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</si>
  <si>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t>时点所在季度</t>
    <phoneticPr fontId="67" type="noConversion"/>
  </si>
  <si>
    <t>设定容积率</t>
    <phoneticPr fontId="109" type="noConversion"/>
  </si>
  <si>
    <t>剩余土地使用年限（设定）</t>
    <phoneticPr fontId="109" type="noConversion"/>
  </si>
  <si>
    <t>土地还原率</t>
    <phoneticPr fontId="109" type="noConversion"/>
  </si>
  <si>
    <t>剩余土地使用年限</t>
  </si>
  <si>
    <t>（1）—（4）项之和</t>
    <phoneticPr fontId="5" type="noConversion"/>
  </si>
  <si>
    <t>土地开发期</t>
    <phoneticPr fontId="109" type="noConversion"/>
  </si>
  <si>
    <t>公示地价指数</t>
    <phoneticPr fontId="151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</si>
  <si>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1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</si>
  <si>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1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</si>
  <si>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1" type="noConversion"/>
  </si>
  <si>
    <t>2017-2</t>
    <phoneticPr fontId="4" type="noConversion"/>
  </si>
  <si>
    <t>2017-1</t>
    <phoneticPr fontId="4" type="noConversion"/>
  </si>
  <si>
    <t>2013-4</t>
    <phoneticPr fontId="109" type="noConversion"/>
  </si>
  <si>
    <t>2013-3</t>
    <phoneticPr fontId="109" type="noConversion"/>
  </si>
  <si>
    <t>2013-2</t>
    <phoneticPr fontId="109" type="noConversion"/>
  </si>
  <si>
    <t>2013-1</t>
    <phoneticPr fontId="109" type="noConversion"/>
  </si>
  <si>
    <r>
      <t>2</t>
    </r>
    <r>
      <rPr>
        <sz val="10"/>
        <color theme="1"/>
        <rFont val="Arial"/>
        <family val="2"/>
      </rPr>
      <t>012-4</t>
    </r>
    <phoneticPr fontId="109" type="noConversion"/>
  </si>
  <si>
    <r>
      <t>2</t>
    </r>
    <r>
      <rPr>
        <sz val="10"/>
        <color theme="1"/>
        <rFont val="Arial"/>
        <family val="2"/>
      </rPr>
      <t>012-3</t>
    </r>
    <phoneticPr fontId="109" type="noConversion"/>
  </si>
  <si>
    <r>
      <t>2</t>
    </r>
    <r>
      <rPr>
        <sz val="10"/>
        <color theme="1"/>
        <rFont val="Arial"/>
        <family val="2"/>
      </rPr>
      <t>012-2</t>
    </r>
    <phoneticPr fontId="109" type="noConversion"/>
  </si>
  <si>
    <r>
      <t>2</t>
    </r>
    <r>
      <rPr>
        <sz val="10"/>
        <color theme="1"/>
        <rFont val="Arial"/>
        <family val="2"/>
      </rPr>
      <t>012-1</t>
    </r>
    <phoneticPr fontId="109" type="noConversion"/>
  </si>
  <si>
    <r>
      <t>2</t>
    </r>
    <r>
      <rPr>
        <sz val="10"/>
        <color theme="1"/>
        <rFont val="Arial"/>
        <family val="2"/>
      </rPr>
      <t>011-4</t>
    </r>
    <phoneticPr fontId="109" type="noConversion"/>
  </si>
  <si>
    <r>
      <t>2</t>
    </r>
    <r>
      <rPr>
        <sz val="10"/>
        <color theme="1"/>
        <rFont val="Arial"/>
        <family val="2"/>
      </rPr>
      <t>011-3</t>
    </r>
    <phoneticPr fontId="109" type="noConversion"/>
  </si>
  <si>
    <r>
      <t>2</t>
    </r>
    <r>
      <rPr>
        <sz val="10"/>
        <color theme="1"/>
        <rFont val="Arial"/>
        <family val="2"/>
      </rPr>
      <t>011-2</t>
    </r>
    <phoneticPr fontId="109" type="noConversion"/>
  </si>
  <si>
    <r>
      <t>2</t>
    </r>
    <r>
      <rPr>
        <sz val="10"/>
        <color theme="1"/>
        <rFont val="Arial"/>
        <family val="2"/>
      </rPr>
      <t>011-1</t>
    </r>
    <phoneticPr fontId="109" type="noConversion"/>
  </si>
  <si>
    <r>
      <t>2</t>
    </r>
    <r>
      <rPr>
        <sz val="10"/>
        <color theme="1"/>
        <rFont val="Arial"/>
        <family val="2"/>
      </rPr>
      <t>010-4</t>
    </r>
    <phoneticPr fontId="109" type="noConversion"/>
  </si>
  <si>
    <r>
      <t>2</t>
    </r>
    <r>
      <rPr>
        <sz val="10"/>
        <color theme="1"/>
        <rFont val="Arial"/>
        <family val="2"/>
      </rPr>
      <t>010-3</t>
    </r>
    <phoneticPr fontId="109" type="noConversion"/>
  </si>
  <si>
    <r>
      <t>2</t>
    </r>
    <r>
      <rPr>
        <sz val="10"/>
        <color theme="1"/>
        <rFont val="Arial"/>
        <family val="2"/>
      </rPr>
      <t>010-2</t>
    </r>
    <phoneticPr fontId="109" type="noConversion"/>
  </si>
  <si>
    <r>
      <t>2</t>
    </r>
    <r>
      <rPr>
        <sz val="10"/>
        <color theme="1"/>
        <rFont val="Arial"/>
        <family val="2"/>
      </rPr>
      <t>010-1</t>
    </r>
    <phoneticPr fontId="109" type="noConversion"/>
  </si>
  <si>
    <r>
      <t>2</t>
    </r>
    <r>
      <rPr>
        <sz val="10"/>
        <color theme="1"/>
        <rFont val="Arial"/>
        <family val="2"/>
      </rPr>
      <t>009-4</t>
    </r>
    <phoneticPr fontId="109" type="noConversion"/>
  </si>
  <si>
    <r>
      <t>2</t>
    </r>
    <r>
      <rPr>
        <sz val="10"/>
        <color theme="1"/>
        <rFont val="Arial"/>
        <family val="2"/>
      </rPr>
      <t>009-3</t>
    </r>
    <phoneticPr fontId="109" type="noConversion"/>
  </si>
  <si>
    <r>
      <t>2</t>
    </r>
    <r>
      <rPr>
        <sz val="10"/>
        <color theme="1"/>
        <rFont val="Arial"/>
        <family val="2"/>
      </rPr>
      <t>009-2</t>
    </r>
    <phoneticPr fontId="109" type="noConversion"/>
  </si>
  <si>
    <r>
      <t>2</t>
    </r>
    <r>
      <rPr>
        <sz val="10"/>
        <color theme="1"/>
        <rFont val="Arial"/>
        <family val="2"/>
      </rPr>
      <t>009-1</t>
    </r>
    <phoneticPr fontId="109" type="noConversion"/>
  </si>
  <si>
    <r>
      <t>2</t>
    </r>
    <r>
      <rPr>
        <sz val="10"/>
        <color theme="1"/>
        <rFont val="Arial"/>
        <family val="2"/>
      </rPr>
      <t>008-4</t>
    </r>
    <phoneticPr fontId="109" type="noConversion"/>
  </si>
  <si>
    <r>
      <t>2</t>
    </r>
    <r>
      <rPr>
        <sz val="10"/>
        <color theme="1"/>
        <rFont val="Arial"/>
        <family val="2"/>
      </rPr>
      <t>008-3</t>
    </r>
    <phoneticPr fontId="109" type="noConversion"/>
  </si>
  <si>
    <r>
      <t>2</t>
    </r>
    <r>
      <rPr>
        <sz val="10"/>
        <color theme="1"/>
        <rFont val="Arial"/>
        <family val="2"/>
      </rPr>
      <t>008-2</t>
    </r>
    <phoneticPr fontId="109" type="noConversion"/>
  </si>
  <si>
    <r>
      <t>2</t>
    </r>
    <r>
      <rPr>
        <sz val="10"/>
        <color theme="1"/>
        <rFont val="Arial"/>
        <family val="2"/>
      </rPr>
      <t>008-1</t>
    </r>
    <phoneticPr fontId="109" type="noConversion"/>
  </si>
  <si>
    <r>
      <t>2</t>
    </r>
    <r>
      <rPr>
        <sz val="10"/>
        <color theme="1"/>
        <rFont val="Arial"/>
        <family val="2"/>
      </rPr>
      <t>007-4</t>
    </r>
    <phoneticPr fontId="109" type="noConversion"/>
  </si>
  <si>
    <r>
      <t>2</t>
    </r>
    <r>
      <rPr>
        <sz val="10"/>
        <color theme="1"/>
        <rFont val="Arial"/>
        <family val="2"/>
      </rPr>
      <t>007-3</t>
    </r>
    <phoneticPr fontId="109" type="noConversion"/>
  </si>
  <si>
    <r>
      <t>2</t>
    </r>
    <r>
      <rPr>
        <sz val="10"/>
        <color theme="1"/>
        <rFont val="Arial"/>
        <family val="2"/>
      </rPr>
      <t>007-2</t>
    </r>
    <phoneticPr fontId="109" type="noConversion"/>
  </si>
  <si>
    <r>
      <t>2</t>
    </r>
    <r>
      <rPr>
        <sz val="10"/>
        <color theme="1"/>
        <rFont val="Arial"/>
        <family val="2"/>
      </rPr>
      <t>007-1</t>
    </r>
    <phoneticPr fontId="109" type="noConversion"/>
  </si>
  <si>
    <r>
      <t>2</t>
    </r>
    <r>
      <rPr>
        <sz val="10"/>
        <color theme="1"/>
        <rFont val="Arial"/>
        <family val="2"/>
      </rPr>
      <t>006-4</t>
    </r>
    <phoneticPr fontId="109" type="noConversion"/>
  </si>
  <si>
    <t>2006-3</t>
    <phoneticPr fontId="109" type="noConversion"/>
  </si>
  <si>
    <t>2006-2</t>
    <phoneticPr fontId="109" type="noConversion"/>
  </si>
  <si>
    <t>2006-1</t>
    <phoneticPr fontId="109" type="noConversion"/>
  </si>
  <si>
    <r>
      <t>2</t>
    </r>
    <r>
      <rPr>
        <sz val="10"/>
        <color theme="1"/>
        <rFont val="Arial"/>
        <family val="2"/>
      </rPr>
      <t>005-4</t>
    </r>
    <phoneticPr fontId="109" type="noConversion"/>
  </si>
  <si>
    <r>
      <t>2</t>
    </r>
    <r>
      <rPr>
        <sz val="10"/>
        <color theme="1"/>
        <rFont val="Arial"/>
        <family val="2"/>
      </rPr>
      <t>005-3</t>
    </r>
    <phoneticPr fontId="109" type="noConversion"/>
  </si>
  <si>
    <r>
      <t>2</t>
    </r>
    <r>
      <rPr>
        <sz val="10"/>
        <color theme="1"/>
        <rFont val="Arial"/>
        <family val="2"/>
      </rPr>
      <t>005-2</t>
    </r>
    <phoneticPr fontId="109" type="noConversion"/>
  </si>
  <si>
    <r>
      <t>2</t>
    </r>
    <r>
      <rPr>
        <sz val="10"/>
        <color theme="1"/>
        <rFont val="Arial"/>
        <family val="2"/>
      </rPr>
      <t>005-1</t>
    </r>
    <phoneticPr fontId="109" type="noConversion"/>
  </si>
  <si>
    <r>
      <t>2</t>
    </r>
    <r>
      <rPr>
        <sz val="10"/>
        <color theme="1"/>
        <rFont val="Arial"/>
        <family val="2"/>
      </rPr>
      <t>004-4</t>
    </r>
    <phoneticPr fontId="109" type="noConversion"/>
  </si>
  <si>
    <r>
      <t>2</t>
    </r>
    <r>
      <rPr>
        <sz val="10"/>
        <color theme="1"/>
        <rFont val="Arial"/>
        <family val="2"/>
      </rPr>
      <t>004-3</t>
    </r>
    <phoneticPr fontId="109" type="noConversion"/>
  </si>
  <si>
    <r>
      <t>2</t>
    </r>
    <r>
      <rPr>
        <sz val="10"/>
        <color theme="1"/>
        <rFont val="Arial"/>
        <family val="2"/>
      </rPr>
      <t>004-2</t>
    </r>
    <phoneticPr fontId="109" type="noConversion"/>
  </si>
  <si>
    <r>
      <t>2</t>
    </r>
    <r>
      <rPr>
        <sz val="10"/>
        <color theme="1"/>
        <rFont val="Arial"/>
        <family val="2"/>
      </rPr>
      <t>004-1</t>
    </r>
    <phoneticPr fontId="109" type="noConversion"/>
  </si>
  <si>
    <r>
      <t>2</t>
    </r>
    <r>
      <rPr>
        <sz val="10"/>
        <color theme="1"/>
        <rFont val="Arial"/>
        <family val="2"/>
      </rPr>
      <t>003-4</t>
    </r>
    <phoneticPr fontId="109" type="noConversion"/>
  </si>
  <si>
    <r>
      <t>2</t>
    </r>
    <r>
      <rPr>
        <sz val="10"/>
        <color theme="1"/>
        <rFont val="Arial"/>
        <family val="2"/>
      </rPr>
      <t>003-3</t>
    </r>
    <phoneticPr fontId="109" type="noConversion"/>
  </si>
  <si>
    <r>
      <t>2</t>
    </r>
    <r>
      <rPr>
        <sz val="10"/>
        <color theme="1"/>
        <rFont val="Arial"/>
        <family val="2"/>
      </rPr>
      <t>003-2</t>
    </r>
    <phoneticPr fontId="109" type="noConversion"/>
  </si>
  <si>
    <r>
      <t>2</t>
    </r>
    <r>
      <rPr>
        <sz val="10"/>
        <color theme="1"/>
        <rFont val="Arial"/>
        <family val="2"/>
      </rPr>
      <t>003-1</t>
    </r>
    <phoneticPr fontId="109" type="noConversion"/>
  </si>
  <si>
    <r>
      <t>2</t>
    </r>
    <r>
      <rPr>
        <sz val="10"/>
        <color theme="1"/>
        <rFont val="Arial"/>
        <family val="2"/>
      </rPr>
      <t>002-4</t>
    </r>
    <phoneticPr fontId="109" type="noConversion"/>
  </si>
  <si>
    <r>
      <t>2</t>
    </r>
    <r>
      <rPr>
        <sz val="10"/>
        <color theme="1"/>
        <rFont val="Arial"/>
        <family val="2"/>
      </rPr>
      <t>002-3</t>
    </r>
    <phoneticPr fontId="109" type="noConversion"/>
  </si>
  <si>
    <r>
      <t>2</t>
    </r>
    <r>
      <rPr>
        <sz val="10"/>
        <color theme="1"/>
        <rFont val="Arial"/>
        <family val="2"/>
      </rPr>
      <t>002-2</t>
    </r>
    <phoneticPr fontId="109" type="noConversion"/>
  </si>
  <si>
    <r>
      <t>2</t>
    </r>
    <r>
      <rPr>
        <sz val="10"/>
        <color theme="1"/>
        <rFont val="Arial"/>
        <family val="2"/>
      </rPr>
      <t>002-1</t>
    </r>
    <phoneticPr fontId="109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</si>
  <si>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</si>
  <si>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</si>
  <si>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</si>
  <si>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</si>
  <si>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</si>
  <si>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1" type="noConversion"/>
  </si>
  <si>
    <t>说明</t>
    <phoneticPr fontId="109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</si>
  <si>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9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</si>
  <si>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9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</si>
  <si>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9" type="noConversion"/>
  </si>
  <si>
    <t>商业/办公</t>
    <phoneticPr fontId="11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</si>
  <si>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9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</si>
  <si>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</si>
  <si>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9" type="noConversion"/>
  </si>
  <si>
    <t>价值时点/估价期日</t>
    <phoneticPr fontId="109" type="noConversion"/>
  </si>
  <si>
    <t>价值类型</t>
  </si>
  <si>
    <t>总价（万元）</t>
  </si>
  <si>
    <t>楼面单价（元/平方米）</t>
  </si>
  <si>
    <t>地面单价（元/平方米）</t>
    <phoneticPr fontId="109" type="noConversion"/>
  </si>
  <si>
    <t>市场价值</t>
  </si>
  <si>
    <t>抵押价值</t>
  </si>
  <si>
    <t>抵押价值-已注销</t>
    <phoneticPr fontId="109" type="noConversion"/>
  </si>
  <si>
    <t>抵押净值</t>
  </si>
  <si>
    <t>总投</t>
    <phoneticPr fontId="109" type="noConversion"/>
  </si>
  <si>
    <t>租金</t>
    <phoneticPr fontId="109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</si>
  <si>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</si>
  <si>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</si>
  <si>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</si>
  <si>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</si>
  <si>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</si>
  <si>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</si>
  <si>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</si>
  <si>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</si>
  <si>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</si>
  <si>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</si>
  <si>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</si>
  <si>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</si>
  <si>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</si>
  <si>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</si>
  <si>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</si>
  <si>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</si>
  <si>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</si>
  <si>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</si>
  <si>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9" type="noConversion"/>
  </si>
  <si>
    <t>估价对象位于XX开发区，园区建设成熟度？产业集聚程度？</t>
    <phoneticPr fontId="44" type="noConversion"/>
  </si>
  <si>
    <t>2017-1</t>
  </si>
  <si>
    <t>宽度XX米，深度XX米,临街宽度及深度比例适宜程度？对土地利用的影响？</t>
    <phoneticPr fontId="4" type="noConversion"/>
  </si>
  <si>
    <t>宗地形状？，但对宗地利用影响？</t>
    <phoneticPr fontId="4" type="noConversion"/>
  </si>
  <si>
    <t>单价内涵</t>
  </si>
  <si>
    <t>地下商业不考虑路线价修正</t>
    <phoneticPr fontId="4" type="noConversion"/>
  </si>
  <si>
    <t>2017-3</t>
    <phoneticPr fontId="4" type="noConversion"/>
  </si>
  <si>
    <t>年度</t>
    <phoneticPr fontId="109" type="noConversion"/>
  </si>
  <si>
    <t>季度</t>
    <phoneticPr fontId="109" type="noConversion"/>
  </si>
  <si>
    <t>2017-4</t>
    <phoneticPr fontId="4" type="noConversion"/>
  </si>
  <si>
    <t>本行不参与计算</t>
    <phoneticPr fontId="109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</si>
  <si>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9" type="noConversion"/>
  </si>
  <si>
    <t>2018-1</t>
    <phoneticPr fontId="4" type="noConversion"/>
  </si>
  <si>
    <t>2018-2</t>
    <phoneticPr fontId="4" type="noConversion"/>
  </si>
  <si>
    <t>2018-3</t>
    <phoneticPr fontId="4" type="noConversion"/>
  </si>
  <si>
    <r>
      <rPr>
        <sz val="10"/>
        <rFont val="宋体"/>
        <family val="3"/>
        <charset val="134"/>
      </rPr>
      <t>土地还原率</t>
    </r>
    <phoneticPr fontId="4" type="noConversion"/>
  </si>
  <si>
    <r>
      <rPr>
        <sz val="10"/>
        <rFont val="宋体"/>
        <family val="3"/>
        <charset val="134"/>
      </rPr>
      <t>剩余使用年限</t>
    </r>
    <phoneticPr fontId="4" type="noConversion"/>
  </si>
  <si>
    <t>地下部分</t>
    <phoneticPr fontId="4" type="noConversion"/>
  </si>
  <si>
    <t>地下车库及仓储年期修正</t>
    <phoneticPr fontId="4" type="noConversion"/>
  </si>
  <si>
    <t>2018-4</t>
    <phoneticPr fontId="4" type="noConversion"/>
  </si>
  <si>
    <t>住宅/居住</t>
    <phoneticPr fontId="11" type="noConversion"/>
  </si>
  <si>
    <t>出让收益</t>
    <phoneticPr fontId="4" type="noConversion"/>
  </si>
  <si>
    <t>级别开发程度</t>
    <phoneticPr fontId="4" type="noConversion"/>
  </si>
  <si>
    <t>2014修正</t>
    <phoneticPr fontId="67" type="noConversion"/>
  </si>
  <si>
    <t>2019-2</t>
    <phoneticPr fontId="4" type="noConversion"/>
  </si>
  <si>
    <t>2019-1</t>
    <phoneticPr fontId="4" type="noConversion"/>
  </si>
  <si>
    <t>2019-3</t>
    <phoneticPr fontId="4" type="noConversion"/>
  </si>
  <si>
    <t>2019-4</t>
    <phoneticPr fontId="109" type="noConversion"/>
  </si>
  <si>
    <t>房号清单</t>
    <phoneticPr fontId="109" type="noConversion"/>
  </si>
  <si>
    <t>序号</t>
    <phoneticPr fontId="109" type="noConversion"/>
  </si>
  <si>
    <t>部位</t>
    <phoneticPr fontId="109" type="noConversion"/>
  </si>
  <si>
    <t>建筑面积</t>
    <phoneticPr fontId="109" type="noConversion"/>
  </si>
  <si>
    <t>规划用途</t>
    <phoneticPr fontId="109" type="noConversion"/>
  </si>
  <si>
    <t>所在楼层</t>
    <phoneticPr fontId="109" type="noConversion"/>
  </si>
  <si>
    <t>-04层不分摊部位</t>
    <phoneticPr fontId="109" type="noConversion"/>
  </si>
  <si>
    <t>-4</t>
    <phoneticPr fontId="109" type="noConversion"/>
  </si>
  <si>
    <t>用途</t>
    <phoneticPr fontId="109" type="noConversion"/>
  </si>
  <si>
    <t>地上建筑面积</t>
    <phoneticPr fontId="109" type="noConversion"/>
  </si>
  <si>
    <t>地下建筑面积</t>
    <phoneticPr fontId="109" type="noConversion"/>
  </si>
  <si>
    <t>所在楼层</t>
    <phoneticPr fontId="109" type="noConversion"/>
  </si>
  <si>
    <t>1层商业</t>
    <phoneticPr fontId="109" type="noConversion"/>
  </si>
  <si>
    <t>2层商业</t>
    <phoneticPr fontId="109" type="noConversion"/>
  </si>
  <si>
    <t>-401</t>
    <phoneticPr fontId="109" type="noConversion"/>
  </si>
  <si>
    <t>车库</t>
    <phoneticPr fontId="109" type="noConversion"/>
  </si>
  <si>
    <t>-4</t>
    <phoneticPr fontId="109" type="noConversion"/>
  </si>
  <si>
    <t>商业</t>
    <phoneticPr fontId="109" type="noConversion"/>
  </si>
  <si>
    <t>1-2</t>
    <phoneticPr fontId="109" type="noConversion"/>
  </si>
  <si>
    <t>-301</t>
    <phoneticPr fontId="109" type="noConversion"/>
  </si>
  <si>
    <t>车库</t>
    <phoneticPr fontId="109" type="noConversion"/>
  </si>
  <si>
    <t>-3</t>
    <phoneticPr fontId="109" type="noConversion"/>
  </si>
  <si>
    <t>办公</t>
    <phoneticPr fontId="109" type="noConversion"/>
  </si>
  <si>
    <t>5-6</t>
    <phoneticPr fontId="109" type="noConversion"/>
  </si>
  <si>
    <t>-02层不分摊部位</t>
    <phoneticPr fontId="109" type="noConversion"/>
  </si>
  <si>
    <t>-2</t>
    <phoneticPr fontId="109" type="noConversion"/>
  </si>
  <si>
    <t>酒店</t>
    <phoneticPr fontId="109" type="noConversion"/>
  </si>
  <si>
    <t>1、3-26（5-6部分）</t>
    <phoneticPr fontId="109" type="noConversion"/>
  </si>
  <si>
    <t>-201</t>
    <phoneticPr fontId="109" type="noConversion"/>
  </si>
  <si>
    <t>库房</t>
    <phoneticPr fontId="109" type="noConversion"/>
  </si>
  <si>
    <t>-2</t>
    <phoneticPr fontId="109" type="noConversion"/>
  </si>
  <si>
    <t>地下车库</t>
    <phoneticPr fontId="109" type="noConversion"/>
  </si>
  <si>
    <t>-4至-2</t>
    <phoneticPr fontId="109" type="noConversion"/>
  </si>
  <si>
    <t>-202</t>
    <phoneticPr fontId="109" type="noConversion"/>
  </si>
  <si>
    <t>地下仓储</t>
    <phoneticPr fontId="109" type="noConversion"/>
  </si>
  <si>
    <t>-2至-1</t>
    <phoneticPr fontId="109" type="noConversion"/>
  </si>
  <si>
    <t>-203</t>
    <phoneticPr fontId="109" type="noConversion"/>
  </si>
  <si>
    <t>-2</t>
  </si>
  <si>
    <t>设备等</t>
    <phoneticPr fontId="109" type="noConversion"/>
  </si>
  <si>
    <t>-204</t>
    <phoneticPr fontId="109" type="noConversion"/>
  </si>
  <si>
    <t>合计</t>
    <phoneticPr fontId="109" type="noConversion"/>
  </si>
  <si>
    <t>-205</t>
    <phoneticPr fontId="109" type="noConversion"/>
  </si>
  <si>
    <t>-206</t>
  </si>
  <si>
    <t>可经营性</t>
    <phoneticPr fontId="109" type="noConversion"/>
  </si>
  <si>
    <t>-207</t>
  </si>
  <si>
    <t>分摊土地面积</t>
    <phoneticPr fontId="109" type="noConversion"/>
  </si>
  <si>
    <t>-208</t>
  </si>
  <si>
    <t>-209</t>
  </si>
  <si>
    <t>容积率</t>
    <phoneticPr fontId="109" type="noConversion"/>
  </si>
  <si>
    <t>-210</t>
  </si>
  <si>
    <t>-211</t>
  </si>
  <si>
    <t>抵押物清单</t>
    <phoneticPr fontId="109" type="noConversion"/>
  </si>
  <si>
    <t>-212</t>
    <phoneticPr fontId="109" type="noConversion"/>
  </si>
  <si>
    <t>管理用房</t>
    <phoneticPr fontId="109" type="noConversion"/>
  </si>
  <si>
    <t>-213</t>
    <phoneticPr fontId="109" type="noConversion"/>
  </si>
  <si>
    <t>车库</t>
    <phoneticPr fontId="109" type="noConversion"/>
  </si>
  <si>
    <t>-401</t>
    <phoneticPr fontId="109" type="noConversion"/>
  </si>
  <si>
    <t>-01层不分摊部位</t>
    <phoneticPr fontId="109" type="noConversion"/>
  </si>
  <si>
    <t>-1</t>
    <phoneticPr fontId="109" type="noConversion"/>
  </si>
  <si>
    <t>-301</t>
    <phoneticPr fontId="109" type="noConversion"/>
  </si>
  <si>
    <t>-3</t>
    <phoneticPr fontId="109" type="noConversion"/>
  </si>
  <si>
    <t>-101</t>
    <phoneticPr fontId="109" type="noConversion"/>
  </si>
  <si>
    <t>-102</t>
    <phoneticPr fontId="109" type="noConversion"/>
  </si>
  <si>
    <t>-1</t>
  </si>
  <si>
    <t>-103</t>
  </si>
  <si>
    <t>-104</t>
  </si>
  <si>
    <t>自行车库</t>
    <phoneticPr fontId="109" type="noConversion"/>
  </si>
  <si>
    <t>01层不分摊部位</t>
    <phoneticPr fontId="109" type="noConversion"/>
  </si>
  <si>
    <t>1</t>
    <phoneticPr fontId="109" type="noConversion"/>
  </si>
  <si>
    <t>101</t>
    <phoneticPr fontId="109" type="noConversion"/>
  </si>
  <si>
    <t>商业用房</t>
    <phoneticPr fontId="109" type="noConversion"/>
  </si>
  <si>
    <t>102</t>
    <phoneticPr fontId="109" type="noConversion"/>
  </si>
  <si>
    <t>酒店</t>
    <phoneticPr fontId="109" type="noConversion"/>
  </si>
  <si>
    <t>1</t>
  </si>
  <si>
    <t>103</t>
    <phoneticPr fontId="109" type="noConversion"/>
  </si>
  <si>
    <t>109</t>
    <phoneticPr fontId="109" type="noConversion"/>
  </si>
  <si>
    <t>110</t>
    <phoneticPr fontId="109" type="noConversion"/>
  </si>
  <si>
    <t>111</t>
    <phoneticPr fontId="109" type="noConversion"/>
  </si>
  <si>
    <t>02层不分摊部位</t>
    <phoneticPr fontId="109" type="noConversion"/>
  </si>
  <si>
    <t>2</t>
    <phoneticPr fontId="109" type="noConversion"/>
  </si>
  <si>
    <t>201</t>
    <phoneticPr fontId="109" type="noConversion"/>
  </si>
  <si>
    <t>03层不分摊部位</t>
    <phoneticPr fontId="109" type="noConversion"/>
  </si>
  <si>
    <t>3</t>
    <phoneticPr fontId="109" type="noConversion"/>
  </si>
  <si>
    <t>301</t>
    <phoneticPr fontId="109" type="noConversion"/>
  </si>
  <si>
    <t>04层不分摊部位</t>
    <phoneticPr fontId="109" type="noConversion"/>
  </si>
  <si>
    <t>4</t>
    <phoneticPr fontId="109" type="noConversion"/>
  </si>
  <si>
    <t>401</t>
    <phoneticPr fontId="109" type="noConversion"/>
  </si>
  <si>
    <t>05层不分摊部位</t>
    <phoneticPr fontId="109" type="noConversion"/>
  </si>
  <si>
    <t>5</t>
    <phoneticPr fontId="109" type="noConversion"/>
  </si>
  <si>
    <t>501</t>
    <phoneticPr fontId="109" type="noConversion"/>
  </si>
  <si>
    <t>办公用房</t>
    <phoneticPr fontId="109" type="noConversion"/>
  </si>
  <si>
    <t>502</t>
    <phoneticPr fontId="109" type="noConversion"/>
  </si>
  <si>
    <t>06层不分摊部位</t>
    <phoneticPr fontId="109" type="noConversion"/>
  </si>
  <si>
    <t>6</t>
    <phoneticPr fontId="109" type="noConversion"/>
  </si>
  <si>
    <t>601</t>
    <phoneticPr fontId="109" type="noConversion"/>
  </si>
  <si>
    <t>602</t>
    <phoneticPr fontId="109" type="noConversion"/>
  </si>
  <si>
    <t>701</t>
    <phoneticPr fontId="109" type="noConversion"/>
  </si>
  <si>
    <t>7</t>
    <phoneticPr fontId="109" type="noConversion"/>
  </si>
  <si>
    <t>801</t>
    <phoneticPr fontId="109" type="noConversion"/>
  </si>
  <si>
    <t>8</t>
    <phoneticPr fontId="109" type="noConversion"/>
  </si>
  <si>
    <t>901</t>
    <phoneticPr fontId="109" type="noConversion"/>
  </si>
  <si>
    <t>9</t>
    <phoneticPr fontId="109" type="noConversion"/>
  </si>
  <si>
    <t>1001</t>
    <phoneticPr fontId="109" type="noConversion"/>
  </si>
  <si>
    <t>10</t>
    <phoneticPr fontId="109" type="noConversion"/>
  </si>
  <si>
    <t>1101</t>
    <phoneticPr fontId="109" type="noConversion"/>
  </si>
  <si>
    <t>11</t>
    <phoneticPr fontId="109" type="noConversion"/>
  </si>
  <si>
    <t>1201</t>
    <phoneticPr fontId="109" type="noConversion"/>
  </si>
  <si>
    <t>12</t>
    <phoneticPr fontId="109" type="noConversion"/>
  </si>
  <si>
    <t>1401</t>
    <phoneticPr fontId="109" type="noConversion"/>
  </si>
  <si>
    <t>13</t>
    <phoneticPr fontId="109" type="noConversion"/>
  </si>
  <si>
    <t>1501</t>
    <phoneticPr fontId="109" type="noConversion"/>
  </si>
  <si>
    <t>14</t>
  </si>
  <si>
    <t>1601</t>
    <phoneticPr fontId="109" type="noConversion"/>
  </si>
  <si>
    <t>15</t>
  </si>
  <si>
    <t>1701</t>
    <phoneticPr fontId="109" type="noConversion"/>
  </si>
  <si>
    <t>16</t>
  </si>
  <si>
    <t>1801</t>
    <phoneticPr fontId="109" type="noConversion"/>
  </si>
  <si>
    <t>17</t>
  </si>
  <si>
    <t>1901</t>
    <phoneticPr fontId="109" type="noConversion"/>
  </si>
  <si>
    <t>18</t>
  </si>
  <si>
    <t>2001</t>
    <phoneticPr fontId="109" type="noConversion"/>
  </si>
  <si>
    <t>19</t>
  </si>
  <si>
    <t>2101</t>
    <phoneticPr fontId="109" type="noConversion"/>
  </si>
  <si>
    <t>20</t>
  </si>
  <si>
    <t>2201</t>
    <phoneticPr fontId="109" type="noConversion"/>
  </si>
  <si>
    <t>21</t>
  </si>
  <si>
    <t>2301</t>
    <phoneticPr fontId="109" type="noConversion"/>
  </si>
  <si>
    <t>22</t>
  </si>
  <si>
    <t>2401</t>
    <phoneticPr fontId="109" type="noConversion"/>
  </si>
  <si>
    <t>23</t>
  </si>
  <si>
    <t>2501</t>
    <phoneticPr fontId="109" type="noConversion"/>
  </si>
  <si>
    <t>24</t>
  </si>
  <si>
    <t>2601</t>
    <phoneticPr fontId="109" type="noConversion"/>
  </si>
  <si>
    <t>25</t>
  </si>
  <si>
    <t>2701</t>
    <phoneticPr fontId="109" type="noConversion"/>
  </si>
  <si>
    <t>26</t>
  </si>
  <si>
    <t>商业</t>
  </si>
  <si>
    <t>钢混</t>
  </si>
  <si>
    <t>扣毛地价</t>
  </si>
  <si>
    <t>设定容积率</t>
  </si>
  <si>
    <t>地上</t>
  </si>
  <si>
    <t>商务金融用地（商业类）</t>
  </si>
  <si>
    <t>七通一平</t>
  </si>
  <si>
    <t>四环路内</t>
  </si>
  <si>
    <t>较好</t>
  </si>
  <si>
    <t>好</t>
  </si>
  <si>
    <r>
      <rPr>
        <b/>
        <sz val="14"/>
        <color rgb="FFFF0000"/>
        <rFont val="宋体"/>
        <family val="3"/>
        <charset val="134"/>
      </rPr>
      <t>数据汇总表</t>
    </r>
    <phoneticPr fontId="4" type="noConversion"/>
  </si>
  <si>
    <r>
      <rPr>
        <b/>
        <sz val="11"/>
        <color indexed="8"/>
        <rFont val="宋体"/>
        <family val="3"/>
        <charset val="134"/>
      </rPr>
      <t>估价对象</t>
    </r>
    <phoneticPr fontId="4" type="noConversion"/>
  </si>
  <si>
    <r>
      <rPr>
        <b/>
        <sz val="11"/>
        <color indexed="8"/>
        <rFont val="宋体"/>
        <family val="3"/>
        <charset val="134"/>
      </rPr>
      <t>土地面积</t>
    </r>
    <phoneticPr fontId="4" type="noConversion"/>
  </si>
  <si>
    <r>
      <rPr>
        <b/>
        <sz val="11"/>
        <rFont val="宋体"/>
        <family val="3"/>
        <charset val="134"/>
      </rPr>
      <t>建筑面积</t>
    </r>
    <phoneticPr fontId="4" type="noConversion"/>
  </si>
  <si>
    <r>
      <rPr>
        <b/>
        <sz val="11"/>
        <color indexed="8"/>
        <rFont val="宋体"/>
        <family val="3"/>
        <charset val="134"/>
      </rPr>
      <t>容积率</t>
    </r>
    <phoneticPr fontId="4" type="noConversion"/>
  </si>
  <si>
    <r>
      <rPr>
        <b/>
        <sz val="11"/>
        <color indexed="8"/>
        <rFont val="宋体"/>
        <family val="3"/>
        <charset val="134"/>
      </rPr>
      <t>面积总计</t>
    </r>
    <phoneticPr fontId="4" type="noConversion"/>
  </si>
  <si>
    <r>
      <rPr>
        <sz val="11"/>
        <color indexed="8"/>
        <rFont val="宋体"/>
        <family val="3"/>
        <charset val="134"/>
      </rPr>
      <t>总</t>
    </r>
    <phoneticPr fontId="4" type="noConversion"/>
  </si>
  <si>
    <r>
      <rPr>
        <sz val="11"/>
        <color indexed="8"/>
        <rFont val="宋体"/>
        <family val="3"/>
        <charset val="134"/>
      </rPr>
      <t>项目</t>
    </r>
    <phoneticPr fontId="4" type="noConversion"/>
  </si>
  <si>
    <r>
      <rPr>
        <sz val="11"/>
        <color indexed="8"/>
        <rFont val="宋体"/>
        <family val="3"/>
        <charset val="134"/>
      </rPr>
      <t>地上</t>
    </r>
    <phoneticPr fontId="4" type="noConversion"/>
  </si>
  <si>
    <r>
      <t>1.</t>
    </r>
    <r>
      <rPr>
        <sz val="11"/>
        <color indexed="8"/>
        <rFont val="宋体"/>
        <family val="3"/>
        <charset val="134"/>
      </rPr>
      <t>其中：</t>
    </r>
    <phoneticPr fontId="4" type="noConversion"/>
  </si>
  <si>
    <r>
      <rPr>
        <sz val="11"/>
        <color indexed="8"/>
        <rFont val="宋体"/>
        <family val="3"/>
        <charset val="134"/>
      </rPr>
      <t>住宅</t>
    </r>
    <phoneticPr fontId="4" type="noConversion"/>
  </si>
  <si>
    <r>
      <rPr>
        <sz val="11"/>
        <color indexed="8"/>
        <rFont val="宋体"/>
        <family val="3"/>
        <charset val="134"/>
      </rPr>
      <t>非住宅</t>
    </r>
    <phoneticPr fontId="4" type="noConversion"/>
  </si>
  <si>
    <r>
      <rPr>
        <sz val="11"/>
        <color indexed="8"/>
        <rFont val="宋体"/>
        <family val="3"/>
        <charset val="134"/>
      </rPr>
      <t>估价对象</t>
    </r>
    <phoneticPr fontId="4" type="noConversion"/>
  </si>
  <si>
    <r>
      <rPr>
        <b/>
        <sz val="11"/>
        <color indexed="8"/>
        <rFont val="宋体"/>
        <family val="3"/>
        <charset val="134"/>
      </rPr>
      <t>建筑面积</t>
    </r>
    <phoneticPr fontId="4" type="noConversion"/>
  </si>
  <si>
    <r>
      <rPr>
        <sz val="11"/>
        <color indexed="8"/>
        <rFont val="宋体"/>
        <family val="3"/>
        <charset val="134"/>
      </rPr>
      <t>自定义容积率</t>
    </r>
    <phoneticPr fontId="4" type="noConversion"/>
  </si>
  <si>
    <r>
      <t>2.</t>
    </r>
    <r>
      <rPr>
        <sz val="11"/>
        <color indexed="8"/>
        <rFont val="宋体"/>
        <family val="3"/>
        <charset val="134"/>
      </rPr>
      <t>其中：</t>
    </r>
    <phoneticPr fontId="4" type="noConversion"/>
  </si>
  <si>
    <r>
      <rPr>
        <sz val="11"/>
        <color indexed="8"/>
        <rFont val="宋体"/>
        <family val="3"/>
        <charset val="134"/>
      </rPr>
      <t>计出让部分</t>
    </r>
    <phoneticPr fontId="4" type="noConversion"/>
  </si>
  <si>
    <r>
      <rPr>
        <sz val="11"/>
        <color indexed="8"/>
        <rFont val="宋体"/>
        <family val="3"/>
        <charset val="134"/>
      </rPr>
      <t>地上经营性用途</t>
    </r>
    <phoneticPr fontId="4" type="noConversion"/>
  </si>
  <si>
    <r>
      <rPr>
        <sz val="11"/>
        <color indexed="8"/>
        <rFont val="宋体"/>
        <family val="3"/>
        <charset val="134"/>
      </rPr>
      <t>地上其他</t>
    </r>
    <phoneticPr fontId="4" type="noConversion"/>
  </si>
  <si>
    <r>
      <rPr>
        <sz val="11"/>
        <color indexed="8"/>
        <rFont val="宋体"/>
        <family val="3"/>
        <charset val="134"/>
      </rPr>
      <t>地下商业</t>
    </r>
    <phoneticPr fontId="4" type="noConversion"/>
  </si>
  <si>
    <r>
      <rPr>
        <sz val="11"/>
        <color indexed="8"/>
        <rFont val="宋体"/>
        <family val="3"/>
        <charset val="134"/>
      </rPr>
      <t>地下办公（含物业）</t>
    </r>
    <phoneticPr fontId="4" type="noConversion"/>
  </si>
  <si>
    <r>
      <rPr>
        <sz val="11"/>
        <color indexed="8"/>
        <rFont val="宋体"/>
        <family val="3"/>
        <charset val="134"/>
      </rPr>
      <t>地下仓储</t>
    </r>
    <phoneticPr fontId="4" type="noConversion"/>
  </si>
  <si>
    <r>
      <rPr>
        <sz val="11"/>
        <color indexed="8"/>
        <rFont val="宋体"/>
        <family val="3"/>
        <charset val="134"/>
      </rPr>
      <t>地下车库（除商业、办公）</t>
    </r>
    <phoneticPr fontId="4" type="noConversion"/>
  </si>
  <si>
    <r>
      <rPr>
        <sz val="11"/>
        <color indexed="8"/>
        <rFont val="宋体"/>
        <family val="3"/>
        <charset val="134"/>
      </rPr>
      <t>地下车库</t>
    </r>
    <r>
      <rPr>
        <sz val="11"/>
        <color indexed="8"/>
        <rFont val="Arial"/>
        <family val="2"/>
      </rPr>
      <t>-</t>
    </r>
    <r>
      <rPr>
        <sz val="11"/>
        <color indexed="8"/>
        <rFont val="宋体"/>
        <family val="3"/>
        <charset val="134"/>
      </rPr>
      <t>商业</t>
    </r>
    <phoneticPr fontId="4" type="noConversion"/>
  </si>
  <si>
    <r>
      <rPr>
        <sz val="11"/>
        <color indexed="8"/>
        <rFont val="宋体"/>
        <family val="3"/>
        <charset val="134"/>
      </rPr>
      <t>地下车库</t>
    </r>
    <r>
      <rPr>
        <sz val="11"/>
        <color indexed="8"/>
        <rFont val="Arial"/>
        <family val="2"/>
      </rPr>
      <t>-</t>
    </r>
    <r>
      <rPr>
        <sz val="11"/>
        <color indexed="8"/>
        <rFont val="宋体"/>
        <family val="3"/>
        <charset val="134"/>
      </rPr>
      <t>办公</t>
    </r>
    <phoneticPr fontId="4" type="noConversion"/>
  </si>
  <si>
    <r>
      <rPr>
        <sz val="11"/>
        <color indexed="8"/>
        <rFont val="宋体"/>
        <family val="3"/>
        <charset val="134"/>
      </rPr>
      <t>小计</t>
    </r>
    <phoneticPr fontId="4" type="noConversion"/>
  </si>
  <si>
    <r>
      <rPr>
        <b/>
        <sz val="11"/>
        <color indexed="8"/>
        <rFont val="宋体"/>
        <family val="3"/>
        <charset val="134"/>
      </rPr>
      <t>分摊非经营性用途用房</t>
    </r>
    <phoneticPr fontId="4" type="noConversion"/>
  </si>
  <si>
    <r>
      <t>3.</t>
    </r>
    <r>
      <rPr>
        <sz val="11"/>
        <color indexed="8"/>
        <rFont val="宋体"/>
        <family val="3"/>
        <charset val="134"/>
      </rPr>
      <t>其中：</t>
    </r>
    <phoneticPr fontId="4" type="noConversion"/>
  </si>
  <si>
    <r>
      <rPr>
        <sz val="11"/>
        <color indexed="8"/>
        <rFont val="宋体"/>
        <family val="3"/>
        <charset val="134"/>
      </rPr>
      <t>类别</t>
    </r>
    <phoneticPr fontId="4" type="noConversion"/>
  </si>
  <si>
    <r>
      <rPr>
        <sz val="11"/>
        <color indexed="8"/>
        <rFont val="宋体"/>
        <family val="3"/>
        <charset val="134"/>
      </rPr>
      <t>项目类型</t>
    </r>
    <phoneticPr fontId="4" type="noConversion"/>
  </si>
  <si>
    <r>
      <rPr>
        <b/>
        <sz val="11"/>
        <color indexed="8"/>
        <rFont val="宋体"/>
        <family val="3"/>
        <charset val="134"/>
      </rPr>
      <t>分摊原则：</t>
    </r>
    <phoneticPr fontId="4" type="noConversion"/>
  </si>
  <si>
    <r>
      <rPr>
        <b/>
        <sz val="11"/>
        <color indexed="8"/>
        <rFont val="宋体"/>
        <family val="3"/>
        <charset val="134"/>
      </rPr>
      <t>按面积比例</t>
    </r>
  </si>
  <si>
    <r>
      <rPr>
        <sz val="11"/>
        <color indexed="8"/>
        <rFont val="宋体"/>
        <family val="3"/>
        <charset val="134"/>
      </rPr>
      <t>按面积比例分摊</t>
    </r>
    <phoneticPr fontId="4" type="noConversion"/>
  </si>
  <si>
    <r>
      <rPr>
        <sz val="11"/>
        <color indexed="8"/>
        <rFont val="宋体"/>
        <family val="3"/>
        <charset val="134"/>
      </rPr>
      <t>自定义分摊</t>
    </r>
    <phoneticPr fontId="4" type="noConversion"/>
  </si>
  <si>
    <r>
      <rPr>
        <sz val="11"/>
        <color indexed="8"/>
        <rFont val="宋体"/>
        <family val="3"/>
        <charset val="134"/>
      </rPr>
      <t>面积加总（含分摊非经营）</t>
    </r>
    <phoneticPr fontId="4" type="noConversion"/>
  </si>
  <si>
    <r>
      <rPr>
        <sz val="11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</si>
  <si>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地下</t>
    </r>
    <phoneticPr fontId="4" type="noConversion"/>
  </si>
  <si>
    <r>
      <rPr>
        <sz val="11"/>
        <color indexed="8"/>
        <rFont val="宋体"/>
        <family val="3"/>
        <charset val="134"/>
      </rPr>
      <t>土地面积</t>
    </r>
    <phoneticPr fontId="4" type="noConversion"/>
  </si>
  <si>
    <r>
      <rPr>
        <sz val="11"/>
        <color indexed="8"/>
        <rFont val="宋体"/>
        <family val="3"/>
        <charset val="134"/>
      </rPr>
      <t>建筑面积</t>
    </r>
    <phoneticPr fontId="4" type="noConversion"/>
  </si>
  <si>
    <r>
      <rPr>
        <sz val="11"/>
        <color indexed="8"/>
        <rFont val="宋体"/>
        <family val="3"/>
        <charset val="134"/>
      </rPr>
      <t>设备</t>
    </r>
    <phoneticPr fontId="4" type="noConversion"/>
  </si>
  <si>
    <r>
      <rPr>
        <sz val="11"/>
        <color indexed="8"/>
        <rFont val="宋体"/>
        <family val="3"/>
        <charset val="134"/>
      </rPr>
      <t>公共配套</t>
    </r>
    <r>
      <rPr>
        <sz val="11"/>
        <color indexed="8"/>
        <rFont val="Arial"/>
        <family val="2"/>
      </rPr>
      <t>(</t>
    </r>
    <r>
      <rPr>
        <sz val="11"/>
        <color indexed="8"/>
        <rFont val="宋体"/>
        <family val="3"/>
        <charset val="134"/>
      </rPr>
      <t>住宅</t>
    </r>
    <r>
      <rPr>
        <sz val="11"/>
        <color indexed="8"/>
        <rFont val="Arial"/>
        <family val="2"/>
      </rPr>
      <t>)</t>
    </r>
    <phoneticPr fontId="4" type="noConversion"/>
  </si>
  <si>
    <r>
      <rPr>
        <sz val="11"/>
        <color indexed="8"/>
        <rFont val="宋体"/>
        <family val="3"/>
        <charset val="134"/>
      </rPr>
      <t>合</t>
    </r>
    <phoneticPr fontId="4" type="noConversion"/>
  </si>
  <si>
    <r>
      <rPr>
        <sz val="11"/>
        <color indexed="8"/>
        <rFont val="宋体"/>
        <family val="3"/>
        <charset val="134"/>
      </rPr>
      <t>经营性</t>
    </r>
  </si>
  <si>
    <t>商业</t>
    <phoneticPr fontId="4" type="noConversion"/>
  </si>
  <si>
    <r>
      <rPr>
        <sz val="11"/>
        <color indexed="8"/>
        <rFont val="宋体"/>
        <family val="3"/>
        <charset val="134"/>
      </rPr>
      <t>经营性</t>
    </r>
    <phoneticPr fontId="4" type="noConversion"/>
  </si>
  <si>
    <t>办公</t>
    <phoneticPr fontId="4" type="noConversion"/>
  </si>
  <si>
    <t>酒店</t>
    <phoneticPr fontId="4" type="noConversion"/>
  </si>
  <si>
    <t>车库</t>
    <phoneticPr fontId="4" type="noConversion"/>
  </si>
  <si>
    <t>库房</t>
    <phoneticPr fontId="4" type="noConversion"/>
  </si>
  <si>
    <r>
      <rPr>
        <b/>
        <sz val="11"/>
        <color indexed="8"/>
        <rFont val="宋体"/>
        <family val="3"/>
        <charset val="134"/>
      </rPr>
      <t>小计</t>
    </r>
    <phoneticPr fontId="4" type="noConversion"/>
  </si>
  <si>
    <r>
      <rPr>
        <sz val="11"/>
        <color indexed="8"/>
        <rFont val="宋体"/>
        <family val="3"/>
        <charset val="134"/>
      </rPr>
      <t>非经营性</t>
    </r>
    <phoneticPr fontId="4" type="noConversion"/>
  </si>
  <si>
    <r>
      <rPr>
        <sz val="11"/>
        <color indexed="8"/>
        <rFont val="宋体"/>
        <family val="3"/>
        <charset val="134"/>
      </rPr>
      <t>设备及其他</t>
    </r>
    <phoneticPr fontId="4" type="noConversion"/>
  </si>
  <si>
    <r>
      <rPr>
        <sz val="11"/>
        <color indexed="8"/>
        <rFont val="宋体"/>
        <family val="3"/>
        <charset val="134"/>
      </rPr>
      <t>公共配套及物业（住宅）</t>
    </r>
    <phoneticPr fontId="4" type="noConversion"/>
  </si>
  <si>
    <r>
      <rPr>
        <b/>
        <sz val="11"/>
        <color indexed="8"/>
        <rFont val="宋体"/>
        <family val="3"/>
        <charset val="134"/>
      </rPr>
      <t>合计</t>
    </r>
    <phoneticPr fontId="4" type="noConversion"/>
  </si>
  <si>
    <r>
      <rPr>
        <sz val="11"/>
        <color indexed="8"/>
        <rFont val="宋体"/>
        <family val="3"/>
        <charset val="134"/>
      </rPr>
      <t>住宅用房合计</t>
    </r>
    <phoneticPr fontId="4" type="noConversion"/>
  </si>
  <si>
    <t>用途</t>
    <phoneticPr fontId="109" type="noConversion"/>
  </si>
  <si>
    <t>面积</t>
    <phoneticPr fontId="109" type="noConversion"/>
  </si>
  <si>
    <t>单价</t>
    <phoneticPr fontId="109" type="noConversion"/>
  </si>
  <si>
    <t>总价</t>
    <phoneticPr fontId="109" type="noConversion"/>
  </si>
  <si>
    <t>序号</t>
    <phoneticPr fontId="109" type="noConversion"/>
  </si>
  <si>
    <t>商业、酒店</t>
    <phoneticPr fontId="109" type="noConversion"/>
  </si>
  <si>
    <t>办公</t>
    <phoneticPr fontId="109" type="noConversion"/>
  </si>
  <si>
    <t>车库</t>
    <phoneticPr fontId="109" type="noConversion"/>
  </si>
  <si>
    <t>仓储</t>
    <phoneticPr fontId="109" type="noConversion"/>
  </si>
  <si>
    <t>合计</t>
    <phoneticPr fontId="10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</si>
</sst>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4"/>
      <color rgb="FFFF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9">
    <xf numFmtId="0" fontId="0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40" fillId="0" borderId="0"/>
    <xf numFmtId="0" fontId="76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0" fontId="76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57" fillId="0" borderId="0"/>
    <xf numFmtId="0" fontId="2" fillId="0" borderId="0">
      <alignment vertical="center"/>
    </xf>
    <xf numFmtId="0" fontId="76" fillId="0" borderId="0">
      <alignment vertical="center"/>
    </xf>
    <xf numFmtId="0" fontId="76" fillId="0" borderId="0">
      <alignment vertical="center"/>
    </xf>
    <xf numFmtId="0" fontId="76" fillId="0" borderId="0"/>
    <xf numFmtId="0" fontId="76" fillId="0" borderId="0">
      <alignment vertical="center"/>
    </xf>
    <xf numFmtId="0" fontId="2" fillId="0" borderId="0">
      <alignment vertical="center"/>
    </xf>
    <xf numFmtId="0" fontId="139" fillId="0" borderId="0">
      <alignment vertical="center"/>
    </xf>
    <xf numFmtId="0" fontId="1" fillId="0" borderId="0">
      <alignment vertical="center"/>
    </xf>
  </cellStyleXfs>
  <cellXfs count="2019">
    <xf numFmtId="0" fontId="0" fillId="0" borderId="0" xfId="0">
      <alignment vertical="center"/>
    </xf>
    <xf numFmtId="0" fontId="17" fillId="5" borderId="0" xfId="0" applyFont="1" applyFill="1" applyAlignment="1" applyProtection="1">
      <alignment horizontal="center" vertical="center" wrapText="1"/>
    </xf>
    <xf numFmtId="0" fontId="79" fillId="5" borderId="0" xfId="0" applyFont="1" applyFill="1" applyProtection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1" fillId="5" borderId="11" xfId="0" applyNumberFormat="1" applyFont="1" applyFill="1" applyBorder="1" applyAlignment="1" applyProtection="1">
      <alignment horizontal="center" vertical="center" wrapText="1"/>
    </xf>
    <xf numFmtId="49" fontId="23" fillId="2" borderId="31" xfId="0" applyNumberFormat="1" applyFont="1" applyFill="1" applyBorder="1" applyAlignment="1" applyProtection="1">
      <alignment vertical="center"/>
      <protection locked="0"/>
    </xf>
    <xf numFmtId="0" fontId="21" fillId="5" borderId="48" xfId="0" applyNumberFormat="1" applyFont="1" applyFill="1" applyBorder="1" applyAlignment="1" applyProtection="1">
      <alignment horizontal="center" vertical="center" wrapText="1"/>
    </xf>
    <xf numFmtId="0" fontId="83" fillId="5" borderId="48" xfId="0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 wrapText="1"/>
    </xf>
    <xf numFmtId="0" fontId="47" fillId="5" borderId="0" xfId="0" applyNumberFormat="1" applyFont="1" applyFill="1" applyBorder="1" applyAlignment="1" applyProtection="1">
      <alignment horizontal="center" vertical="center" wrapText="1"/>
    </xf>
    <xf numFmtId="0" fontId="83" fillId="5" borderId="0" xfId="0" applyFont="1" applyFill="1" applyAlignment="1" applyProtection="1">
      <alignment horizontal="center" vertical="center"/>
    </xf>
    <xf numFmtId="0" fontId="83" fillId="5" borderId="0" xfId="0" applyFont="1" applyFill="1" applyBorder="1" applyAlignment="1" applyProtection="1">
      <alignment horizontal="center" vertical="center"/>
    </xf>
    <xf numFmtId="0" fontId="83" fillId="5" borderId="0" xfId="0" applyFont="1" applyFill="1" applyProtection="1">
      <alignment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  <protection locked="0"/>
    </xf>
    <xf numFmtId="0" fontId="47" fillId="5" borderId="1" xfId="0" applyFont="1" applyFill="1" applyBorder="1" applyAlignment="1" applyProtection="1">
      <alignment horizontal="center" vertical="center"/>
    </xf>
    <xf numFmtId="0" fontId="47" fillId="5" borderId="13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  <protection locked="0"/>
    </xf>
    <xf numFmtId="0" fontId="47" fillId="5" borderId="31" xfId="0" applyNumberFormat="1" applyFont="1" applyFill="1" applyBorder="1" applyAlignment="1" applyProtection="1">
      <alignment horizontal="center" vertical="center" wrapText="1"/>
    </xf>
    <xf numFmtId="0" fontId="47" fillId="5" borderId="6" xfId="0" applyNumberFormat="1" applyFont="1" applyFill="1" applyBorder="1" applyAlignment="1" applyProtection="1">
      <alignment horizontal="center" vertical="center" wrapText="1"/>
    </xf>
    <xf numFmtId="0" fontId="47" fillId="5" borderId="43" xfId="0" applyNumberFormat="1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10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56" fillId="5" borderId="1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vertical="center"/>
    </xf>
    <xf numFmtId="0" fontId="56" fillId="5" borderId="18" xfId="1" applyFont="1" applyFill="1" applyBorder="1" applyAlignment="1" applyProtection="1">
      <alignment horizontal="right" vertical="center"/>
    </xf>
    <xf numFmtId="0" fontId="84" fillId="5" borderId="35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right" vertical="center"/>
    </xf>
    <xf numFmtId="0" fontId="59" fillId="5" borderId="0" xfId="0" applyFont="1" applyFill="1" applyAlignment="1" applyProtection="1">
      <alignment horizontal="center" vertical="center"/>
    </xf>
    <xf numFmtId="0" fontId="60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Alignment="1" applyProtection="1">
      <alignment horizontal="center" vertical="center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51" fillId="5" borderId="37" xfId="0" applyFont="1" applyFill="1" applyBorder="1" applyAlignment="1" applyProtection="1">
      <alignment vertical="center" wrapText="1"/>
    </xf>
    <xf numFmtId="0" fontId="52" fillId="0" borderId="0" xfId="0" applyFont="1" applyFill="1" applyAlignment="1" applyProtection="1">
      <alignment horizontal="center" vertical="center"/>
      <protection locked="0"/>
    </xf>
    <xf numFmtId="0" fontId="51" fillId="5" borderId="39" xfId="0" applyFont="1" applyFill="1" applyBorder="1" applyAlignment="1" applyProtection="1">
      <alignment vertical="center" wrapText="1"/>
    </xf>
    <xf numFmtId="0" fontId="51" fillId="5" borderId="0" xfId="0" applyFont="1" applyFill="1" applyBorder="1" applyAlignment="1" applyProtection="1">
      <alignment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51" fillId="5" borderId="40" xfId="0" applyFont="1" applyFill="1" applyBorder="1" applyAlignment="1" applyProtection="1">
      <alignment vertical="center" wrapText="1"/>
    </xf>
    <xf numFmtId="0" fontId="48" fillId="5" borderId="53" xfId="0" applyFont="1" applyFill="1" applyBorder="1" applyAlignment="1" applyProtection="1">
      <alignment vertical="center" wrapText="1"/>
    </xf>
    <xf numFmtId="0" fontId="48" fillId="5" borderId="63" xfId="0" applyFont="1" applyFill="1" applyBorder="1" applyAlignment="1" applyProtection="1">
      <alignment vertical="center" wrapText="1"/>
    </xf>
    <xf numFmtId="0" fontId="47" fillId="5" borderId="15" xfId="0" applyNumberFormat="1" applyFont="1" applyFill="1" applyBorder="1" applyAlignment="1" applyProtection="1">
      <alignment horizontal="center" vertical="center" wrapText="1"/>
    </xf>
    <xf numFmtId="0" fontId="47" fillId="5" borderId="14" xfId="0" applyNumberFormat="1" applyFont="1" applyFill="1" applyBorder="1" applyAlignment="1" applyProtection="1">
      <alignment horizontal="center" vertical="center" wrapText="1"/>
    </xf>
    <xf numFmtId="0" fontId="48" fillId="5" borderId="22" xfId="0" applyFont="1" applyFill="1" applyBorder="1" applyAlignment="1" applyProtection="1">
      <alignment vertical="center" wrapText="1"/>
    </xf>
    <xf numFmtId="0" fontId="62" fillId="5" borderId="26" xfId="0" applyFont="1" applyFill="1" applyBorder="1" applyAlignment="1" applyProtection="1">
      <alignment vertical="center" wrapText="1"/>
    </xf>
    <xf numFmtId="0" fontId="47" fillId="5" borderId="2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5" borderId="26" xfId="0" applyFont="1" applyFill="1" applyBorder="1" applyAlignment="1" applyProtection="1">
      <alignment vertical="center" wrapText="1"/>
    </xf>
    <xf numFmtId="0" fontId="47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6" xfId="0" applyNumberFormat="1" applyFont="1" applyFill="1" applyBorder="1" applyAlignment="1" applyProtection="1">
      <alignment horizontal="center" vertical="center" wrapText="1"/>
    </xf>
    <xf numFmtId="0" fontId="51" fillId="5" borderId="42" xfId="0" applyFont="1" applyFill="1" applyBorder="1" applyAlignment="1" applyProtection="1">
      <alignment vertical="center" wrapText="1"/>
    </xf>
    <xf numFmtId="0" fontId="52" fillId="5" borderId="43" xfId="0" applyNumberFormat="1" applyFont="1" applyFill="1" applyBorder="1" applyAlignment="1" applyProtection="1">
      <alignment horizontal="center" vertical="center" wrapText="1"/>
    </xf>
    <xf numFmtId="0" fontId="51" fillId="5" borderId="22" xfId="0" applyFont="1" applyFill="1" applyBorder="1" applyAlignment="1" applyProtection="1">
      <alignment vertical="center" wrapText="1"/>
    </xf>
    <xf numFmtId="0" fontId="52" fillId="5" borderId="57" xfId="0" applyNumberFormat="1" applyFont="1" applyFill="1" applyBorder="1" applyAlignment="1" applyProtection="1">
      <alignment horizontal="center" vertical="center" wrapText="1"/>
    </xf>
    <xf numFmtId="0" fontId="52" fillId="5" borderId="34" xfId="0" applyNumberFormat="1" applyFont="1" applyFill="1" applyBorder="1" applyAlignment="1" applyProtection="1">
      <alignment horizontal="center" vertical="center" wrapText="1"/>
    </xf>
    <xf numFmtId="0" fontId="52" fillId="5" borderId="49" xfId="0" applyNumberFormat="1" applyFont="1" applyFill="1" applyBorder="1" applyAlignment="1" applyProtection="1">
      <alignment horizontal="center" vertical="center" wrapText="1"/>
    </xf>
    <xf numFmtId="0" fontId="52" fillId="5" borderId="56" xfId="0" applyNumberFormat="1" applyFont="1" applyFill="1" applyBorder="1" applyAlignment="1" applyProtection="1">
      <alignment horizontal="center" vertical="center" wrapText="1"/>
    </xf>
    <xf numFmtId="0" fontId="47" fillId="5" borderId="61" xfId="0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49" fontId="51" fillId="5" borderId="45" xfId="0" applyNumberFormat="1" applyFont="1" applyFill="1" applyBorder="1" applyAlignment="1" applyProtection="1">
      <alignment vertical="center"/>
    </xf>
    <xf numFmtId="0" fontId="51" fillId="5" borderId="38" xfId="0" applyFont="1" applyFill="1" applyBorder="1" applyAlignment="1" applyProtection="1">
      <alignment vertical="center" wrapText="1"/>
    </xf>
    <xf numFmtId="0" fontId="66" fillId="3" borderId="46" xfId="0" applyFont="1" applyFill="1" applyBorder="1" applyAlignment="1" applyProtection="1">
      <alignment vertical="center" wrapText="1"/>
      <protection locked="0"/>
    </xf>
    <xf numFmtId="0" fontId="66" fillId="5" borderId="46" xfId="0" applyFont="1" applyFill="1" applyBorder="1" applyAlignment="1" applyProtection="1">
      <alignment vertical="center" wrapText="1"/>
    </xf>
    <xf numFmtId="0" fontId="66" fillId="3" borderId="45" xfId="0" applyFont="1" applyFill="1" applyBorder="1" applyAlignment="1" applyProtection="1">
      <alignment vertical="center" wrapText="1"/>
      <protection locked="0"/>
    </xf>
    <xf numFmtId="0" fontId="66" fillId="5" borderId="38" xfId="0" applyFont="1" applyFill="1" applyBorder="1" applyAlignment="1" applyProtection="1">
      <alignment vertical="center" wrapText="1"/>
    </xf>
    <xf numFmtId="49" fontId="51" fillId="5" borderId="20" xfId="0" applyNumberFormat="1" applyFont="1" applyFill="1" applyBorder="1" applyAlignment="1" applyProtection="1">
      <alignment vertical="center"/>
    </xf>
    <xf numFmtId="184" fontId="51" fillId="5" borderId="20" xfId="0" applyNumberFormat="1" applyFont="1" applyFill="1" applyBorder="1" applyAlignment="1" applyProtection="1">
      <alignment vertical="center" wrapText="1"/>
    </xf>
    <xf numFmtId="0" fontId="51" fillId="5" borderId="60" xfId="0" applyFont="1" applyFill="1" applyBorder="1" applyAlignment="1" applyProtection="1">
      <alignment vertical="center" wrapText="1"/>
    </xf>
    <xf numFmtId="184" fontId="51" fillId="5" borderId="47" xfId="0" applyNumberFormat="1" applyFont="1" applyFill="1" applyBorder="1" applyAlignment="1" applyProtection="1">
      <alignment vertical="center" wrapText="1"/>
    </xf>
    <xf numFmtId="0" fontId="51" fillId="5" borderId="47" xfId="0" applyFont="1" applyFill="1" applyBorder="1" applyAlignment="1" applyProtection="1">
      <alignment vertical="center" wrapText="1"/>
    </xf>
    <xf numFmtId="184" fontId="51" fillId="5" borderId="40" xfId="0" applyNumberFormat="1" applyFont="1" applyFill="1" applyBorder="1" applyAlignment="1" applyProtection="1">
      <alignment vertical="center" wrapText="1"/>
    </xf>
    <xf numFmtId="187" fontId="52" fillId="0" borderId="0" xfId="0" applyNumberFormat="1" applyFont="1" applyFill="1" applyAlignment="1" applyProtection="1">
      <alignment horizontal="center" vertical="center"/>
      <protection locked="0"/>
    </xf>
    <xf numFmtId="181" fontId="52" fillId="0" borderId="0" xfId="0" applyNumberFormat="1" applyFont="1" applyFill="1" applyAlignment="1" applyProtection="1">
      <alignment horizontal="center" vertical="center"/>
      <protection locked="0"/>
    </xf>
    <xf numFmtId="0" fontId="51" fillId="5" borderId="1" xfId="0" applyFont="1" applyFill="1" applyBorder="1" applyAlignment="1" applyProtection="1">
      <alignment horizontal="left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1" fontId="52" fillId="5" borderId="2" xfId="0" applyNumberFormat="1" applyFont="1" applyFill="1" applyBorder="1" applyAlignment="1" applyProtection="1">
      <alignment horizontal="center" vertical="center"/>
    </xf>
    <xf numFmtId="181" fontId="52" fillId="5" borderId="3" xfId="0" applyNumberFormat="1" applyFont="1" applyFill="1" applyBorder="1" applyAlignment="1" applyProtection="1">
      <alignment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64" fillId="0" borderId="0" xfId="0" applyFont="1" applyFill="1" applyAlignment="1" applyProtection="1">
      <alignment horizontal="center" vertical="center"/>
      <protection locked="0"/>
    </xf>
    <xf numFmtId="0" fontId="52" fillId="0" borderId="0" xfId="0" applyFont="1" applyBorder="1" applyAlignment="1" applyProtection="1">
      <protection locked="0"/>
    </xf>
    <xf numFmtId="9" fontId="4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5" xfId="0" applyNumberFormat="1" applyFont="1" applyFill="1" applyBorder="1" applyAlignment="1" applyProtection="1">
      <alignment vertical="center" wrapText="1"/>
    </xf>
    <xf numFmtId="0" fontId="48" fillId="5" borderId="21" xfId="0" applyNumberFormat="1" applyFont="1" applyFill="1" applyBorder="1" applyAlignment="1" applyProtection="1">
      <alignment vertical="center" wrapText="1"/>
    </xf>
    <xf numFmtId="0" fontId="48" fillId="5" borderId="39" xfId="0" applyNumberFormat="1" applyFont="1" applyFill="1" applyBorder="1" applyAlignment="1" applyProtection="1">
      <alignment vertical="center" wrapText="1"/>
    </xf>
    <xf numFmtId="0" fontId="48" fillId="5" borderId="25" xfId="0" applyNumberFormat="1" applyFont="1" applyFill="1" applyBorder="1" applyAlignment="1" applyProtection="1">
      <alignment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29" xfId="0" applyNumberFormat="1" applyFont="1" applyFill="1" applyBorder="1" applyAlignment="1" applyProtection="1">
      <alignment vertical="center"/>
    </xf>
    <xf numFmtId="0" fontId="48" fillId="5" borderId="67" xfId="0" applyNumberFormat="1" applyFont="1" applyFill="1" applyBorder="1" applyAlignment="1" applyProtection="1">
      <alignment vertical="center" wrapText="1"/>
    </xf>
    <xf numFmtId="0" fontId="48" fillId="5" borderId="58" xfId="0" applyNumberFormat="1" applyFont="1" applyFill="1" applyBorder="1" applyAlignment="1" applyProtection="1">
      <alignment vertical="center" wrapText="1"/>
    </xf>
    <xf numFmtId="0" fontId="47" fillId="5" borderId="24" xfId="0" applyNumberFormat="1" applyFont="1" applyFill="1" applyBorder="1" applyAlignment="1" applyProtection="1">
      <alignment horizontal="center" vertical="center" wrapText="1"/>
    </xf>
    <xf numFmtId="0" fontId="83" fillId="0" borderId="0" xfId="0" applyFont="1" applyFill="1" applyBorder="1" applyAlignment="1" applyProtection="1">
      <alignment vertical="center"/>
      <protection locked="0"/>
    </xf>
    <xf numFmtId="0" fontId="51" fillId="5" borderId="22" xfId="0" applyNumberFormat="1" applyFont="1" applyFill="1" applyBorder="1" applyAlignment="1" applyProtection="1">
      <alignment vertical="center" wrapText="1"/>
    </xf>
    <xf numFmtId="0" fontId="47" fillId="5" borderId="55" xfId="0" applyNumberFormat="1" applyFont="1" applyFill="1" applyBorder="1" applyAlignment="1" applyProtection="1">
      <alignment horizontal="center" vertical="center" wrapText="1"/>
    </xf>
    <xf numFmtId="0" fontId="52" fillId="5" borderId="11" xfId="0" applyNumberFormat="1" applyFont="1" applyFill="1" applyBorder="1" applyAlignment="1" applyProtection="1">
      <alignment horizontal="center" vertical="center" wrapText="1"/>
    </xf>
    <xf numFmtId="0" fontId="51" fillId="5" borderId="26" xfId="0" applyNumberFormat="1" applyFont="1" applyFill="1" applyBorder="1" applyAlignment="1" applyProtection="1">
      <alignment vertical="center" wrapText="1"/>
    </xf>
    <xf numFmtId="0" fontId="50" fillId="5" borderId="71" xfId="0" applyNumberFormat="1" applyFont="1" applyFill="1" applyBorder="1" applyAlignment="1" applyProtection="1">
      <alignment horizontal="center" vertical="center" wrapText="1"/>
    </xf>
    <xf numFmtId="0" fontId="52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2" xfId="0" applyNumberFormat="1" applyFont="1" applyFill="1" applyBorder="1" applyAlignment="1" applyProtection="1">
      <alignment horizontal="center" vertical="center" wrapText="1"/>
    </xf>
    <xf numFmtId="0" fontId="52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center" vertical="center" wrapText="1"/>
    </xf>
    <xf numFmtId="0" fontId="64" fillId="5" borderId="32" xfId="0" applyNumberFormat="1" applyFont="1" applyFill="1" applyBorder="1" applyAlignment="1" applyProtection="1">
      <alignment horizontal="left" vertical="center" wrapText="1"/>
    </xf>
    <xf numFmtId="0" fontId="64" fillId="5" borderId="33" xfId="0" applyNumberFormat="1" applyFont="1" applyFill="1" applyBorder="1" applyAlignment="1" applyProtection="1">
      <alignment horizontal="center" vertical="center" wrapText="1"/>
    </xf>
    <xf numFmtId="0" fontId="47" fillId="5" borderId="71" xfId="0" applyNumberFormat="1" applyFont="1" applyFill="1" applyBorder="1" applyAlignment="1" applyProtection="1">
      <alignment horizontal="center" vertical="center" wrapText="1"/>
    </xf>
    <xf numFmtId="0" fontId="52" fillId="5" borderId="72" xfId="0" applyNumberFormat="1" applyFont="1" applyFill="1" applyBorder="1" applyAlignment="1" applyProtection="1">
      <alignment horizontal="center" vertical="center" wrapText="1"/>
    </xf>
    <xf numFmtId="0" fontId="52" fillId="5" borderId="73" xfId="0" applyNumberFormat="1" applyFont="1" applyFill="1" applyBorder="1" applyAlignment="1" applyProtection="1">
      <alignment horizontal="center" vertical="center" wrapText="1"/>
    </xf>
    <xf numFmtId="0" fontId="47" fillId="5" borderId="48" xfId="0" applyNumberFormat="1" applyFont="1" applyFill="1" applyBorder="1" applyAlignment="1" applyProtection="1">
      <alignment horizontal="center" vertical="center" wrapText="1"/>
    </xf>
    <xf numFmtId="0" fontId="52" fillId="5" borderId="17" xfId="0" applyNumberFormat="1" applyFont="1" applyFill="1" applyBorder="1" applyAlignment="1" applyProtection="1">
      <alignment horizontal="center" vertical="center" wrapText="1"/>
    </xf>
    <xf numFmtId="0" fontId="50" fillId="5" borderId="48" xfId="0" applyNumberFormat="1" applyFont="1" applyFill="1" applyBorder="1" applyAlignment="1" applyProtection="1">
      <alignment horizontal="center" vertical="center" wrapText="1"/>
    </xf>
    <xf numFmtId="0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26" xfId="0" applyNumberFormat="1" applyFont="1" applyFill="1" applyBorder="1" applyAlignment="1" applyProtection="1">
      <alignment vertical="center" wrapText="1"/>
    </xf>
    <xf numFmtId="0" fontId="50" fillId="0" borderId="0" xfId="0" applyFont="1" applyFill="1" applyBorder="1" applyAlignment="1" applyProtection="1">
      <alignment horizontal="center" vertical="center" wrapText="1"/>
      <protection locked="0"/>
    </xf>
    <xf numFmtId="9" fontId="5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5" fillId="5" borderId="42" xfId="0" applyNumberFormat="1" applyFont="1" applyFill="1" applyBorder="1" applyAlignment="1" applyProtection="1">
      <alignment vertical="center" wrapText="1"/>
    </xf>
    <xf numFmtId="0" fontId="47" fillId="5" borderId="68" xfId="0" applyNumberFormat="1" applyFont="1" applyFill="1" applyBorder="1" applyAlignment="1" applyProtection="1">
      <alignment horizontal="center" vertical="center" wrapText="1"/>
    </xf>
    <xf numFmtId="0" fontId="47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center" vertical="center" wrapText="1"/>
    </xf>
    <xf numFmtId="0" fontId="64" fillId="5" borderId="11" xfId="0" applyNumberFormat="1" applyFont="1" applyFill="1" applyBorder="1" applyAlignment="1" applyProtection="1">
      <alignment horizontal="left" vertical="center" wrapText="1"/>
    </xf>
    <xf numFmtId="0" fontId="64" fillId="5" borderId="31" xfId="0" applyNumberFormat="1" applyFont="1" applyFill="1" applyBorder="1" applyAlignment="1" applyProtection="1">
      <alignment horizontal="center" vertical="center" wrapText="1"/>
    </xf>
    <xf numFmtId="0" fontId="47" fillId="5" borderId="32" xfId="0" applyNumberFormat="1" applyFont="1" applyFill="1" applyBorder="1" applyAlignment="1" applyProtection="1">
      <alignment horizontal="center" vertical="center" wrapText="1"/>
    </xf>
    <xf numFmtId="0" fontId="48" fillId="5" borderId="26" xfId="0" applyNumberFormat="1" applyFont="1" applyFill="1" applyBorder="1" applyAlignment="1" applyProtection="1">
      <alignment vertical="center" wrapText="1"/>
    </xf>
    <xf numFmtId="0" fontId="47" fillId="5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left" vertical="center" wrapText="1"/>
    </xf>
    <xf numFmtId="0" fontId="50" fillId="5" borderId="33" xfId="0" applyNumberFormat="1" applyFont="1" applyFill="1" applyBorder="1" applyAlignment="1" applyProtection="1">
      <alignment horizontal="center" vertical="center" wrapText="1"/>
    </xf>
    <xf numFmtId="0" fontId="47" fillId="5" borderId="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184" fontId="56" fillId="5" borderId="18" xfId="0" applyNumberFormat="1" applyFont="1" applyFill="1" applyBorder="1" applyAlignment="1" applyProtection="1">
      <alignment horizontal="right" vertical="center"/>
    </xf>
    <xf numFmtId="187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" xfId="0" applyNumberFormat="1" applyFont="1" applyFill="1" applyBorder="1" applyAlignment="1" applyProtection="1">
      <alignment horizontal="center" vertical="center" wrapText="1"/>
    </xf>
    <xf numFmtId="0" fontId="47" fillId="5" borderId="33" xfId="0" applyNumberFormat="1" applyFont="1" applyFill="1" applyBorder="1" applyAlignment="1" applyProtection="1">
      <alignment horizontal="center" vertical="center" wrapText="1"/>
    </xf>
    <xf numFmtId="0" fontId="47" fillId="5" borderId="34" xfId="0" applyFont="1" applyFill="1" applyBorder="1" applyAlignment="1" applyProtection="1">
      <alignment horizontal="center" vertical="center" wrapText="1"/>
    </xf>
    <xf numFmtId="0" fontId="47" fillId="5" borderId="27" xfId="0" applyNumberFormat="1" applyFont="1" applyFill="1" applyBorder="1" applyAlignment="1" applyProtection="1">
      <alignment horizontal="center" vertical="center" wrapText="1"/>
    </xf>
    <xf numFmtId="0" fontId="48" fillId="5" borderId="39" xfId="0" applyFont="1" applyFill="1" applyBorder="1" applyAlignment="1" applyProtection="1">
      <alignment vertical="center" wrapText="1"/>
    </xf>
    <xf numFmtId="0" fontId="47" fillId="5" borderId="6" xfId="0" applyFont="1" applyFill="1" applyBorder="1" applyAlignment="1" applyProtection="1">
      <alignment horizontal="center" vertical="center" wrapText="1"/>
    </xf>
    <xf numFmtId="183" fontId="17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7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 wrapText="1"/>
    </xf>
    <xf numFmtId="0" fontId="17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6" xfId="0" applyFont="1" applyFill="1" applyBorder="1" applyAlignment="1" applyProtection="1">
      <alignment vertical="center" wrapText="1"/>
    </xf>
    <xf numFmtId="0" fontId="1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52" xfId="0" applyNumberFormat="1" applyFont="1" applyFill="1" applyBorder="1" applyAlignment="1" applyProtection="1">
      <alignment horizontal="center" vertical="center" wrapText="1"/>
    </xf>
    <xf numFmtId="0" fontId="17" fillId="5" borderId="71" xfId="0" applyNumberFormat="1" applyFont="1" applyFill="1" applyBorder="1" applyAlignment="1" applyProtection="1">
      <alignment horizontal="center" vertical="center" wrapText="1"/>
    </xf>
    <xf numFmtId="0" fontId="17" fillId="5" borderId="48" xfId="0" applyNumberFormat="1" applyFont="1" applyFill="1" applyBorder="1" applyAlignment="1" applyProtection="1">
      <alignment horizontal="center" vertical="center" wrapText="1"/>
    </xf>
    <xf numFmtId="177" fontId="56" fillId="5" borderId="1" xfId="0" applyNumberFormat="1" applyFont="1" applyFill="1" applyBorder="1" applyAlignment="1" applyProtection="1">
      <alignment horizontal="right" vertical="center"/>
    </xf>
    <xf numFmtId="0" fontId="58" fillId="5" borderId="3" xfId="0" applyNumberFormat="1" applyFont="1" applyFill="1" applyBorder="1" applyAlignment="1" applyProtection="1">
      <alignment horizontal="center" vertical="center" wrapText="1"/>
    </xf>
    <xf numFmtId="0" fontId="5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39" xfId="0" applyFont="1" applyFill="1" applyBorder="1" applyAlignment="1" applyProtection="1">
      <alignment horizontal="center" vertical="center"/>
    </xf>
    <xf numFmtId="0" fontId="51" fillId="5" borderId="46" xfId="0" applyFont="1" applyFill="1" applyBorder="1" applyAlignment="1" applyProtection="1">
      <alignment horizontal="right" vertical="center" wrapText="1"/>
    </xf>
    <xf numFmtId="49" fontId="51" fillId="5" borderId="60" xfId="0" applyNumberFormat="1" applyFont="1" applyFill="1" applyBorder="1" applyAlignment="1" applyProtection="1">
      <alignment vertical="center"/>
    </xf>
    <xf numFmtId="0" fontId="47" fillId="5" borderId="32" xfId="0" applyNumberFormat="1" applyFont="1" applyFill="1" applyBorder="1" applyAlignment="1" applyProtection="1">
      <alignment horizontal="left" vertical="center" wrapText="1"/>
    </xf>
    <xf numFmtId="0" fontId="50" fillId="5" borderId="68" xfId="0" applyNumberFormat="1" applyFont="1" applyFill="1" applyBorder="1" applyAlignment="1" applyProtection="1">
      <alignment horizontal="center" vertical="center" wrapText="1"/>
    </xf>
    <xf numFmtId="0" fontId="17" fillId="5" borderId="25" xfId="0" applyFont="1" applyFill="1" applyBorder="1" applyAlignment="1" applyProtection="1">
      <alignment horizontal="center" vertical="center" wrapText="1"/>
    </xf>
    <xf numFmtId="0" fontId="87" fillId="0" borderId="0" xfId="0" applyFont="1" applyProtection="1">
      <alignment vertical="center"/>
    </xf>
    <xf numFmtId="0" fontId="88" fillId="0" borderId="0" xfId="0" applyFont="1" applyProtection="1">
      <alignment vertical="center"/>
    </xf>
    <xf numFmtId="0" fontId="18" fillId="0" borderId="1" xfId="0" applyFont="1" applyBorder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Alignment="1" applyProtection="1">
      <alignment horizontal="left" vertical="center"/>
    </xf>
    <xf numFmtId="0" fontId="18" fillId="0" borderId="0" xfId="0" applyFont="1" applyProtection="1">
      <alignment vertical="center"/>
    </xf>
    <xf numFmtId="0" fontId="18" fillId="2" borderId="1" xfId="0" applyFont="1" applyFill="1" applyBorder="1" applyAlignment="1" applyProtection="1">
      <alignment horizontal="center" vertical="center" wrapText="1"/>
    </xf>
    <xf numFmtId="0" fontId="18" fillId="5" borderId="1" xfId="0" applyFont="1" applyFill="1" applyBorder="1" applyAlignment="1" applyProtection="1">
      <alignment horizontal="center" vertical="center" wrapText="1"/>
    </xf>
    <xf numFmtId="0" fontId="41" fillId="4" borderId="1" xfId="0" applyFont="1" applyFill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89" fillId="0" borderId="1" xfId="0" applyFont="1" applyBorder="1" applyAlignment="1" applyProtection="1">
      <alignment horizontal="center" vertical="center"/>
    </xf>
    <xf numFmtId="0" fontId="82" fillId="7" borderId="2" xfId="0" applyFont="1" applyFill="1" applyBorder="1" applyAlignment="1" applyProtection="1">
      <alignment vertical="center"/>
    </xf>
    <xf numFmtId="0" fontId="90" fillId="0" borderId="0" xfId="0" applyFont="1" applyProtection="1">
      <alignment vertical="center"/>
    </xf>
    <xf numFmtId="0" fontId="83" fillId="0" borderId="0" xfId="0" applyFont="1" applyAlignment="1" applyProtection="1">
      <alignment horizontal="center" vertical="center" wrapText="1"/>
    </xf>
    <xf numFmtId="0" fontId="83" fillId="0" borderId="0" xfId="0" applyFont="1" applyProtection="1">
      <alignment vertical="center"/>
    </xf>
    <xf numFmtId="0" fontId="83" fillId="0" borderId="0" xfId="0" applyFont="1" applyBorder="1" applyAlignment="1" applyProtection="1">
      <alignment horizontal="center" vertical="center"/>
    </xf>
    <xf numFmtId="0" fontId="82" fillId="0" borderId="1" xfId="0" applyFont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6" fillId="5" borderId="0" xfId="0" applyFont="1" applyFill="1" applyProtection="1">
      <alignment vertical="center"/>
    </xf>
    <xf numFmtId="0" fontId="6" fillId="0" borderId="0" xfId="0" applyFont="1" applyProtection="1">
      <alignment vertical="center"/>
    </xf>
    <xf numFmtId="0" fontId="56" fillId="5" borderId="0" xfId="0" applyFont="1" applyFill="1" applyBorder="1" applyAlignment="1" applyProtection="1">
      <alignment vertical="center"/>
    </xf>
    <xf numFmtId="0" fontId="61" fillId="5" borderId="36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187" fontId="59" fillId="5" borderId="36" xfId="0" applyNumberFormat="1" applyFont="1" applyFill="1" applyBorder="1" applyAlignment="1" applyProtection="1">
      <alignment horizontal="center" vertical="center"/>
    </xf>
    <xf numFmtId="181" fontId="59" fillId="5" borderId="36" xfId="0" applyNumberFormat="1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horizontal="center" vertical="center"/>
    </xf>
    <xf numFmtId="0" fontId="52" fillId="5" borderId="0" xfId="0" applyFont="1" applyFill="1" applyAlignment="1" applyProtection="1">
      <alignment horizontal="center" vertical="center"/>
    </xf>
    <xf numFmtId="0" fontId="64" fillId="5" borderId="0" xfId="0" applyFont="1" applyFill="1" applyAlignment="1" applyProtection="1">
      <alignment horizontal="center" vertical="center"/>
    </xf>
    <xf numFmtId="176" fontId="52" fillId="5" borderId="0" xfId="0" applyNumberFormat="1" applyFont="1" applyFill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60" fillId="5" borderId="0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186" fontId="47" fillId="5" borderId="2" xfId="0" applyNumberFormat="1" applyFont="1" applyFill="1" applyBorder="1" applyAlignment="1" applyProtection="1">
      <alignment horizontal="center" vertical="center"/>
    </xf>
    <xf numFmtId="49" fontId="47" fillId="5" borderId="3" xfId="0" applyNumberFormat="1" applyFont="1" applyFill="1" applyBorder="1" applyAlignment="1" applyProtection="1">
      <alignment horizontal="center" vertical="center"/>
    </xf>
    <xf numFmtId="0" fontId="47" fillId="5" borderId="48" xfId="0" applyFont="1" applyFill="1" applyBorder="1" applyAlignment="1" applyProtection="1">
      <alignment horizontal="center" vertical="center"/>
    </xf>
    <xf numFmtId="0" fontId="47" fillId="5" borderId="1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186" fontId="52" fillId="5" borderId="2" xfId="0" applyNumberFormat="1" applyFont="1" applyFill="1" applyBorder="1" applyAlignment="1" applyProtection="1">
      <alignment horizontal="center" vertical="center"/>
    </xf>
    <xf numFmtId="49" fontId="52" fillId="5" borderId="3" xfId="0" applyNumberFormat="1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vertical="center" textRotation="255" wrapText="1"/>
    </xf>
    <xf numFmtId="0" fontId="60" fillId="5" borderId="0" xfId="0" applyFont="1" applyFill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/>
    </xf>
    <xf numFmtId="187" fontId="52" fillId="5" borderId="3" xfId="0" applyNumberFormat="1" applyFont="1" applyFill="1" applyBorder="1" applyAlignment="1" applyProtection="1">
      <alignment horizontal="center" vertical="center" wrapText="1"/>
    </xf>
    <xf numFmtId="187" fontId="52" fillId="5" borderId="1" xfId="0" applyNumberFormat="1" applyFont="1" applyFill="1" applyBorder="1" applyAlignment="1" applyProtection="1">
      <alignment horizontal="center" vertical="center" wrapText="1"/>
    </xf>
    <xf numFmtId="0" fontId="59" fillId="5" borderId="62" xfId="0" applyFont="1" applyFill="1" applyBorder="1" applyAlignment="1" applyProtection="1">
      <alignment horizontal="center" vertical="center"/>
    </xf>
    <xf numFmtId="0" fontId="6" fillId="8" borderId="0" xfId="0" applyFont="1" applyFill="1" applyProtection="1">
      <alignment vertical="center"/>
    </xf>
    <xf numFmtId="0" fontId="6" fillId="8" borderId="58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left" vertical="center" wrapText="1"/>
      <protection locked="0"/>
    </xf>
    <xf numFmtId="0" fontId="6" fillId="8" borderId="0" xfId="0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Border="1" applyAlignment="1" applyProtection="1">
      <alignment horizontal="center" vertical="center"/>
      <protection locked="0"/>
    </xf>
    <xf numFmtId="0" fontId="6" fillId="8" borderId="25" xfId="0" applyFont="1" applyFill="1" applyBorder="1" applyProtection="1">
      <alignment vertical="center"/>
      <protection locked="0"/>
    </xf>
    <xf numFmtId="0" fontId="6" fillId="8" borderId="0" xfId="0" applyFont="1" applyFill="1" applyProtection="1">
      <alignment vertical="center"/>
      <protection locked="0"/>
    </xf>
    <xf numFmtId="0" fontId="19" fillId="8" borderId="62" xfId="0" applyFont="1" applyFill="1" applyBorder="1" applyAlignment="1" applyProtection="1">
      <alignment horizontal="left" vertical="center"/>
      <protection locked="0"/>
    </xf>
    <xf numFmtId="0" fontId="6" fillId="8" borderId="62" xfId="0" applyFont="1" applyFill="1" applyBorder="1" applyProtection="1">
      <alignment vertical="center"/>
      <protection locked="0"/>
    </xf>
    <xf numFmtId="0" fontId="19" fillId="8" borderId="0" xfId="0" applyFont="1" applyFill="1" applyAlignment="1" applyProtection="1">
      <alignment horizontal="left" vertical="center"/>
      <protection locked="0"/>
    </xf>
    <xf numFmtId="2" fontId="6" fillId="8" borderId="0" xfId="0" applyNumberFormat="1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/>
    </xf>
    <xf numFmtId="0" fontId="52" fillId="5" borderId="18" xfId="0" applyNumberFormat="1" applyFont="1" applyFill="1" applyBorder="1" applyAlignment="1" applyProtection="1">
      <alignment horizontal="center" vertical="center" wrapText="1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93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3" fillId="5" borderId="45" xfId="0" applyFont="1" applyFill="1" applyBorder="1" applyAlignment="1" applyProtection="1">
      <alignment vertical="center"/>
    </xf>
    <xf numFmtId="185" fontId="77" fillId="5" borderId="37" xfId="0" applyNumberFormat="1" applyFont="1" applyFill="1" applyBorder="1" applyAlignment="1" applyProtection="1">
      <alignment horizontal="center" vertical="center" wrapText="1"/>
    </xf>
    <xf numFmtId="0" fontId="94" fillId="5" borderId="46" xfId="0" applyFont="1" applyFill="1" applyBorder="1" applyAlignment="1" applyProtection="1">
      <alignment vertical="center"/>
    </xf>
    <xf numFmtId="0" fontId="94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85" fillId="5" borderId="1" xfId="0" applyFont="1" applyFill="1" applyBorder="1" applyAlignment="1" applyProtection="1">
      <alignment horizontal="center" vertical="center" wrapText="1"/>
    </xf>
    <xf numFmtId="0" fontId="53" fillId="5" borderId="6" xfId="0" applyFont="1" applyFill="1" applyBorder="1" applyAlignment="1" applyProtection="1">
      <alignment horizontal="center" vertical="center" wrapText="1"/>
    </xf>
    <xf numFmtId="49" fontId="92" fillId="5" borderId="1" xfId="0" applyNumberFormat="1" applyFont="1" applyFill="1" applyBorder="1" applyAlignment="1" applyProtection="1">
      <alignment horizontal="center" vertical="center" wrapText="1"/>
    </xf>
    <xf numFmtId="9" fontId="85" fillId="5" borderId="1" xfId="0" applyNumberFormat="1" applyFont="1" applyFill="1" applyBorder="1" applyAlignment="1" applyProtection="1">
      <alignment horizontal="center" vertical="center" wrapText="1"/>
    </xf>
    <xf numFmtId="10" fontId="53" fillId="5" borderId="56" xfId="0" applyNumberFormat="1" applyFont="1" applyFill="1" applyBorder="1" applyAlignment="1" applyProtection="1">
      <alignment horizontal="center" vertical="center" wrapText="1"/>
    </xf>
    <xf numFmtId="0" fontId="92" fillId="5" borderId="1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vertical="center" wrapText="1"/>
    </xf>
    <xf numFmtId="0" fontId="92" fillId="5" borderId="19" xfId="0" applyFont="1" applyFill="1" applyBorder="1" applyAlignment="1" applyProtection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0" fontId="92" fillId="5" borderId="8" xfId="0" applyFont="1" applyFill="1" applyBorder="1" applyAlignment="1" applyProtection="1">
      <alignment horizontal="center" vertical="center" wrapText="1"/>
    </xf>
    <xf numFmtId="49" fontId="92" fillId="5" borderId="68" xfId="0" applyNumberFormat="1" applyFont="1" applyFill="1" applyBorder="1" applyAlignment="1" applyProtection="1">
      <alignment horizontal="center" vertical="center" wrapText="1"/>
    </xf>
    <xf numFmtId="9" fontId="85" fillId="5" borderId="5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vertical="center" wrapText="1"/>
    </xf>
    <xf numFmtId="49" fontId="92" fillId="5" borderId="59" xfId="0" applyNumberFormat="1" applyFont="1" applyFill="1" applyBorder="1" applyAlignment="1" applyProtection="1">
      <alignment horizontal="center" vertical="center" wrapText="1"/>
    </xf>
    <xf numFmtId="10" fontId="53" fillId="5" borderId="49" xfId="0" applyNumberFormat="1" applyFont="1" applyFill="1" applyBorder="1" applyAlignment="1" applyProtection="1">
      <alignment horizontal="center" vertical="center" wrapText="1"/>
    </xf>
    <xf numFmtId="10" fontId="53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7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5" fillId="5" borderId="7" xfId="0" applyFont="1" applyFill="1" applyBorder="1" applyAlignment="1" applyProtection="1">
      <alignment horizontal="center" vertical="center" wrapText="1"/>
    </xf>
    <xf numFmtId="0" fontId="95" fillId="5" borderId="1" xfId="0" applyFont="1" applyFill="1" applyBorder="1" applyAlignment="1" applyProtection="1">
      <alignment horizontal="center" vertical="center" wrapText="1"/>
    </xf>
    <xf numFmtId="0" fontId="77" fillId="5" borderId="37" xfId="0" applyFont="1" applyFill="1" applyBorder="1" applyProtection="1">
      <alignment vertical="center"/>
    </xf>
    <xf numFmtId="0" fontId="96" fillId="5" borderId="13" xfId="0" applyFont="1" applyFill="1" applyBorder="1" applyAlignment="1" applyProtection="1">
      <alignment horizontal="center" vertical="center"/>
    </xf>
    <xf numFmtId="0" fontId="77" fillId="5" borderId="39" xfId="0" applyFont="1" applyFill="1" applyBorder="1" applyProtection="1">
      <alignment vertical="center"/>
    </xf>
    <xf numFmtId="0" fontId="96" fillId="5" borderId="59" xfId="0" applyFont="1" applyFill="1" applyBorder="1" applyAlignment="1" applyProtection="1">
      <alignment horizontal="center" vertical="center"/>
    </xf>
    <xf numFmtId="0" fontId="96" fillId="5" borderId="44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1" xfId="0" applyFont="1" applyFill="1" applyBorder="1" applyAlignment="1" applyProtection="1">
      <alignment horizontal="center" vertical="center" wrapText="1"/>
    </xf>
    <xf numFmtId="0" fontId="95" fillId="5" borderId="13" xfId="0" applyFont="1" applyFill="1" applyBorder="1" applyAlignment="1" applyProtection="1">
      <alignment horizontal="center" vertical="center" wrapText="1"/>
    </xf>
    <xf numFmtId="0" fontId="78" fillId="5" borderId="4" xfId="0" applyFont="1" applyFill="1" applyBorder="1" applyAlignment="1" applyProtection="1">
      <alignment horizontal="center" vertical="center"/>
    </xf>
    <xf numFmtId="0" fontId="78" fillId="5" borderId="13" xfId="0" applyFont="1" applyFill="1" applyBorder="1" applyProtection="1">
      <alignment vertical="center"/>
    </xf>
    <xf numFmtId="0" fontId="95" fillId="5" borderId="61" xfId="0" applyFont="1" applyFill="1" applyBorder="1" applyAlignment="1" applyProtection="1">
      <alignment horizontal="center" vertical="center" wrapText="1"/>
    </xf>
    <xf numFmtId="0" fontId="78" fillId="5" borderId="7" xfId="0" applyFont="1" applyFill="1" applyBorder="1" applyAlignment="1" applyProtection="1">
      <alignment horizontal="center" vertical="center"/>
    </xf>
    <xf numFmtId="0" fontId="78" fillId="5" borderId="2" xfId="0" applyFont="1" applyFill="1" applyBorder="1" applyProtection="1">
      <alignment vertical="center"/>
    </xf>
    <xf numFmtId="0" fontId="95" fillId="5" borderId="17" xfId="0" applyFont="1" applyFill="1" applyBorder="1" applyAlignment="1" applyProtection="1">
      <alignment horizontal="center" vertical="center" wrapText="1"/>
    </xf>
    <xf numFmtId="0" fontId="95" fillId="5" borderId="68" xfId="0" applyFont="1" applyFill="1" applyBorder="1" applyAlignment="1" applyProtection="1">
      <alignment horizontal="center" vertical="center" wrapText="1"/>
    </xf>
    <xf numFmtId="0" fontId="95" fillId="5" borderId="59" xfId="0" applyFont="1" applyFill="1" applyBorder="1" applyAlignment="1" applyProtection="1">
      <alignment horizontal="center" vertical="center" wrapText="1"/>
    </xf>
    <xf numFmtId="0" fontId="97" fillId="5" borderId="44" xfId="0" applyFont="1" applyFill="1" applyBorder="1" applyProtection="1">
      <alignment vertical="center"/>
    </xf>
    <xf numFmtId="0" fontId="95" fillId="5" borderId="2" xfId="0" applyFont="1" applyFill="1" applyBorder="1" applyAlignment="1" applyProtection="1">
      <alignment horizontal="center" vertical="center" wrapText="1"/>
    </xf>
    <xf numFmtId="0" fontId="78" fillId="5" borderId="8" xfId="0" applyFont="1" applyFill="1" applyBorder="1" applyAlignment="1" applyProtection="1">
      <alignment horizontal="center" vertical="center"/>
    </xf>
    <xf numFmtId="0" fontId="78" fillId="5" borderId="44" xfId="0" applyFont="1" applyFill="1" applyBorder="1" applyProtection="1">
      <alignment vertical="center"/>
    </xf>
    <xf numFmtId="0" fontId="97" fillId="5" borderId="2" xfId="0" applyFont="1" applyFill="1" applyBorder="1" applyProtection="1">
      <alignment vertical="center"/>
    </xf>
    <xf numFmtId="0" fontId="98" fillId="5" borderId="0" xfId="0" applyFont="1" applyFill="1" applyBorder="1" applyProtection="1">
      <alignment vertical="center"/>
    </xf>
    <xf numFmtId="0" fontId="95" fillId="5" borderId="9" xfId="0" applyFont="1" applyFill="1" applyBorder="1" applyAlignment="1" applyProtection="1">
      <alignment vertical="center" wrapText="1"/>
    </xf>
    <xf numFmtId="0" fontId="99" fillId="5" borderId="0" xfId="0" applyFont="1" applyFill="1" applyProtection="1">
      <alignment vertical="center"/>
    </xf>
    <xf numFmtId="0" fontId="98" fillId="5" borderId="0" xfId="0" applyFont="1" applyFill="1" applyProtection="1">
      <alignment vertical="center"/>
    </xf>
    <xf numFmtId="0" fontId="95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2" fillId="5" borderId="4" xfId="0" applyFont="1" applyFill="1" applyBorder="1" applyAlignment="1" applyProtection="1">
      <alignment horizontal="center"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31" xfId="0" applyFont="1" applyFill="1" applyBorder="1" applyAlignment="1" applyProtection="1">
      <alignment horizontal="center" vertical="center" wrapText="1"/>
    </xf>
    <xf numFmtId="0" fontId="92" fillId="5" borderId="6" xfId="0" applyFont="1" applyFill="1" applyBorder="1" applyAlignment="1" applyProtection="1">
      <alignment horizontal="center" vertical="center" wrapText="1"/>
    </xf>
    <xf numFmtId="0" fontId="92" fillId="5" borderId="16" xfId="0" applyFont="1" applyFill="1" applyBorder="1" applyAlignment="1" applyProtection="1">
      <alignment horizontal="center" vertical="center" wrapText="1"/>
    </xf>
    <xf numFmtId="0" fontId="92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100" fillId="5" borderId="62" xfId="0" applyFont="1" applyFill="1" applyBorder="1" applyAlignment="1" applyProtection="1">
      <alignment vertical="center"/>
    </xf>
    <xf numFmtId="0" fontId="100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92" fillId="5" borderId="3" xfId="0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horizontal="left" vertical="center"/>
    </xf>
    <xf numFmtId="0" fontId="92" fillId="5" borderId="3" xfId="0" applyFont="1" applyFill="1" applyBorder="1" applyAlignment="1" applyProtection="1">
      <alignment horizontal="left" vertical="center"/>
    </xf>
    <xf numFmtId="0" fontId="92" fillId="5" borderId="0" xfId="0" applyFont="1" applyFill="1" applyBorder="1" applyAlignment="1" applyProtection="1">
      <alignment vertical="center"/>
    </xf>
    <xf numFmtId="0" fontId="92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2" fillId="0" borderId="36" xfId="0" applyFont="1" applyBorder="1" applyAlignment="1" applyProtection="1">
      <alignment vertical="center"/>
    </xf>
    <xf numFmtId="0" fontId="92" fillId="0" borderId="0" xfId="0" applyFont="1" applyBorder="1" applyAlignment="1" applyProtection="1">
      <alignment vertical="center"/>
    </xf>
    <xf numFmtId="0" fontId="92" fillId="5" borderId="61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vertical="center" wrapText="1"/>
    </xf>
    <xf numFmtId="0" fontId="92" fillId="5" borderId="17" xfId="0" applyFont="1" applyFill="1" applyBorder="1" applyAlignment="1" applyProtection="1">
      <alignment horizontal="center" vertical="center"/>
    </xf>
    <xf numFmtId="0" fontId="92" fillId="5" borderId="0" xfId="0" applyFont="1" applyFill="1" applyAlignment="1" applyProtection="1">
      <alignment horizontal="center" vertical="center"/>
    </xf>
    <xf numFmtId="9" fontId="92" fillId="5" borderId="1" xfId="0" applyNumberFormat="1" applyFont="1" applyFill="1" applyBorder="1" applyAlignment="1" applyProtection="1">
      <alignment horizontal="center" vertical="center"/>
    </xf>
    <xf numFmtId="0" fontId="92" fillId="5" borderId="2" xfId="0" applyFont="1" applyFill="1" applyBorder="1" applyAlignment="1" applyProtection="1">
      <alignment vertical="center"/>
    </xf>
    <xf numFmtId="0" fontId="92" fillId="5" borderId="50" xfId="0" applyFont="1" applyFill="1" applyBorder="1" applyAlignment="1" applyProtection="1">
      <alignment vertical="center"/>
    </xf>
    <xf numFmtId="0" fontId="92" fillId="5" borderId="3" xfId="0" applyFont="1" applyFill="1" applyBorder="1" applyAlignment="1" applyProtection="1">
      <alignment vertical="center"/>
    </xf>
    <xf numFmtId="179" fontId="69" fillId="0" borderId="62" xfId="3" applyNumberFormat="1" applyFont="1" applyBorder="1" applyAlignment="1" applyProtection="1">
      <alignment vertical="center"/>
    </xf>
    <xf numFmtId="0" fontId="69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/>
    </xf>
    <xf numFmtId="0" fontId="70" fillId="5" borderId="1" xfId="3" applyNumberFormat="1" applyFont="1" applyFill="1" applyBorder="1" applyAlignment="1" applyProtection="1">
      <alignment horizontal="center" vertical="center" wrapText="1"/>
    </xf>
    <xf numFmtId="0" fontId="70" fillId="5" borderId="48" xfId="3" applyNumberFormat="1" applyFont="1" applyFill="1" applyBorder="1" applyAlignment="1" applyProtection="1">
      <alignment horizontal="center" vertical="center"/>
    </xf>
    <xf numFmtId="0" fontId="102" fillId="5" borderId="37" xfId="0" applyNumberFormat="1" applyFont="1" applyFill="1" applyBorder="1" applyAlignment="1" applyProtection="1">
      <alignment horizontal="center" vertical="center" wrapText="1"/>
    </xf>
    <xf numFmtId="0" fontId="8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2" fillId="5" borderId="1" xfId="0" applyNumberFormat="1" applyFont="1" applyFill="1" applyBorder="1" applyAlignment="1" applyProtection="1">
      <alignment horizontal="center" vertical="center" wrapText="1"/>
    </xf>
    <xf numFmtId="0" fontId="102" fillId="5" borderId="6" xfId="0" applyNumberFormat="1" applyFont="1" applyFill="1" applyBorder="1" applyAlignment="1" applyProtection="1">
      <alignment horizontal="center" vertical="center" wrapText="1"/>
    </xf>
    <xf numFmtId="0" fontId="102" fillId="5" borderId="59" xfId="0" applyNumberFormat="1" applyFont="1" applyFill="1" applyBorder="1" applyAlignment="1" applyProtection="1">
      <alignment horizontal="center" vertical="center" wrapText="1"/>
    </xf>
    <xf numFmtId="0" fontId="102" fillId="5" borderId="43" xfId="0" applyNumberFormat="1" applyFont="1" applyFill="1" applyBorder="1" applyAlignment="1" applyProtection="1">
      <alignment horizontal="center" vertical="center" wrapText="1"/>
    </xf>
    <xf numFmtId="179" fontId="70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8" fillId="5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vertical="center" wrapText="1"/>
    </xf>
    <xf numFmtId="0" fontId="8" fillId="8" borderId="0" xfId="0" applyFont="1" applyFill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8" fillId="5" borderId="0" xfId="0" applyNumberFormat="1" applyFont="1" applyFill="1" applyAlignment="1" applyProtection="1">
      <alignment vertical="center" wrapText="1"/>
    </xf>
    <xf numFmtId="0" fontId="51" fillId="5" borderId="36" xfId="0" applyFont="1" applyFill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vertical="center" wrapText="1"/>
    </xf>
    <xf numFmtId="0" fontId="54" fillId="5" borderId="14" xfId="0" applyFont="1" applyFill="1" applyBorder="1" applyAlignment="1" applyProtection="1">
      <alignment horizontal="center" vertical="center"/>
    </xf>
    <xf numFmtId="0" fontId="54" fillId="5" borderId="13" xfId="0" applyNumberFormat="1" applyFont="1" applyFill="1" applyBorder="1" applyAlignment="1" applyProtection="1">
      <alignment horizontal="center" vertical="center" wrapText="1"/>
    </xf>
    <xf numFmtId="0" fontId="8" fillId="5" borderId="37" xfId="0" applyFont="1" applyFill="1" applyBorder="1" applyAlignment="1" applyProtection="1">
      <alignment vertical="center" wrapText="1"/>
    </xf>
    <xf numFmtId="0" fontId="8" fillId="5" borderId="76" xfId="0" applyFont="1" applyFill="1" applyBorder="1" applyAlignment="1" applyProtection="1">
      <alignment vertical="center" wrapText="1"/>
    </xf>
    <xf numFmtId="0" fontId="53" fillId="5" borderId="17" xfId="0" applyFont="1" applyFill="1" applyBorder="1" applyAlignment="1" applyProtection="1">
      <alignment horizontal="center" vertical="center" wrapText="1"/>
    </xf>
    <xf numFmtId="0" fontId="53" fillId="5" borderId="61" xfId="0" applyFont="1" applyFill="1" applyBorder="1" applyAlignment="1" applyProtection="1">
      <alignment horizontal="center" vertical="center" wrapText="1"/>
    </xf>
    <xf numFmtId="0" fontId="8" fillId="5" borderId="50" xfId="0" applyFont="1" applyFill="1" applyBorder="1" applyAlignment="1" applyProtection="1">
      <alignment vertical="center" wrapText="1"/>
    </xf>
    <xf numFmtId="9" fontId="53" fillId="5" borderId="1" xfId="0" applyNumberFormat="1" applyFont="1" applyFill="1" applyBorder="1" applyAlignment="1" applyProtection="1">
      <alignment horizontal="center" vertical="center" wrapText="1"/>
    </xf>
    <xf numFmtId="0" fontId="53" fillId="5" borderId="18" xfId="0" applyFont="1" applyFill="1" applyBorder="1" applyAlignment="1" applyProtection="1">
      <alignment horizontal="center" vertical="center" wrapText="1"/>
    </xf>
    <xf numFmtId="0" fontId="85" fillId="5" borderId="15" xfId="0" applyFont="1" applyFill="1" applyBorder="1" applyAlignment="1" applyProtection="1">
      <alignment horizontal="center" vertical="center" wrapText="1"/>
    </xf>
    <xf numFmtId="10" fontId="8" fillId="0" borderId="0" xfId="0" applyNumberFormat="1" applyFont="1" applyAlignment="1" applyProtection="1">
      <alignment horizontal="center"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4" fillId="5" borderId="48" xfId="0" applyFont="1" applyFill="1" applyBorder="1" applyAlignment="1" applyProtection="1">
      <alignment horizontal="center" vertical="center" wrapText="1"/>
    </xf>
    <xf numFmtId="0" fontId="8" fillId="5" borderId="47" xfId="0" applyFont="1" applyFill="1" applyBorder="1" applyAlignment="1" applyProtection="1">
      <alignment vertical="center" wrapText="1"/>
    </xf>
    <xf numFmtId="0" fontId="54" fillId="5" borderId="59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0" fontId="92" fillId="5" borderId="2" xfId="0" applyFont="1" applyFill="1" applyBorder="1" applyAlignment="1" applyProtection="1">
      <alignment horizontal="center" vertical="center" wrapText="1"/>
    </xf>
    <xf numFmtId="0" fontId="53" fillId="5" borderId="57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185" fontId="51" fillId="5" borderId="59" xfId="0" applyNumberFormat="1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/>
    </xf>
    <xf numFmtId="0" fontId="98" fillId="5" borderId="0" xfId="0" applyFont="1" applyFill="1" applyBorder="1" applyAlignment="1" applyProtection="1">
      <alignment horizontal="center" vertical="center" wrapText="1"/>
    </xf>
    <xf numFmtId="0" fontId="98" fillId="5" borderId="0" xfId="0" applyFont="1" applyFill="1" applyBorder="1" applyAlignment="1" applyProtection="1">
      <alignment horizontal="center" vertical="center"/>
      <protection locked="0"/>
    </xf>
    <xf numFmtId="0" fontId="98" fillId="5" borderId="0" xfId="0" applyFont="1" applyFill="1" applyAlignment="1" applyProtection="1">
      <alignment horizontal="center" vertical="center"/>
      <protection locked="0"/>
    </xf>
    <xf numFmtId="0" fontId="72" fillId="5" borderId="0" xfId="0" applyFont="1" applyFill="1" applyBorder="1" applyAlignment="1" applyProtection="1">
      <alignment horizontal="center" vertical="center"/>
      <protection locked="0"/>
    </xf>
    <xf numFmtId="0" fontId="82" fillId="5" borderId="0" xfId="0" applyFont="1" applyFill="1" applyBorder="1" applyAlignment="1" applyProtection="1">
      <alignment horizontal="center" vertical="center"/>
      <protection locked="0"/>
    </xf>
    <xf numFmtId="0" fontId="85" fillId="5" borderId="1" xfId="0" applyFont="1" applyFill="1" applyBorder="1" applyAlignment="1" applyProtection="1">
      <alignment horizontal="center" vertical="center"/>
    </xf>
    <xf numFmtId="177" fontId="5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1" xfId="0" applyFont="1" applyFill="1" applyBorder="1" applyAlignment="1" applyProtection="1">
      <alignment horizontal="center" vertical="center" wrapText="1"/>
      <protection locked="0"/>
    </xf>
    <xf numFmtId="0" fontId="53" fillId="0" borderId="59" xfId="0" applyFont="1" applyFill="1" applyBorder="1" applyAlignment="1" applyProtection="1">
      <alignment horizontal="center" vertical="center" wrapText="1"/>
      <protection locked="0"/>
    </xf>
    <xf numFmtId="0" fontId="53" fillId="0" borderId="43" xfId="0" applyFont="1" applyFill="1" applyBorder="1" applyAlignment="1" applyProtection="1">
      <alignment horizontal="center" vertical="center" wrapText="1"/>
      <protection locked="0"/>
    </xf>
    <xf numFmtId="0" fontId="56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0" fontId="61" fillId="5" borderId="0" xfId="0" applyFont="1" applyFill="1" applyBorder="1" applyAlignment="1" applyProtection="1">
      <alignment vertical="center"/>
      <protection locked="0"/>
    </xf>
    <xf numFmtId="187" fontId="59" fillId="5" borderId="0" xfId="0" applyNumberFormat="1" applyFont="1" applyFill="1" applyBorder="1" applyAlignment="1" applyProtection="1">
      <alignment horizontal="center" vertical="center"/>
      <protection locked="0"/>
    </xf>
    <xf numFmtId="0" fontId="82" fillId="5" borderId="0" xfId="0" applyFont="1" applyFill="1">
      <alignment vertical="center"/>
    </xf>
    <xf numFmtId="0" fontId="82" fillId="5" borderId="0" xfId="0" applyFont="1" applyFill="1" applyBorder="1" applyAlignment="1" applyProtection="1">
      <alignment vertical="center" wrapText="1"/>
    </xf>
    <xf numFmtId="0" fontId="6" fillId="0" borderId="0" xfId="0" applyFont="1" applyProtection="1">
      <alignment vertical="center"/>
      <protection locked="0"/>
    </xf>
    <xf numFmtId="0" fontId="90" fillId="0" borderId="58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1" fillId="6" borderId="0" xfId="0" applyFont="1" applyFill="1" applyBorder="1" applyAlignment="1" applyProtection="1">
      <alignment horizontal="left" vertical="center" wrapText="1"/>
      <protection locked="0"/>
    </xf>
    <xf numFmtId="0" fontId="106" fillId="5" borderId="0" xfId="0" applyFont="1" applyFill="1" applyAlignment="1" applyProtection="1">
      <alignment horizontal="center" vertical="center"/>
    </xf>
    <xf numFmtId="0" fontId="96" fillId="5" borderId="12" xfId="0" applyFont="1" applyFill="1" applyBorder="1" applyAlignment="1" applyProtection="1">
      <alignment horizontal="center" vertical="center"/>
    </xf>
    <xf numFmtId="0" fontId="96" fillId="5" borderId="22" xfId="0" applyFont="1" applyFill="1" applyBorder="1" applyAlignment="1" applyProtection="1">
      <alignment vertical="center" wrapText="1"/>
    </xf>
    <xf numFmtId="0" fontId="96" fillId="5" borderId="18" xfId="0" applyFont="1" applyFill="1" applyBorder="1" applyAlignment="1" applyProtection="1">
      <alignment horizontal="center" vertical="center"/>
    </xf>
    <xf numFmtId="10" fontId="85" fillId="0" borderId="11" xfId="0" applyNumberFormat="1" applyFont="1" applyBorder="1" applyAlignment="1">
      <alignment horizontal="center" vertical="center" wrapText="1"/>
    </xf>
    <xf numFmtId="10" fontId="85" fillId="0" borderId="31" xfId="0" applyNumberFormat="1" applyFont="1" applyBorder="1" applyAlignment="1">
      <alignment horizontal="center" vertical="center" wrapText="1"/>
    </xf>
    <xf numFmtId="10" fontId="85" fillId="0" borderId="1" xfId="0" applyNumberFormat="1" applyFont="1" applyBorder="1" applyAlignment="1">
      <alignment horizontal="center" vertical="center" wrapText="1"/>
    </xf>
    <xf numFmtId="10" fontId="85" fillId="0" borderId="6" xfId="0" applyNumberFormat="1" applyFont="1" applyBorder="1" applyAlignment="1">
      <alignment horizontal="center" vertical="center" wrapText="1"/>
    </xf>
    <xf numFmtId="10" fontId="85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5" fillId="0" borderId="43" xfId="0" applyNumberFormat="1" applyFont="1" applyBorder="1" applyAlignment="1">
      <alignment horizontal="center" vertical="center" wrapText="1"/>
    </xf>
    <xf numFmtId="0" fontId="95" fillId="5" borderId="18" xfId="0" applyFont="1" applyFill="1" applyBorder="1" applyAlignment="1" applyProtection="1">
      <alignment horizontal="center" vertical="center" wrapText="1"/>
    </xf>
    <xf numFmtId="10" fontId="85" fillId="0" borderId="18" xfId="0" applyNumberFormat="1" applyFont="1" applyBorder="1" applyAlignment="1">
      <alignment horizontal="center" vertical="center" wrapText="1"/>
    </xf>
    <xf numFmtId="0" fontId="95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5" fillId="0" borderId="15" xfId="0" applyNumberFormat="1" applyFont="1" applyBorder="1" applyAlignment="1">
      <alignment horizontal="center" vertical="center" wrapText="1"/>
    </xf>
    <xf numFmtId="0" fontId="95" fillId="5" borderId="26" xfId="0" applyFont="1" applyFill="1" applyBorder="1" applyAlignment="1" applyProtection="1">
      <alignment vertical="center" wrapText="1"/>
    </xf>
    <xf numFmtId="10" fontId="85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3" fillId="5" borderId="13" xfId="0" applyNumberFormat="1" applyFont="1" applyFill="1" applyBorder="1" applyProtection="1">
      <alignment vertical="center"/>
    </xf>
    <xf numFmtId="0" fontId="83" fillId="5" borderId="2" xfId="0" applyNumberFormat="1" applyFont="1" applyFill="1" applyBorder="1" applyProtection="1">
      <alignment vertical="center"/>
    </xf>
    <xf numFmtId="0" fontId="83" fillId="5" borderId="44" xfId="0" applyNumberFormat="1" applyFont="1" applyFill="1" applyBorder="1" applyProtection="1">
      <alignment vertical="center"/>
    </xf>
    <xf numFmtId="10" fontId="53" fillId="5" borderId="31" xfId="0" applyNumberFormat="1" applyFont="1" applyFill="1" applyBorder="1" applyAlignment="1" applyProtection="1">
      <alignment vertical="center" wrapText="1"/>
    </xf>
    <xf numFmtId="10" fontId="53" fillId="5" borderId="6" xfId="0" applyNumberFormat="1" applyFont="1" applyFill="1" applyBorder="1" applyAlignment="1" applyProtection="1">
      <alignment vertical="center" wrapText="1"/>
    </xf>
    <xf numFmtId="10" fontId="53" fillId="5" borderId="43" xfId="0" applyNumberFormat="1" applyFont="1" applyFill="1" applyBorder="1" applyAlignment="1" applyProtection="1">
      <alignment vertical="center" wrapText="1"/>
    </xf>
    <xf numFmtId="0" fontId="74" fillId="5" borderId="0" xfId="0" applyFont="1" applyFill="1" applyBorder="1" applyAlignment="1" applyProtection="1">
      <alignment vertical="center"/>
    </xf>
    <xf numFmtId="0" fontId="35" fillId="8" borderId="0" xfId="0" applyNumberFormat="1" applyFont="1" applyFill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5" fillId="8" borderId="0" xfId="0" applyNumberFormat="1" applyFont="1" applyFill="1" applyAlignment="1" applyProtection="1">
      <alignment horizontal="center" vertical="center" wrapText="1"/>
      <protection locked="0"/>
    </xf>
    <xf numFmtId="181" fontId="59" fillId="5" borderId="0" xfId="0" applyNumberFormat="1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Border="1" applyAlignment="1" applyProtection="1">
      <alignment horizontal="center" vertical="center"/>
      <protection locked="0"/>
    </xf>
    <xf numFmtId="181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0" xfId="0" applyFont="1" applyFill="1" applyBorder="1" applyAlignment="1" applyProtection="1">
      <alignment horizontal="center" vertical="center"/>
      <protection locked="0"/>
    </xf>
    <xf numFmtId="0" fontId="47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Font="1" applyFill="1" applyBorder="1" applyAlignment="1" applyProtection="1">
      <alignment horizontal="center" vertical="center"/>
      <protection locked="0"/>
    </xf>
    <xf numFmtId="0" fontId="63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25" xfId="0" applyFont="1" applyFill="1" applyBorder="1" applyAlignment="1" applyProtection="1">
      <alignment horizontal="center" vertical="center"/>
      <protection locked="0"/>
    </xf>
    <xf numFmtId="181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52" fillId="5" borderId="0" xfId="0" applyNumberFormat="1" applyFont="1" applyFill="1" applyBorder="1" applyAlignment="1" applyProtection="1">
      <alignment vertical="center" wrapText="1"/>
      <protection locked="0"/>
    </xf>
    <xf numFmtId="0" fontId="52" fillId="5" borderId="0" xfId="0" applyFont="1" applyFill="1" applyAlignment="1" applyProtection="1">
      <alignment horizontal="center" vertical="center"/>
      <protection locked="0"/>
    </xf>
    <xf numFmtId="181" fontId="52" fillId="5" borderId="0" xfId="0" applyNumberFormat="1" applyFont="1" applyFill="1" applyAlignment="1" applyProtection="1">
      <alignment horizontal="center" vertical="center"/>
      <protection locked="0"/>
    </xf>
    <xf numFmtId="0" fontId="64" fillId="5" borderId="0" xfId="0" applyFont="1" applyFill="1" applyAlignment="1" applyProtection="1">
      <alignment horizontal="center" vertical="center"/>
      <protection locked="0"/>
    </xf>
    <xf numFmtId="14" fontId="52" fillId="5" borderId="0" xfId="0" applyNumberFormat="1" applyFont="1" applyFill="1" applyAlignment="1" applyProtection="1">
      <alignment horizontal="center" vertical="center"/>
      <protection locked="0"/>
    </xf>
    <xf numFmtId="9" fontId="52" fillId="5" borderId="0" xfId="0" applyNumberFormat="1" applyFont="1" applyFill="1" applyAlignment="1" applyProtection="1">
      <alignment horizontal="center" vertical="center"/>
      <protection locked="0"/>
    </xf>
    <xf numFmtId="187" fontId="52" fillId="5" borderId="0" xfId="0" applyNumberFormat="1" applyFont="1" applyFill="1" applyAlignment="1" applyProtection="1">
      <alignment horizontal="center" vertical="center"/>
      <protection locked="0"/>
    </xf>
    <xf numFmtId="187" fontId="64" fillId="5" borderId="0" xfId="0" applyNumberFormat="1" applyFont="1" applyFill="1" applyAlignment="1" applyProtection="1">
      <alignment horizontal="center" vertical="center"/>
      <protection locked="0"/>
    </xf>
    <xf numFmtId="181" fontId="64" fillId="5" borderId="0" xfId="0" applyNumberFormat="1" applyFont="1" applyFill="1" applyAlignment="1" applyProtection="1">
      <alignment horizontal="center" vertical="center"/>
      <protection locked="0"/>
    </xf>
    <xf numFmtId="176" fontId="52" fillId="5" borderId="0" xfId="0" applyNumberFormat="1" applyFont="1" applyFill="1" applyAlignment="1" applyProtection="1">
      <alignment horizontal="center" vertical="center"/>
      <protection locked="0"/>
    </xf>
    <xf numFmtId="0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0" xfId="0" applyFont="1" applyFill="1" applyBorder="1" applyAlignment="1" applyProtection="1"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10" fontId="8" fillId="8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1" fillId="8" borderId="0" xfId="0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horizontal="left" vertical="center" wrapText="1"/>
      <protection locked="0"/>
    </xf>
    <xf numFmtId="0" fontId="82" fillId="5" borderId="0" xfId="0" applyFont="1" applyFill="1" applyAlignment="1" applyProtection="1">
      <alignment horizontal="center" vertical="center"/>
    </xf>
    <xf numFmtId="0" fontId="105" fillId="5" borderId="6" xfId="0" applyFont="1" applyFill="1" applyBorder="1" applyAlignment="1" applyProtection="1">
      <alignment horizontal="center"/>
    </xf>
    <xf numFmtId="49" fontId="16" fillId="5" borderId="7" xfId="0" applyNumberFormat="1" applyFont="1" applyFill="1" applyBorder="1" applyAlignment="1" applyProtection="1">
      <alignment horizontal="left" vertical="center"/>
    </xf>
    <xf numFmtId="0" fontId="92" fillId="5" borderId="18" xfId="0" applyNumberFormat="1" applyFont="1" applyFill="1" applyBorder="1" applyAlignment="1" applyProtection="1">
      <alignment horizontal="center" vertical="center" wrapText="1"/>
    </xf>
    <xf numFmtId="0" fontId="77" fillId="5" borderId="37" xfId="0" applyNumberFormat="1" applyFont="1" applyFill="1" applyBorder="1" applyAlignment="1" applyProtection="1">
      <alignment horizontal="center" vertical="center" wrapText="1"/>
    </xf>
    <xf numFmtId="0" fontId="92" fillId="5" borderId="59" xfId="0" applyNumberFormat="1" applyFont="1" applyFill="1" applyBorder="1" applyAlignment="1" applyProtection="1">
      <alignment horizontal="center" vertical="center" wrapText="1"/>
    </xf>
    <xf numFmtId="0" fontId="92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5" fillId="5" borderId="1" xfId="0" applyNumberFormat="1" applyFont="1" applyFill="1" applyBorder="1" applyAlignment="1" applyProtection="1">
      <alignment horizontal="center" vertical="center" wrapText="1"/>
    </xf>
    <xf numFmtId="10" fontId="83" fillId="0" borderId="1" xfId="0" applyNumberFormat="1" applyFont="1" applyBorder="1" applyAlignment="1" applyProtection="1">
      <alignment horizontal="center" vertical="center"/>
      <protection locked="0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93" fillId="5" borderId="0" xfId="0" applyFont="1" applyFill="1" applyBorder="1" applyAlignment="1" applyProtection="1">
      <alignment vertical="center"/>
    </xf>
    <xf numFmtId="182" fontId="83" fillId="5" borderId="1" xfId="0" applyNumberFormat="1" applyFont="1" applyFill="1" applyBorder="1" applyAlignment="1" applyProtection="1">
      <alignment horizontal="center" vertical="center"/>
    </xf>
    <xf numFmtId="179" fontId="102" fillId="5" borderId="48" xfId="0" applyNumberFormat="1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/>
    </xf>
    <xf numFmtId="0" fontId="47" fillId="5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left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82" fillId="0" borderId="1" xfId="0" applyFont="1" applyBorder="1" applyAlignment="1" applyProtection="1">
      <alignment horizontal="left" vertical="center"/>
    </xf>
    <xf numFmtId="0" fontId="17" fillId="5" borderId="1" xfId="1" applyFont="1" applyFill="1" applyBorder="1" applyAlignment="1" applyProtection="1">
      <alignment horizontal="left" vertical="center" wrapText="1"/>
    </xf>
    <xf numFmtId="177" fontId="17" fillId="2" borderId="1" xfId="1" applyNumberFormat="1" applyFont="1" applyFill="1" applyBorder="1" applyAlignment="1" applyProtection="1">
      <alignment horizontal="center" vertical="center"/>
      <protection locked="0"/>
    </xf>
    <xf numFmtId="180" fontId="21" fillId="5" borderId="1" xfId="1" applyNumberFormat="1" applyFont="1" applyFill="1" applyBorder="1" applyAlignment="1" applyProtection="1">
      <alignment horizontal="left" vertical="center" wrapText="1"/>
    </xf>
    <xf numFmtId="177" fontId="49" fillId="6" borderId="1" xfId="1" applyNumberFormat="1" applyFont="1" applyFill="1" applyBorder="1" applyAlignment="1" applyProtection="1">
      <alignment horizontal="center" vertical="center"/>
      <protection locked="0"/>
    </xf>
    <xf numFmtId="183" fontId="49" fillId="0" borderId="1" xfId="0" applyNumberFormat="1" applyFont="1" applyFill="1" applyBorder="1" applyAlignment="1" applyProtection="1">
      <alignment horizontal="center" vertical="center"/>
      <protection locked="0"/>
    </xf>
    <xf numFmtId="179" fontId="17" fillId="5" borderId="1" xfId="0" applyNumberFormat="1" applyFont="1" applyFill="1" applyBorder="1" applyAlignment="1" applyProtection="1">
      <alignment horizontal="left" vertical="center" wrapText="1"/>
    </xf>
    <xf numFmtId="179" fontId="52" fillId="5" borderId="1" xfId="1" applyNumberFormat="1" applyFont="1" applyFill="1" applyBorder="1" applyAlignment="1" applyProtection="1">
      <alignment horizontal="center" vertical="center"/>
    </xf>
    <xf numFmtId="180" fontId="52" fillId="5" borderId="1" xfId="1" applyNumberFormat="1" applyFont="1" applyFill="1" applyBorder="1" applyAlignment="1" applyProtection="1">
      <alignment horizontal="center" vertical="center"/>
    </xf>
    <xf numFmtId="0" fontId="16" fillId="6" borderId="1" xfId="0" applyFont="1" applyFill="1" applyBorder="1" applyAlignment="1" applyProtection="1">
      <alignment horizontal="center" vertical="center"/>
      <protection locked="0"/>
    </xf>
    <xf numFmtId="0" fontId="81" fillId="6" borderId="1" xfId="0" applyFont="1" applyFill="1" applyBorder="1" applyAlignment="1" applyProtection="1">
      <alignment horizontal="center"/>
      <protection locked="0"/>
    </xf>
    <xf numFmtId="0" fontId="57" fillId="0" borderId="1" xfId="0" applyFont="1" applyFill="1" applyBorder="1" applyAlignment="1" applyProtection="1">
      <alignment horizontal="center" vertical="center"/>
      <protection locked="0"/>
    </xf>
    <xf numFmtId="0" fontId="16" fillId="5" borderId="1" xfId="0" applyFont="1" applyFill="1" applyBorder="1" applyAlignment="1" applyProtection="1">
      <alignment horizontal="left" vertical="center"/>
    </xf>
    <xf numFmtId="0" fontId="16" fillId="5" borderId="7" xfId="0" applyFont="1" applyFill="1" applyBorder="1" applyAlignment="1" applyProtection="1">
      <alignment horizontal="left" vertical="center"/>
    </xf>
    <xf numFmtId="9" fontId="57" fillId="5" borderId="0" xfId="0" applyNumberFormat="1" applyFont="1" applyFill="1" applyAlignment="1" applyProtection="1">
      <alignment horizontal="center" vertical="center"/>
    </xf>
    <xf numFmtId="14" fontId="85" fillId="0" borderId="1" xfId="1" applyNumberFormat="1" applyFont="1" applyBorder="1" applyAlignment="1" applyProtection="1">
      <alignment horizontal="center" vertical="center" wrapText="1"/>
      <protection locked="0"/>
    </xf>
    <xf numFmtId="0" fontId="105" fillId="0" borderId="1" xfId="1" applyFont="1" applyBorder="1" applyAlignment="1" applyProtection="1">
      <alignment horizontal="center" vertical="center" wrapText="1"/>
      <protection locked="0"/>
    </xf>
    <xf numFmtId="1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3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5" fillId="0" borderId="1" xfId="1" applyFont="1" applyFill="1" applyBorder="1" applyAlignment="1" applyProtection="1">
      <alignment horizontal="center" vertical="center" wrapText="1"/>
      <protection locked="0"/>
    </xf>
    <xf numFmtId="0" fontId="37" fillId="5" borderId="82" xfId="0" applyFont="1" applyFill="1" applyBorder="1" applyAlignment="1" applyProtection="1">
      <alignment horizontal="left" vertical="center"/>
    </xf>
    <xf numFmtId="49" fontId="54" fillId="5" borderId="1" xfId="0" applyNumberFormat="1" applyFont="1" applyFill="1" applyBorder="1" applyAlignment="1" applyProtection="1">
      <alignment horizontal="center" vertical="center" wrapText="1"/>
    </xf>
    <xf numFmtId="0" fontId="17" fillId="5" borderId="0" xfId="0" applyFont="1" applyFill="1" applyAlignment="1" applyProtection="1">
      <alignment horizontal="center" vertical="center"/>
    </xf>
    <xf numFmtId="0" fontId="76" fillId="5" borderId="7" xfId="0" applyFont="1" applyFill="1" applyBorder="1" applyAlignment="1" applyProtection="1">
      <alignment horizontal="center" vertical="center"/>
    </xf>
    <xf numFmtId="0" fontId="53" fillId="5" borderId="1" xfId="0" applyNumberFormat="1" applyFont="1" applyFill="1" applyBorder="1" applyAlignment="1" applyProtection="1">
      <alignment horizontal="center" vertical="center" wrapText="1"/>
    </xf>
    <xf numFmtId="0" fontId="92" fillId="0" borderId="0" xfId="0" applyFont="1" applyAlignment="1">
      <alignment horizontal="center" vertical="center"/>
    </xf>
    <xf numFmtId="182" fontId="52" fillId="5" borderId="1" xfId="0" applyNumberFormat="1" applyFont="1" applyFill="1" applyBorder="1" applyAlignment="1" applyProtection="1">
      <alignment horizontal="center"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92" fillId="5" borderId="91" xfId="0" applyFont="1" applyFill="1" applyBorder="1" applyAlignment="1" applyProtection="1">
      <alignment horizontal="center" vertical="center" wrapText="1"/>
    </xf>
    <xf numFmtId="0" fontId="92" fillId="5" borderId="92" xfId="0" applyFont="1" applyFill="1" applyBorder="1" applyAlignment="1" applyProtection="1">
      <alignment horizontal="center" vertical="center" wrapText="1"/>
    </xf>
    <xf numFmtId="0" fontId="92" fillId="5" borderId="93" xfId="0" applyFont="1" applyFill="1" applyBorder="1" applyAlignment="1" applyProtection="1">
      <alignment horizontal="center" vertical="center" wrapText="1"/>
    </xf>
    <xf numFmtId="0" fontId="92" fillId="5" borderId="45" xfId="0" applyFont="1" applyFill="1" applyBorder="1" applyAlignment="1" applyProtection="1">
      <alignment horizontal="center" vertical="center" wrapText="1"/>
    </xf>
    <xf numFmtId="10" fontId="92" fillId="5" borderId="1" xfId="0" applyNumberFormat="1" applyFont="1" applyFill="1" applyBorder="1" applyAlignment="1">
      <alignment horizontal="center" vertical="center"/>
    </xf>
    <xf numFmtId="0" fontId="92" fillId="5" borderId="20" xfId="0" applyFont="1" applyFill="1" applyBorder="1" applyAlignment="1" applyProtection="1">
      <alignment horizontal="center" vertical="center" wrapText="1"/>
    </xf>
    <xf numFmtId="10" fontId="92" fillId="5" borderId="17" xfId="0" applyNumberFormat="1" applyFont="1" applyFill="1" applyBorder="1" applyAlignment="1">
      <alignment horizontal="center" vertical="center"/>
    </xf>
    <xf numFmtId="10" fontId="92" fillId="5" borderId="4" xfId="0" applyNumberFormat="1" applyFont="1" applyFill="1" applyBorder="1" applyAlignment="1">
      <alignment horizontal="center" vertical="center"/>
    </xf>
    <xf numFmtId="10" fontId="92" fillId="5" borderId="11" xfId="0" applyNumberFormat="1" applyFont="1" applyFill="1" applyBorder="1" applyAlignment="1">
      <alignment horizontal="center" vertical="center"/>
    </xf>
    <xf numFmtId="10" fontId="92" fillId="5" borderId="31" xfId="0" applyNumberFormat="1" applyFont="1" applyFill="1" applyBorder="1" applyAlignment="1">
      <alignment horizontal="center" vertical="center"/>
    </xf>
    <xf numFmtId="10" fontId="92" fillId="5" borderId="7" xfId="0" applyNumberFormat="1" applyFont="1" applyFill="1" applyBorder="1" applyAlignment="1">
      <alignment horizontal="center" vertical="center"/>
    </xf>
    <xf numFmtId="10" fontId="92" fillId="5" borderId="6" xfId="0" applyNumberFormat="1" applyFont="1" applyFill="1" applyBorder="1" applyAlignment="1">
      <alignment horizontal="center" vertical="center"/>
    </xf>
    <xf numFmtId="10" fontId="92" fillId="5" borderId="8" xfId="0" applyNumberFormat="1" applyFont="1" applyFill="1" applyBorder="1" applyAlignment="1">
      <alignment horizontal="center" vertical="center"/>
    </xf>
    <xf numFmtId="10" fontId="92" fillId="5" borderId="59" xfId="0" applyNumberFormat="1" applyFont="1" applyFill="1" applyBorder="1" applyAlignment="1">
      <alignment horizontal="center" vertical="center"/>
    </xf>
    <xf numFmtId="10" fontId="92" fillId="5" borderId="43" xfId="0" applyNumberFormat="1" applyFont="1" applyFill="1" applyBorder="1" applyAlignment="1">
      <alignment horizontal="center" vertical="center"/>
    </xf>
    <xf numFmtId="0" fontId="108" fillId="5" borderId="5" xfId="0" applyFont="1" applyFill="1" applyBorder="1" applyAlignment="1">
      <alignment horizontal="center" vertical="center" wrapText="1"/>
    </xf>
    <xf numFmtId="0" fontId="70" fillId="5" borderId="9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/>
    </xf>
    <xf numFmtId="0" fontId="70" fillId="5" borderId="80" xfId="3" applyNumberFormat="1" applyFont="1" applyFill="1" applyBorder="1" applyAlignment="1" applyProtection="1">
      <alignment horizontal="center" vertical="center" wrapText="1"/>
    </xf>
    <xf numFmtId="0" fontId="70" fillId="5" borderId="15" xfId="3" applyNumberFormat="1" applyFont="1" applyFill="1" applyBorder="1" applyAlignment="1" applyProtection="1">
      <alignment horizontal="center" vertical="center"/>
    </xf>
    <xf numFmtId="0" fontId="108" fillId="5" borderId="53" xfId="0" applyFont="1" applyFill="1" applyBorder="1" applyAlignment="1">
      <alignment horizontal="center" vertical="center" wrapText="1"/>
    </xf>
    <xf numFmtId="0" fontId="119" fillId="5" borderId="4" xfId="0" applyFont="1" applyFill="1" applyBorder="1" applyAlignment="1">
      <alignment horizontal="center" vertical="center" wrapText="1"/>
    </xf>
    <xf numFmtId="0" fontId="119" fillId="5" borderId="31" xfId="0" applyFont="1" applyFill="1" applyBorder="1" applyAlignment="1">
      <alignment horizontal="center" vertical="center" wrapText="1"/>
    </xf>
    <xf numFmtId="0" fontId="119" fillId="5" borderId="8" xfId="0" applyFont="1" applyFill="1" applyBorder="1" applyAlignment="1">
      <alignment horizontal="center" vertical="center" wrapText="1"/>
    </xf>
    <xf numFmtId="0" fontId="119" fillId="5" borderId="43" xfId="0" applyFont="1" applyFill="1" applyBorder="1" applyAlignment="1">
      <alignment horizontal="center" vertical="center" wrapText="1"/>
    </xf>
    <xf numFmtId="0" fontId="119" fillId="5" borderId="13" xfId="0" applyFont="1" applyFill="1" applyBorder="1" applyAlignment="1">
      <alignment horizontal="center" vertical="center" wrapText="1"/>
    </xf>
    <xf numFmtId="0" fontId="119" fillId="5" borderId="44" xfId="0" applyFont="1" applyFill="1" applyBorder="1" applyAlignment="1">
      <alignment horizontal="center" vertical="center" wrapText="1"/>
    </xf>
    <xf numFmtId="0" fontId="119" fillId="5" borderId="28" xfId="0" applyFont="1" applyFill="1" applyBorder="1" applyAlignment="1">
      <alignment horizontal="center" vertical="center" wrapText="1"/>
    </xf>
    <xf numFmtId="0" fontId="119" fillId="5" borderId="54" xfId="0" applyFont="1" applyFill="1" applyBorder="1" applyAlignment="1">
      <alignment horizontal="center" vertical="center" wrapText="1"/>
    </xf>
    <xf numFmtId="10" fontId="119" fillId="11" borderId="28" xfId="0" applyNumberFormat="1" applyFont="1" applyFill="1" applyBorder="1" applyAlignment="1">
      <alignment horizontal="center" vertical="center" wrapText="1"/>
    </xf>
    <xf numFmtId="10" fontId="119" fillId="11" borderId="3" xfId="0" applyNumberFormat="1" applyFont="1" applyFill="1" applyBorder="1" applyAlignment="1">
      <alignment horizontal="center" vertical="center" wrapText="1"/>
    </xf>
    <xf numFmtId="10" fontId="119" fillId="11" borderId="54" xfId="0" applyNumberFormat="1" applyFont="1" applyFill="1" applyBorder="1" applyAlignment="1">
      <alignment horizontal="center" vertical="center" wrapText="1"/>
    </xf>
    <xf numFmtId="10" fontId="119" fillId="11" borderId="4" xfId="0" applyNumberFormat="1" applyFont="1" applyFill="1" applyBorder="1" applyAlignment="1">
      <alignment horizontal="center" vertical="center" wrapText="1"/>
    </xf>
    <xf numFmtId="10" fontId="119" fillId="11" borderId="7" xfId="0" applyNumberFormat="1" applyFont="1" applyFill="1" applyBorder="1" applyAlignment="1">
      <alignment horizontal="center" vertical="center" wrapText="1"/>
    </xf>
    <xf numFmtId="10" fontId="119" fillId="11" borderId="8" xfId="0" applyNumberFormat="1" applyFont="1" applyFill="1" applyBorder="1" applyAlignment="1">
      <alignment horizontal="center" vertical="center" wrapText="1"/>
    </xf>
    <xf numFmtId="0" fontId="119" fillId="5" borderId="10" xfId="0" applyFont="1" applyFill="1" applyBorder="1" applyAlignment="1">
      <alignment horizontal="center" vertical="center" wrapText="1"/>
    </xf>
    <xf numFmtId="0" fontId="119" fillId="5" borderId="66" xfId="0" applyFont="1" applyFill="1" applyBorder="1" applyAlignment="1">
      <alignment horizontal="center" vertical="center" wrapText="1"/>
    </xf>
    <xf numFmtId="10" fontId="119" fillId="5" borderId="28" xfId="0" applyNumberFormat="1" applyFont="1" applyFill="1" applyBorder="1" applyAlignment="1">
      <alignment horizontal="center" vertical="center" wrapText="1"/>
    </xf>
    <xf numFmtId="10" fontId="119" fillId="5" borderId="13" xfId="0" applyNumberFormat="1" applyFont="1" applyFill="1" applyBorder="1" applyAlignment="1">
      <alignment horizontal="center" vertical="center" wrapText="1"/>
    </xf>
    <xf numFmtId="10" fontId="119" fillId="5" borderId="4" xfId="0" applyNumberFormat="1" applyFont="1" applyFill="1" applyBorder="1" applyAlignment="1">
      <alignment horizontal="center" vertical="center" wrapText="1"/>
    </xf>
    <xf numFmtId="10" fontId="119" fillId="5" borderId="31" xfId="0" applyNumberFormat="1" applyFont="1" applyFill="1" applyBorder="1" applyAlignment="1">
      <alignment horizontal="center" vertical="center" wrapText="1"/>
    </xf>
    <xf numFmtId="10" fontId="119" fillId="5" borderId="3" xfId="0" applyNumberFormat="1" applyFont="1" applyFill="1" applyBorder="1" applyAlignment="1">
      <alignment horizontal="center" vertical="center" wrapText="1"/>
    </xf>
    <xf numFmtId="10" fontId="119" fillId="5" borderId="2" xfId="0" applyNumberFormat="1" applyFont="1" applyFill="1" applyBorder="1" applyAlignment="1">
      <alignment horizontal="center" vertical="center" wrapText="1"/>
    </xf>
    <xf numFmtId="10" fontId="119" fillId="5" borderId="7" xfId="0" applyNumberFormat="1" applyFont="1" applyFill="1" applyBorder="1" applyAlignment="1">
      <alignment horizontal="center" vertical="center" wrapText="1"/>
    </xf>
    <xf numFmtId="10" fontId="119" fillId="5" borderId="6" xfId="0" applyNumberFormat="1" applyFont="1" applyFill="1" applyBorder="1" applyAlignment="1">
      <alignment horizontal="center" vertical="center" wrapText="1"/>
    </xf>
    <xf numFmtId="10" fontId="119" fillId="5" borderId="54" xfId="0" applyNumberFormat="1" applyFont="1" applyFill="1" applyBorder="1" applyAlignment="1">
      <alignment horizontal="center" vertical="center" wrapText="1"/>
    </xf>
    <xf numFmtId="10" fontId="119" fillId="5" borderId="44" xfId="0" applyNumberFormat="1" applyFont="1" applyFill="1" applyBorder="1" applyAlignment="1">
      <alignment horizontal="center" vertical="center" wrapText="1"/>
    </xf>
    <xf numFmtId="10" fontId="119" fillId="5" borderId="8" xfId="0" applyNumberFormat="1" applyFont="1" applyFill="1" applyBorder="1" applyAlignment="1">
      <alignment horizontal="center" vertical="center" wrapText="1"/>
    </xf>
    <xf numFmtId="10" fontId="119" fillId="5" borderId="43" xfId="0" applyNumberFormat="1" applyFont="1" applyFill="1" applyBorder="1" applyAlignment="1">
      <alignment horizontal="center" vertical="center" wrapText="1"/>
    </xf>
    <xf numFmtId="0" fontId="76" fillId="5" borderId="0" xfId="0" applyFont="1" applyFill="1" applyAlignment="1">
      <alignment horizontal="center" vertical="center"/>
    </xf>
    <xf numFmtId="0" fontId="76" fillId="5" borderId="13" xfId="0" applyFont="1" applyFill="1" applyBorder="1" applyAlignment="1" applyProtection="1">
      <alignment horizontal="center" vertical="center"/>
    </xf>
    <xf numFmtId="0" fontId="115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5" fillId="5" borderId="2" xfId="0" applyFont="1" applyFill="1" applyBorder="1" applyAlignment="1">
      <alignment vertical="center"/>
    </xf>
    <xf numFmtId="0" fontId="115" fillId="5" borderId="2" xfId="0" applyFont="1" applyFill="1" applyBorder="1" applyAlignment="1">
      <alignment vertical="center" wrapText="1"/>
    </xf>
    <xf numFmtId="0" fontId="115" fillId="5" borderId="50" xfId="0" applyFont="1" applyFill="1" applyBorder="1" applyAlignment="1">
      <alignment vertical="center" wrapText="1"/>
    </xf>
    <xf numFmtId="0" fontId="115" fillId="5" borderId="87" xfId="0" applyFont="1" applyFill="1" applyBorder="1" applyAlignment="1">
      <alignment vertical="center" wrapText="1"/>
    </xf>
    <xf numFmtId="0" fontId="115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5" fillId="5" borderId="86" xfId="0" applyFont="1" applyFill="1" applyBorder="1" applyAlignment="1">
      <alignment horizontal="center" vertical="center" wrapText="1"/>
    </xf>
    <xf numFmtId="0" fontId="116" fillId="5" borderId="84" xfId="0" applyFont="1" applyFill="1" applyBorder="1" applyAlignment="1">
      <alignment horizontal="center" vertical="center" wrapText="1"/>
    </xf>
    <xf numFmtId="0" fontId="115" fillId="5" borderId="90" xfId="0" applyFont="1" applyFill="1" applyBorder="1" applyAlignment="1">
      <alignment vertical="center"/>
    </xf>
    <xf numFmtId="0" fontId="115" fillId="5" borderId="85" xfId="0" applyFont="1" applyFill="1" applyBorder="1" applyAlignment="1">
      <alignment horizontal="center" vertical="center" wrapText="1"/>
    </xf>
    <xf numFmtId="0" fontId="116" fillId="5" borderId="89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/>
    </xf>
    <xf numFmtId="179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1" xfId="0" applyNumberFormat="1" applyFont="1" applyFill="1" applyBorder="1" applyAlignment="1" applyProtection="1">
      <alignment horizontal="center" vertical="center" wrapText="1"/>
    </xf>
    <xf numFmtId="0" fontId="85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7" fillId="5" borderId="7" xfId="0" applyFont="1" applyFill="1" applyBorder="1" applyAlignment="1">
      <alignment horizontal="center" vertical="center"/>
    </xf>
    <xf numFmtId="0" fontId="117" fillId="5" borderId="1" xfId="0" applyFont="1" applyFill="1" applyBorder="1" applyAlignment="1">
      <alignment horizontal="center" vertical="center" wrapText="1"/>
    </xf>
    <xf numFmtId="0" fontId="117" fillId="5" borderId="6" xfId="0" applyFont="1" applyFill="1" applyBorder="1" applyAlignment="1">
      <alignment horizontal="center" vertical="center" wrapText="1"/>
    </xf>
    <xf numFmtId="0" fontId="116" fillId="5" borderId="92" xfId="0" applyFont="1" applyFill="1" applyBorder="1" applyAlignment="1">
      <alignment horizontal="center"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83" fillId="5" borderId="7" xfId="0" applyFont="1" applyFill="1" applyBorder="1" applyAlignment="1">
      <alignment horizontal="center" vertical="center"/>
    </xf>
    <xf numFmtId="0" fontId="83" fillId="5" borderId="6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 wrapText="1"/>
    </xf>
    <xf numFmtId="0" fontId="116" fillId="5" borderId="7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 wrapText="1"/>
    </xf>
    <xf numFmtId="0" fontId="114" fillId="5" borderId="0" xfId="0" applyFont="1" applyFill="1" applyBorder="1" applyAlignment="1">
      <alignment horizontal="center" vertical="center"/>
    </xf>
    <xf numFmtId="0" fontId="116" fillId="5" borderId="93" xfId="0" applyFont="1" applyFill="1" applyBorder="1" applyAlignment="1">
      <alignment horizontal="center" vertical="center"/>
    </xf>
    <xf numFmtId="0" fontId="116" fillId="5" borderId="8" xfId="0" applyFont="1" applyFill="1" applyBorder="1" applyAlignment="1">
      <alignment horizontal="center" vertical="center"/>
    </xf>
    <xf numFmtId="0" fontId="116" fillId="5" borderId="59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83" fillId="5" borderId="8" xfId="0" applyFont="1" applyFill="1" applyBorder="1" applyAlignment="1">
      <alignment horizontal="center" vertical="center"/>
    </xf>
    <xf numFmtId="0" fontId="83" fillId="5" borderId="59" xfId="0" applyFont="1" applyFill="1" applyBorder="1" applyAlignment="1">
      <alignment horizontal="center" vertical="center"/>
    </xf>
    <xf numFmtId="0" fontId="83" fillId="5" borderId="43" xfId="0" applyFont="1" applyFill="1" applyBorder="1" applyAlignment="1">
      <alignment horizontal="center" vertical="center"/>
    </xf>
    <xf numFmtId="0" fontId="53" fillId="6" borderId="11" xfId="0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vertical="center" wrapText="1"/>
      <protection locked="0"/>
    </xf>
    <xf numFmtId="10" fontId="53" fillId="5" borderId="59" xfId="0" applyNumberFormat="1" applyFont="1" applyFill="1" applyBorder="1" applyAlignment="1" applyProtection="1">
      <alignment horizontal="center" vertical="center" wrapText="1"/>
    </xf>
    <xf numFmtId="0" fontId="53" fillId="0" borderId="59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vertical="center" wrapText="1"/>
    </xf>
    <xf numFmtId="0" fontId="52" fillId="8" borderId="0" xfId="0" applyFont="1" applyFill="1" applyAlignment="1" applyProtection="1">
      <alignment vertical="center" wrapText="1"/>
      <protection locked="0"/>
    </xf>
    <xf numFmtId="0" fontId="53" fillId="8" borderId="0" xfId="0" applyFont="1" applyFill="1" applyAlignment="1" applyProtection="1">
      <alignment vertical="center" wrapText="1"/>
      <protection locked="0"/>
    </xf>
    <xf numFmtId="1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2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37" xfId="1" applyFont="1" applyFill="1" applyBorder="1" applyAlignment="1" applyProtection="1">
      <alignment vertical="center"/>
    </xf>
    <xf numFmtId="0" fontId="56" fillId="5" borderId="2" xfId="1" applyFont="1" applyFill="1" applyBorder="1" applyAlignment="1" applyProtection="1">
      <alignment horizontal="right" vertical="center"/>
    </xf>
    <xf numFmtId="0" fontId="120" fillId="5" borderId="11" xfId="0" applyFont="1" applyFill="1" applyBorder="1" applyAlignment="1" applyProtection="1">
      <alignment horizontal="center" vertical="center"/>
    </xf>
    <xf numFmtId="0" fontId="16" fillId="5" borderId="37" xfId="0" applyFont="1" applyFill="1" applyBorder="1" applyAlignment="1" applyProtection="1">
      <alignment vertical="center" wrapText="1"/>
    </xf>
    <xf numFmtId="0" fontId="16" fillId="5" borderId="76" xfId="0" applyFont="1" applyFill="1" applyBorder="1" applyAlignment="1" applyProtection="1">
      <alignment vertical="center" wrapText="1"/>
    </xf>
    <xf numFmtId="185" fontId="56" fillId="5" borderId="68" xfId="0" applyNumberFormat="1" applyFont="1" applyFill="1" applyBorder="1" applyAlignment="1" applyProtection="1">
      <alignment horizontal="center" vertical="center" wrapText="1"/>
    </xf>
    <xf numFmtId="0" fontId="57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vertical="center" wrapText="1"/>
    </xf>
    <xf numFmtId="0" fontId="16" fillId="5" borderId="6" xfId="0" applyFont="1" applyFill="1" applyBorder="1" applyAlignment="1" applyProtection="1">
      <alignment vertical="center" wrapText="1"/>
    </xf>
    <xf numFmtId="0" fontId="57" fillId="5" borderId="6" xfId="0" applyFont="1" applyFill="1" applyBorder="1" applyAlignment="1" applyProtection="1">
      <alignment horizontal="center" vertical="center" wrapText="1"/>
    </xf>
    <xf numFmtId="0" fontId="57" fillId="5" borderId="68" xfId="0" applyFont="1" applyFill="1" applyBorder="1" applyAlignment="1" applyProtection="1">
      <alignment horizontal="center" vertical="center" wrapText="1"/>
    </xf>
    <xf numFmtId="0" fontId="57" fillId="5" borderId="59" xfId="0" applyFont="1" applyFill="1" applyBorder="1" applyAlignment="1" applyProtection="1">
      <alignment horizontal="center" vertical="center" wrapText="1"/>
    </xf>
    <xf numFmtId="179" fontId="57" fillId="5" borderId="67" xfId="0" applyNumberFormat="1" applyFont="1" applyFill="1" applyBorder="1" applyAlignment="1" applyProtection="1">
      <alignment horizontal="center" vertical="center" wrapText="1"/>
    </xf>
    <xf numFmtId="179" fontId="57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49" fontId="57" fillId="5" borderId="1" xfId="0" applyNumberFormat="1" applyFont="1" applyFill="1" applyBorder="1" applyAlignment="1" applyProtection="1">
      <alignment horizontal="center" vertical="center" wrapText="1"/>
    </xf>
    <xf numFmtId="0" fontId="105" fillId="5" borderId="1" xfId="0" applyFont="1" applyFill="1" applyBorder="1" applyAlignment="1" applyProtection="1">
      <alignment horizontal="center" vertical="center"/>
    </xf>
    <xf numFmtId="0" fontId="121" fillId="5" borderId="2" xfId="0" applyFont="1" applyFill="1" applyBorder="1" applyAlignment="1" applyProtection="1">
      <alignment vertical="center"/>
    </xf>
    <xf numFmtId="0" fontId="81" fillId="5" borderId="50" xfId="0" applyFont="1" applyFill="1" applyBorder="1" applyAlignment="1" applyProtection="1">
      <alignment vertical="center"/>
    </xf>
    <xf numFmtId="0" fontId="81" fillId="5" borderId="41" xfId="0" applyFont="1" applyFill="1" applyBorder="1" applyAlignment="1" applyProtection="1">
      <alignment vertical="center"/>
    </xf>
    <xf numFmtId="0" fontId="57" fillId="5" borderId="17" xfId="0" applyFont="1" applyFill="1" applyBorder="1" applyAlignment="1" applyProtection="1">
      <alignment horizontal="center" vertical="center" wrapText="1"/>
    </xf>
    <xf numFmtId="49" fontId="57" fillId="5" borderId="17" xfId="0" applyNumberFormat="1" applyFont="1" applyFill="1" applyBorder="1" applyAlignment="1" applyProtection="1">
      <alignment horizontal="center" vertical="center" wrapText="1"/>
    </xf>
    <xf numFmtId="0" fontId="105" fillId="5" borderId="17" xfId="0" applyFont="1" applyFill="1" applyBorder="1" applyAlignment="1" applyProtection="1">
      <alignment horizontal="center" vertical="center"/>
    </xf>
    <xf numFmtId="0" fontId="57" fillId="5" borderId="18" xfId="0" applyFont="1" applyFill="1" applyBorder="1" applyAlignment="1" applyProtection="1">
      <alignment horizontal="center" vertical="center" wrapText="1"/>
    </xf>
    <xf numFmtId="49" fontId="57" fillId="5" borderId="18" xfId="0" applyNumberFormat="1" applyFont="1" applyFill="1" applyBorder="1" applyAlignment="1" applyProtection="1">
      <alignment horizontal="center" vertical="center" wrapText="1"/>
    </xf>
    <xf numFmtId="0" fontId="105" fillId="5" borderId="18" xfId="0" applyFont="1" applyFill="1" applyBorder="1" applyAlignment="1" applyProtection="1">
      <alignment horizontal="center" vertical="center"/>
    </xf>
    <xf numFmtId="49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7" xfId="0" applyNumberFormat="1" applyFont="1" applyFill="1" applyBorder="1" applyAlignment="1" applyProtection="1">
      <alignment horizontal="center" vertical="center" wrapText="1"/>
    </xf>
    <xf numFmtId="0" fontId="53" fillId="5" borderId="4" xfId="0" applyFont="1" applyFill="1" applyBorder="1" applyAlignment="1" applyProtection="1">
      <alignment horizontal="center" vertical="center"/>
      <protection locked="0"/>
    </xf>
    <xf numFmtId="0" fontId="52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0" applyFont="1" applyBorder="1" applyAlignment="1" applyProtection="1">
      <alignment horizontal="left" vertical="center"/>
      <protection locked="0"/>
    </xf>
    <xf numFmtId="0" fontId="122" fillId="0" borderId="0" xfId="0" applyFont="1" applyAlignment="1">
      <alignment vertical="center" wrapText="1"/>
    </xf>
    <xf numFmtId="181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2" fillId="8" borderId="0" xfId="0" applyFont="1" applyFill="1" applyAlignment="1">
      <alignment vertical="center" wrapText="1"/>
    </xf>
    <xf numFmtId="0" fontId="17" fillId="0" borderId="1" xfId="0" applyFont="1" applyBorder="1" applyAlignment="1" applyProtection="1">
      <alignment vertical="center"/>
    </xf>
    <xf numFmtId="0" fontId="82" fillId="0" borderId="1" xfId="0" applyFont="1" applyBorder="1" applyAlignment="1" applyProtection="1">
      <alignment vertical="center"/>
    </xf>
    <xf numFmtId="0" fontId="82" fillId="8" borderId="1" xfId="0" applyFont="1" applyFill="1" applyBorder="1" applyAlignment="1" applyProtection="1">
      <alignment vertical="center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52" fillId="5" borderId="3" xfId="0" applyFont="1" applyFill="1" applyBorder="1" applyAlignment="1" applyProtection="1">
      <alignment horizontal="center" vertical="center" wrapText="1"/>
    </xf>
    <xf numFmtId="0" fontId="53" fillId="0" borderId="0" xfId="0" applyFont="1" applyAlignment="1" applyProtection="1">
      <alignment horizontal="center" vertical="center" wrapText="1"/>
    </xf>
    <xf numFmtId="0" fontId="53" fillId="8" borderId="0" xfId="0" applyFont="1" applyFill="1" applyAlignment="1" applyProtection="1">
      <alignment horizontal="center" vertical="center" wrapText="1"/>
      <protection locked="0"/>
    </xf>
    <xf numFmtId="0" fontId="56" fillId="5" borderId="0" xfId="1" applyFont="1" applyFill="1" applyBorder="1" applyAlignment="1" applyProtection="1">
      <alignment horizontal="right" vertical="center"/>
    </xf>
    <xf numFmtId="0" fontId="8" fillId="5" borderId="0" xfId="0" applyFont="1" applyFill="1" applyBorder="1" applyAlignment="1" applyProtection="1">
      <alignment horizontal="left" vertical="center"/>
    </xf>
    <xf numFmtId="0" fontId="53" fillId="5" borderId="0" xfId="0" applyFont="1" applyFill="1" applyBorder="1" applyAlignment="1" applyProtection="1">
      <alignment horizontal="center" vertical="center" wrapText="1"/>
    </xf>
    <xf numFmtId="0" fontId="8" fillId="5" borderId="0" xfId="0" applyFont="1" applyFill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0" xfId="0" applyFont="1" applyFill="1" applyBorder="1" applyAlignment="1" applyProtection="1">
      <alignment horizontal="center" vertical="center" wrapText="1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26" fillId="5" borderId="45" xfId="1" applyFont="1" applyFill="1" applyBorder="1" applyAlignment="1" applyProtection="1">
      <alignment vertical="center"/>
    </xf>
    <xf numFmtId="0" fontId="128" fillId="5" borderId="2" xfId="1" applyFont="1" applyFill="1" applyBorder="1" applyAlignment="1" applyProtection="1">
      <alignment vertical="center"/>
    </xf>
    <xf numFmtId="0" fontId="128" fillId="5" borderId="35" xfId="1" applyFont="1" applyFill="1" applyBorder="1" applyAlignment="1" applyProtection="1">
      <alignment vertical="center"/>
    </xf>
    <xf numFmtId="0" fontId="124" fillId="5" borderId="1" xfId="0" applyFont="1" applyFill="1" applyBorder="1" applyAlignment="1" applyProtection="1">
      <alignment vertical="center" wrapText="1"/>
    </xf>
    <xf numFmtId="181" fontId="105" fillId="10" borderId="1" xfId="0" applyNumberFormat="1" applyFont="1" applyFill="1" applyBorder="1" applyAlignment="1" applyProtection="1">
      <alignment horizontal="center" vertical="center" wrapText="1"/>
    </xf>
    <xf numFmtId="0" fontId="124" fillId="5" borderId="18" xfId="0" applyFont="1" applyFill="1" applyBorder="1" applyAlignment="1" applyProtection="1">
      <alignment horizontal="center" vertical="center" wrapText="1"/>
    </xf>
    <xf numFmtId="0" fontId="124" fillId="5" borderId="0" xfId="0" applyFont="1" applyFill="1" applyBorder="1" applyAlignment="1" applyProtection="1">
      <alignment horizontal="center" vertical="center" wrapText="1"/>
      <protection locked="0"/>
    </xf>
    <xf numFmtId="0" fontId="124" fillId="5" borderId="0" xfId="0" applyFont="1" applyFill="1" applyBorder="1" applyAlignment="1" applyProtection="1">
      <alignment horizontal="left" vertical="center"/>
      <protection locked="0"/>
    </xf>
    <xf numFmtId="0" fontId="8" fillId="5" borderId="0" xfId="0" applyNumberFormat="1" applyFont="1" applyFill="1" applyBorder="1" applyAlignment="1" applyProtection="1">
      <alignment vertical="center" wrapText="1"/>
    </xf>
    <xf numFmtId="0" fontId="15" fillId="5" borderId="13" xfId="0" applyFont="1" applyFill="1" applyBorder="1" applyAlignment="1" applyProtection="1">
      <alignment vertical="center" wrapText="1"/>
    </xf>
    <xf numFmtId="49" fontId="57" fillId="5" borderId="59" xfId="0" applyNumberFormat="1" applyFont="1" applyFill="1" applyBorder="1" applyAlignment="1" applyProtection="1">
      <alignment horizontal="center" vertical="center" wrapText="1"/>
    </xf>
    <xf numFmtId="0" fontId="105" fillId="5" borderId="59" xfId="0" applyFont="1" applyFill="1" applyBorder="1" applyAlignment="1" applyProtection="1">
      <alignment horizontal="center" vertical="center"/>
    </xf>
    <xf numFmtId="0" fontId="121" fillId="5" borderId="44" xfId="0" applyFont="1" applyFill="1" applyBorder="1" applyAlignment="1" applyProtection="1">
      <alignment vertical="center"/>
    </xf>
    <xf numFmtId="0" fontId="81" fillId="5" borderId="47" xfId="0" applyFont="1" applyFill="1" applyBorder="1" applyAlignment="1" applyProtection="1">
      <alignment vertical="center"/>
    </xf>
    <xf numFmtId="0" fontId="81" fillId="5" borderId="60" xfId="0" applyFont="1" applyFill="1" applyBorder="1" applyAlignment="1" applyProtection="1">
      <alignment vertical="center"/>
    </xf>
    <xf numFmtId="0" fontId="128" fillId="5" borderId="53" xfId="1" applyFont="1" applyFill="1" applyBorder="1" applyAlignment="1" applyProtection="1">
      <alignment vertical="center"/>
    </xf>
    <xf numFmtId="0" fontId="128" fillId="5" borderId="64" xfId="1" applyFont="1" applyFill="1" applyBorder="1" applyAlignment="1" applyProtection="1">
      <alignment horizontal="right" vertical="center"/>
    </xf>
    <xf numFmtId="0" fontId="128" fillId="5" borderId="63" xfId="1" applyFont="1" applyFill="1" applyBorder="1" applyAlignment="1" applyProtection="1">
      <alignment horizontal="center" vertical="center"/>
    </xf>
    <xf numFmtId="0" fontId="124" fillId="5" borderId="5" xfId="0" applyFont="1" applyFill="1" applyBorder="1" applyAlignment="1" applyProtection="1">
      <alignment horizontal="center" vertical="center" wrapText="1"/>
      <protection locked="0"/>
    </xf>
    <xf numFmtId="0" fontId="124" fillId="5" borderId="37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  <protection locked="0"/>
    </xf>
    <xf numFmtId="0" fontId="124" fillId="5" borderId="7" xfId="0" applyFont="1" applyFill="1" applyBorder="1" applyAlignment="1" applyProtection="1">
      <alignment horizontal="center" vertical="center" wrapText="1"/>
    </xf>
    <xf numFmtId="0" fontId="8" fillId="5" borderId="41" xfId="0" applyNumberFormat="1" applyFont="1" applyFill="1" applyBorder="1" applyAlignment="1" applyProtection="1">
      <alignment vertical="center" wrapText="1"/>
    </xf>
    <xf numFmtId="0" fontId="124" fillId="5" borderId="59" xfId="0" applyFont="1" applyFill="1" applyBorder="1" applyAlignment="1" applyProtection="1">
      <alignment horizontal="left" vertical="center"/>
      <protection locked="0"/>
    </xf>
    <xf numFmtId="0" fontId="53" fillId="5" borderId="47" xfId="0" applyFont="1" applyFill="1" applyBorder="1" applyAlignment="1" applyProtection="1">
      <alignment horizontal="center" vertical="center" wrapText="1"/>
    </xf>
    <xf numFmtId="0" fontId="8" fillId="5" borderId="60" xfId="0" applyNumberFormat="1" applyFont="1" applyFill="1" applyBorder="1" applyAlignment="1" applyProtection="1">
      <alignment vertical="center" wrapText="1"/>
    </xf>
    <xf numFmtId="0" fontId="126" fillId="5" borderId="5" xfId="1" applyFont="1" applyFill="1" applyBorder="1" applyAlignment="1" applyProtection="1">
      <alignment vertical="center"/>
    </xf>
    <xf numFmtId="0" fontId="128" fillId="5" borderId="58" xfId="1" applyFont="1" applyFill="1" applyBorder="1" applyAlignment="1" applyProtection="1">
      <alignment vertical="center"/>
    </xf>
    <xf numFmtId="0" fontId="15" fillId="5" borderId="0" xfId="1" applyFont="1" applyFill="1" applyBorder="1" applyAlignment="1" applyProtection="1">
      <alignment vertical="center"/>
    </xf>
    <xf numFmtId="0" fontId="128" fillId="5" borderId="45" xfId="1" applyFont="1" applyFill="1" applyBorder="1" applyAlignment="1" applyProtection="1">
      <alignment vertical="center"/>
    </xf>
    <xf numFmtId="0" fontId="56" fillId="5" borderId="13" xfId="1" applyFont="1" applyFill="1" applyBorder="1" applyAlignment="1" applyProtection="1">
      <alignment horizontal="right" vertical="center"/>
    </xf>
    <xf numFmtId="0" fontId="128" fillId="5" borderId="20" xfId="1" applyFont="1" applyFill="1" applyBorder="1" applyAlignment="1" applyProtection="1">
      <alignment vertical="center"/>
    </xf>
    <xf numFmtId="0" fontId="56" fillId="5" borderId="69" xfId="1" applyFont="1" applyFill="1" applyBorder="1" applyAlignment="1" applyProtection="1">
      <alignment horizontal="right" vertical="center"/>
    </xf>
    <xf numFmtId="0" fontId="124" fillId="5" borderId="4" xfId="0" applyNumberFormat="1" applyFont="1" applyFill="1" applyBorder="1" applyAlignment="1" applyProtection="1">
      <alignment horizontal="left" vertical="center" wrapText="1"/>
    </xf>
    <xf numFmtId="0" fontId="124" fillId="5" borderId="7" xfId="1" applyFont="1" applyFill="1" applyBorder="1" applyAlignment="1" applyProtection="1">
      <alignment vertical="center"/>
    </xf>
    <xf numFmtId="49" fontId="57" fillId="5" borderId="6" xfId="0" applyNumberFormat="1" applyFont="1" applyFill="1" applyBorder="1" applyAlignment="1" applyProtection="1">
      <alignment horizontal="center" vertical="center" wrapText="1"/>
    </xf>
    <xf numFmtId="0" fontId="57" fillId="5" borderId="43" xfId="0" applyNumberFormat="1" applyFont="1" applyFill="1" applyBorder="1" applyAlignment="1" applyProtection="1">
      <alignment horizontal="center" vertical="center" wrapText="1"/>
    </xf>
    <xf numFmtId="0" fontId="15" fillId="5" borderId="51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128" fillId="5" borderId="37" xfId="1" applyFont="1" applyFill="1" applyBorder="1" applyAlignment="1" applyProtection="1">
      <alignment vertical="center"/>
    </xf>
    <xf numFmtId="0" fontId="111" fillId="5" borderId="0" xfId="0" applyFont="1" applyFill="1" applyAlignment="1" applyProtection="1">
      <alignment vertical="center" wrapText="1"/>
    </xf>
    <xf numFmtId="0" fontId="128" fillId="5" borderId="1" xfId="1" applyFont="1" applyFill="1" applyBorder="1" applyAlignment="1" applyProtection="1">
      <alignment vertical="center"/>
    </xf>
    <xf numFmtId="0" fontId="111" fillId="8" borderId="0" xfId="0" applyFont="1" applyFill="1" applyAlignment="1" applyProtection="1">
      <alignment vertical="center" wrapText="1"/>
      <protection locked="0"/>
    </xf>
    <xf numFmtId="0" fontId="111" fillId="0" borderId="0" xfId="0" applyFont="1" applyAlignment="1" applyProtection="1">
      <alignment vertical="center" wrapText="1"/>
    </xf>
    <xf numFmtId="0" fontId="111" fillId="0" borderId="0" xfId="0" applyFont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center" vertical="center" wrapText="1"/>
      <protection locked="0"/>
    </xf>
    <xf numFmtId="0" fontId="128" fillId="5" borderId="50" xfId="1" applyFont="1" applyFill="1" applyBorder="1" applyAlignment="1" applyProtection="1">
      <alignment vertical="center"/>
    </xf>
    <xf numFmtId="0" fontId="111" fillId="5" borderId="1" xfId="0" applyNumberFormat="1" applyFont="1" applyFill="1" applyBorder="1" applyAlignment="1" applyProtection="1">
      <alignment horizontal="left" vertical="center" wrapText="1"/>
    </xf>
    <xf numFmtId="0" fontId="111" fillId="5" borderId="1" xfId="0" applyFont="1" applyFill="1" applyBorder="1" applyAlignment="1" applyProtection="1">
      <alignment vertical="center" wrapText="1"/>
    </xf>
    <xf numFmtId="0" fontId="111" fillId="5" borderId="1" xfId="0" applyNumberFormat="1" applyFont="1" applyFill="1" applyBorder="1" applyAlignment="1" applyProtection="1">
      <alignment horizontal="center" vertical="center" wrapText="1"/>
    </xf>
    <xf numFmtId="0" fontId="111" fillId="5" borderId="0" xfId="0" applyNumberFormat="1" applyFont="1" applyFill="1" applyAlignment="1" applyProtection="1">
      <alignment vertical="center" wrapText="1"/>
    </xf>
    <xf numFmtId="0" fontId="111" fillId="6" borderId="1" xfId="0" applyNumberFormat="1" applyFont="1" applyFill="1" applyBorder="1" applyAlignment="1" applyProtection="1">
      <alignment vertical="center" wrapText="1"/>
      <protection locked="0"/>
    </xf>
    <xf numFmtId="0" fontId="111" fillId="5" borderId="1" xfId="0" applyFont="1" applyFill="1" applyBorder="1" applyAlignment="1" applyProtection="1">
      <alignment horizontal="left" vertical="center"/>
    </xf>
    <xf numFmtId="0" fontId="128" fillId="5" borderId="22" xfId="0" applyFont="1" applyFill="1" applyBorder="1" applyAlignment="1" applyProtection="1">
      <alignment horizontal="center" vertical="center" wrapText="1"/>
    </xf>
    <xf numFmtId="0" fontId="128" fillId="5" borderId="55" xfId="0" applyFont="1" applyFill="1" applyBorder="1" applyAlignment="1" applyProtection="1">
      <alignment horizontal="left" vertical="center" wrapText="1"/>
    </xf>
    <xf numFmtId="0" fontId="128" fillId="5" borderId="37" xfId="0" applyFont="1" applyFill="1" applyBorder="1" applyAlignment="1" applyProtection="1">
      <alignment vertical="center" wrapText="1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76" xfId="0" applyFont="1" applyFill="1" applyBorder="1" applyAlignment="1" applyProtection="1">
      <alignment vertical="center" wrapText="1"/>
    </xf>
    <xf numFmtId="0" fontId="129" fillId="8" borderId="0" xfId="0" applyFont="1" applyFill="1" applyAlignment="1" applyProtection="1">
      <alignment vertical="center"/>
      <protection locked="0"/>
    </xf>
    <xf numFmtId="0" fontId="129" fillId="0" borderId="0" xfId="0" applyFont="1" applyAlignment="1" applyProtection="1">
      <alignment vertical="center" wrapText="1"/>
    </xf>
    <xf numFmtId="0" fontId="129" fillId="8" borderId="0" xfId="0" applyFont="1" applyFill="1" applyAlignment="1" applyProtection="1">
      <alignment horizontal="center" vertical="center" wrapText="1"/>
      <protection locked="0"/>
    </xf>
    <xf numFmtId="0" fontId="129" fillId="0" borderId="0" xfId="0" applyFont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28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 wrapText="1"/>
    </xf>
    <xf numFmtId="0" fontId="124" fillId="5" borderId="50" xfId="0" applyFont="1" applyFill="1" applyBorder="1" applyAlignment="1" applyProtection="1">
      <alignment vertical="center" wrapText="1"/>
    </xf>
    <xf numFmtId="0" fontId="124" fillId="5" borderId="41" xfId="0" applyFont="1" applyFill="1" applyBorder="1" applyAlignment="1" applyProtection="1">
      <alignment vertical="center" wrapText="1"/>
    </xf>
    <xf numFmtId="0" fontId="111" fillId="8" borderId="0" xfId="0" applyFont="1" applyFill="1" applyAlignment="1" applyProtection="1">
      <alignment vertical="center"/>
      <protection locked="0"/>
    </xf>
    <xf numFmtId="0" fontId="128" fillId="5" borderId="8" xfId="0" applyFont="1" applyFill="1" applyBorder="1" applyAlignment="1" applyProtection="1">
      <alignment horizontal="center" vertical="center" wrapText="1"/>
    </xf>
    <xf numFmtId="0" fontId="128" fillId="5" borderId="59" xfId="0" applyFont="1" applyFill="1" applyBorder="1" applyAlignment="1" applyProtection="1">
      <alignment horizontal="left" vertical="center" wrapText="1"/>
    </xf>
    <xf numFmtId="0" fontId="128" fillId="5" borderId="40" xfId="0" applyFont="1" applyFill="1" applyBorder="1" applyAlignment="1" applyProtection="1">
      <alignment vertical="center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28" fillId="5" borderId="68" xfId="0" applyFont="1" applyFill="1" applyBorder="1" applyAlignment="1" applyProtection="1">
      <alignment horizontal="left" vertical="center" wrapText="1"/>
    </xf>
    <xf numFmtId="0" fontId="124" fillId="5" borderId="68" xfId="0" applyFont="1" applyFill="1" applyBorder="1" applyAlignment="1" applyProtection="1">
      <alignment horizontal="center" vertical="center" wrapText="1"/>
    </xf>
    <xf numFmtId="0" fontId="124" fillId="5" borderId="0" xfId="0" applyFont="1" applyFill="1" applyAlignment="1" applyProtection="1">
      <alignment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37" xfId="0" applyFont="1" applyFill="1" applyBorder="1" applyAlignment="1" applyProtection="1">
      <alignment vertical="center" wrapText="1"/>
      <protection locked="0"/>
    </xf>
    <xf numFmtId="0" fontId="124" fillId="5" borderId="57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124" fillId="5" borderId="68" xfId="0" applyFont="1" applyFill="1" applyBorder="1" applyAlignment="1" applyProtection="1">
      <alignment horizontal="left" vertical="center" wrapText="1"/>
    </xf>
    <xf numFmtId="0" fontId="124" fillId="5" borderId="7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/>
    </xf>
    <xf numFmtId="0" fontId="124" fillId="5" borderId="68" xfId="0" applyFont="1" applyFill="1" applyBorder="1" applyAlignment="1" applyProtection="1">
      <alignment vertical="center" wrapText="1"/>
    </xf>
    <xf numFmtId="0" fontId="124" fillId="5" borderId="70" xfId="0" applyFont="1" applyFill="1" applyBorder="1" applyAlignment="1" applyProtection="1">
      <alignment vertical="center" wrapText="1"/>
    </xf>
    <xf numFmtId="0" fontId="128" fillId="5" borderId="80" xfId="0" applyFont="1" applyFill="1" applyBorder="1" applyAlignment="1" applyProtection="1">
      <alignment vertical="center" wrapText="1"/>
    </xf>
    <xf numFmtId="0" fontId="128" fillId="5" borderId="13" xfId="0" applyFont="1" applyFill="1" applyBorder="1" applyAlignment="1" applyProtection="1">
      <alignment horizontal="left" vertical="center" wrapText="1"/>
    </xf>
    <xf numFmtId="0" fontId="128" fillId="5" borderId="11" xfId="0" applyFont="1" applyFill="1" applyBorder="1" applyAlignment="1" applyProtection="1">
      <alignment horizontal="center" vertical="center" wrapText="1"/>
    </xf>
    <xf numFmtId="0" fontId="128" fillId="5" borderId="13" xfId="0" applyFont="1" applyFill="1" applyBorder="1" applyAlignment="1" applyProtection="1">
      <alignment horizontal="center" vertical="center" wrapText="1"/>
    </xf>
    <xf numFmtId="0" fontId="124" fillId="5" borderId="3" xfId="0" applyFont="1" applyFill="1" applyBorder="1" applyAlignment="1" applyProtection="1">
      <alignment horizontal="left" vertical="center" wrapText="1"/>
    </xf>
    <xf numFmtId="0" fontId="132" fillId="5" borderId="2" xfId="0" applyFont="1" applyFill="1" applyBorder="1" applyAlignment="1" applyProtection="1">
      <alignment vertical="center"/>
    </xf>
    <xf numFmtId="0" fontId="130" fillId="5" borderId="50" xfId="0" applyFont="1" applyFill="1" applyBorder="1" applyAlignment="1" applyProtection="1">
      <alignment vertical="center"/>
    </xf>
    <xf numFmtId="0" fontId="130" fillId="5" borderId="41" xfId="0" applyFont="1" applyFill="1" applyBorder="1" applyAlignment="1" applyProtection="1">
      <alignment vertical="center"/>
    </xf>
    <xf numFmtId="0" fontId="129" fillId="8" borderId="0" xfId="0" applyFont="1" applyFill="1" applyAlignment="1" applyProtection="1">
      <alignment vertical="center" wrapText="1"/>
      <protection locked="0"/>
    </xf>
    <xf numFmtId="0" fontId="133" fillId="5" borderId="3" xfId="0" applyFont="1" applyFill="1" applyBorder="1" applyAlignment="1" applyProtection="1">
      <alignment horizontal="left" vertical="center" wrapText="1"/>
    </xf>
    <xf numFmtId="0" fontId="124" fillId="5" borderId="1" xfId="0" applyFont="1" applyFill="1" applyBorder="1" applyAlignment="1" applyProtection="1">
      <alignment vertical="center"/>
    </xf>
    <xf numFmtId="0" fontId="132" fillId="5" borderId="61" xfId="0" applyFont="1" applyFill="1" applyBorder="1" applyAlignment="1" applyProtection="1">
      <alignment vertical="center"/>
    </xf>
    <xf numFmtId="0" fontId="124" fillId="5" borderId="0" xfId="0" applyFont="1" applyFill="1" applyBorder="1" applyAlignment="1" applyProtection="1">
      <alignment vertical="center" wrapText="1"/>
    </xf>
    <xf numFmtId="0" fontId="124" fillId="5" borderId="51" xfId="0" applyFont="1" applyFill="1" applyBorder="1" applyAlignment="1" applyProtection="1">
      <alignment vertical="center" wrapText="1"/>
    </xf>
    <xf numFmtId="0" fontId="133" fillId="5" borderId="25" xfId="0" applyFont="1" applyFill="1" applyBorder="1" applyAlignment="1" applyProtection="1">
      <alignment horizontal="left" vertical="center" wrapText="1"/>
    </xf>
    <xf numFmtId="0" fontId="124" fillId="5" borderId="18" xfId="0" applyFont="1" applyFill="1" applyBorder="1" applyAlignment="1" applyProtection="1">
      <alignment vertical="center"/>
    </xf>
    <xf numFmtId="10" fontId="111" fillId="8" borderId="0" xfId="0" applyNumberFormat="1" applyFont="1" applyFill="1" applyAlignment="1" applyProtection="1">
      <alignment horizontal="center" vertical="center" wrapText="1"/>
      <protection locked="0"/>
    </xf>
    <xf numFmtId="10" fontId="111" fillId="0" borderId="0" xfId="0" applyNumberFormat="1" applyFont="1" applyAlignment="1" applyProtection="1">
      <alignment horizontal="center" vertical="center" wrapText="1"/>
    </xf>
    <xf numFmtId="0" fontId="124" fillId="5" borderId="54" xfId="0" applyFont="1" applyFill="1" applyBorder="1" applyAlignment="1" applyProtection="1">
      <alignment vertical="center" wrapText="1"/>
      <protection locked="0"/>
    </xf>
    <xf numFmtId="0" fontId="124" fillId="6" borderId="59" xfId="0" applyFont="1" applyFill="1" applyBorder="1" applyAlignment="1" applyProtection="1">
      <alignment horizontal="center" vertical="center" wrapText="1"/>
      <protection locked="0"/>
    </xf>
    <xf numFmtId="0" fontId="111" fillId="5" borderId="47" xfId="0" applyFont="1" applyFill="1" applyBorder="1" applyAlignment="1" applyProtection="1">
      <alignment vertical="center" wrapText="1"/>
      <protection locked="0"/>
    </xf>
    <xf numFmtId="0" fontId="111" fillId="0" borderId="0" xfId="0" applyFont="1" applyAlignment="1" applyProtection="1">
      <alignment horizontal="left" vertical="center" wrapText="1"/>
    </xf>
    <xf numFmtId="0" fontId="111" fillId="5" borderId="53" xfId="0" applyFont="1" applyFill="1" applyBorder="1" applyAlignment="1" applyProtection="1">
      <alignment horizontal="center" vertical="center" wrapText="1"/>
    </xf>
    <xf numFmtId="0" fontId="129" fillId="5" borderId="4" xfId="0" applyFont="1" applyFill="1" applyBorder="1" applyAlignment="1" applyProtection="1">
      <alignment horizontal="center" vertical="center" wrapText="1"/>
    </xf>
    <xf numFmtId="0" fontId="129" fillId="5" borderId="28" xfId="0" applyFont="1" applyFill="1" applyBorder="1" applyAlignment="1" applyProtection="1">
      <alignment horizontal="center" vertical="center" wrapText="1"/>
    </xf>
    <xf numFmtId="0" fontId="111" fillId="6" borderId="11" xfId="0" applyFont="1" applyFill="1" applyBorder="1" applyAlignment="1" applyProtection="1">
      <alignment horizontal="center" vertical="center" wrapText="1"/>
      <protection locked="0"/>
    </xf>
    <xf numFmtId="0" fontId="111" fillId="5" borderId="11" xfId="0" applyFont="1" applyFill="1" applyBorder="1" applyAlignment="1" applyProtection="1">
      <alignment horizontal="center" vertical="center" wrapText="1"/>
    </xf>
    <xf numFmtId="0" fontId="129" fillId="5" borderId="7" xfId="0" applyFont="1" applyFill="1" applyBorder="1" applyAlignment="1" applyProtection="1">
      <alignment horizontal="center" vertical="center" wrapText="1"/>
    </xf>
    <xf numFmtId="0" fontId="129" fillId="5" borderId="8" xfId="0" applyFont="1" applyFill="1" applyBorder="1" applyAlignment="1" applyProtection="1">
      <alignment horizontal="center" vertical="center" wrapText="1"/>
    </xf>
    <xf numFmtId="0" fontId="111" fillId="8" borderId="0" xfId="0" applyFont="1" applyFill="1" applyAlignment="1" applyProtection="1">
      <alignment horizontal="left" vertical="center" wrapText="1"/>
      <protection locked="0"/>
    </xf>
    <xf numFmtId="185" fontId="76" fillId="5" borderId="0" xfId="0" applyNumberFormat="1" applyFont="1" applyFill="1" applyAlignment="1" applyProtection="1">
      <alignment horizontal="center" vertical="center" wrapText="1"/>
    </xf>
    <xf numFmtId="0" fontId="76" fillId="5" borderId="0" xfId="0" applyFont="1" applyFill="1" applyProtection="1">
      <alignment vertical="center"/>
    </xf>
    <xf numFmtId="0" fontId="76" fillId="5" borderId="0" xfId="0" applyFont="1" applyFill="1" applyAlignment="1" applyProtection="1">
      <alignment horizontal="center" vertical="center"/>
    </xf>
    <xf numFmtId="0" fontId="76" fillId="5" borderId="37" xfId="0" applyFont="1" applyFill="1" applyBorder="1" applyProtection="1">
      <alignment vertical="center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111" fillId="5" borderId="6" xfId="0" applyFont="1" applyFill="1" applyBorder="1" applyAlignment="1" applyProtection="1">
      <alignment horizontal="center" vertical="center" wrapText="1"/>
    </xf>
    <xf numFmtId="0" fontId="135" fillId="5" borderId="1" xfId="0" applyNumberFormat="1" applyFont="1" applyFill="1" applyBorder="1" applyAlignment="1" applyProtection="1">
      <alignment horizontal="center" vertical="center" wrapText="1"/>
    </xf>
    <xf numFmtId="0" fontId="92" fillId="6" borderId="1" xfId="0" applyFont="1" applyFill="1" applyBorder="1" applyAlignment="1" applyProtection="1">
      <alignment horizontal="center" vertical="center" wrapText="1"/>
      <protection locked="0"/>
    </xf>
    <xf numFmtId="0" fontId="111" fillId="8" borderId="0" xfId="0" applyFont="1" applyFill="1" applyAlignment="1" applyProtection="1">
      <alignment vertical="center" wrapText="1"/>
    </xf>
    <xf numFmtId="0" fontId="76" fillId="0" borderId="0" xfId="0" applyNumberFormat="1" applyFont="1" applyProtection="1">
      <alignment vertical="center"/>
    </xf>
    <xf numFmtId="0" fontId="111" fillId="5" borderId="7" xfId="0" applyNumberFormat="1" applyFont="1" applyFill="1" applyBorder="1" applyAlignment="1" applyProtection="1">
      <alignment horizontal="center" vertical="center" wrapText="1"/>
    </xf>
    <xf numFmtId="0" fontId="111" fillId="5" borderId="8" xfId="0" applyNumberFormat="1" applyFont="1" applyFill="1" applyBorder="1" applyAlignment="1" applyProtection="1">
      <alignment horizontal="center" vertical="center" wrapText="1"/>
    </xf>
    <xf numFmtId="0" fontId="76" fillId="5" borderId="22" xfId="0" applyFont="1" applyFill="1" applyBorder="1" applyAlignment="1" applyProtection="1">
      <alignment horizontal="right" vertical="center"/>
    </xf>
    <xf numFmtId="0" fontId="76" fillId="5" borderId="55" xfId="0" applyFont="1" applyFill="1" applyBorder="1" applyAlignment="1" applyProtection="1">
      <alignment horizontal="center" vertical="center"/>
    </xf>
    <xf numFmtId="0" fontId="76" fillId="5" borderId="4" xfId="0" applyFont="1" applyFill="1" applyBorder="1" applyAlignment="1" applyProtection="1">
      <alignment horizontal="center" vertical="center"/>
    </xf>
    <xf numFmtId="178" fontId="76" fillId="5" borderId="11" xfId="0" applyNumberFormat="1" applyFont="1" applyFill="1" applyBorder="1" applyAlignment="1" applyProtection="1">
      <alignment horizontal="center" vertical="center"/>
    </xf>
    <xf numFmtId="178" fontId="76" fillId="5" borderId="13" xfId="0" applyNumberFormat="1" applyFont="1" applyFill="1" applyBorder="1" applyAlignment="1" applyProtection="1">
      <alignment horizontal="center" vertical="center"/>
    </xf>
    <xf numFmtId="178" fontId="76" fillId="5" borderId="1" xfId="0" applyNumberFormat="1" applyFont="1" applyFill="1" applyBorder="1" applyAlignment="1" applyProtection="1">
      <alignment horizontal="center" vertical="center"/>
    </xf>
    <xf numFmtId="178" fontId="76" fillId="5" borderId="2" xfId="0" applyNumberFormat="1" applyFont="1" applyFill="1" applyBorder="1" applyAlignment="1" applyProtection="1">
      <alignment horizontal="center" vertical="center"/>
    </xf>
    <xf numFmtId="0" fontId="76" fillId="5" borderId="8" xfId="0" applyFont="1" applyFill="1" applyBorder="1" applyAlignment="1" applyProtection="1">
      <alignment horizontal="center" vertical="center"/>
    </xf>
    <xf numFmtId="178" fontId="76" fillId="5" borderId="44" xfId="0" applyNumberFormat="1" applyFont="1" applyFill="1" applyBorder="1" applyAlignment="1" applyProtection="1">
      <alignment horizontal="center" vertical="center"/>
    </xf>
    <xf numFmtId="0" fontId="128" fillId="5" borderId="46" xfId="1" applyFont="1" applyFill="1" applyBorder="1" applyAlignment="1" applyProtection="1">
      <alignment vertical="center"/>
    </xf>
    <xf numFmtId="0" fontId="76" fillId="5" borderId="4" xfId="0" applyNumberFormat="1" applyFont="1" applyFill="1" applyBorder="1" applyAlignment="1" applyProtection="1">
      <alignment horizontal="center" vertical="center"/>
    </xf>
    <xf numFmtId="0" fontId="111" fillId="5" borderId="3" xfId="0" applyNumberFormat="1" applyFont="1" applyFill="1" applyBorder="1" applyAlignment="1" applyProtection="1">
      <alignment horizontal="left" vertical="center" wrapText="1"/>
    </xf>
    <xf numFmtId="0" fontId="76" fillId="5" borderId="7" xfId="0" applyNumberFormat="1" applyFont="1" applyFill="1" applyBorder="1" applyAlignment="1" applyProtection="1">
      <alignment horizontal="center" vertical="center"/>
    </xf>
    <xf numFmtId="0" fontId="128" fillId="5" borderId="18" xfId="1" applyFont="1" applyFill="1" applyBorder="1" applyAlignment="1" applyProtection="1">
      <alignment vertical="center"/>
    </xf>
    <xf numFmtId="0" fontId="111" fillId="5" borderId="1" xfId="0" applyFont="1" applyFill="1" applyBorder="1" applyAlignment="1" applyProtection="1">
      <alignment horizontal="left" vertical="center" wrapText="1"/>
    </xf>
    <xf numFmtId="0" fontId="136" fillId="5" borderId="18" xfId="0" applyFont="1" applyFill="1" applyBorder="1" applyAlignment="1" applyProtection="1">
      <alignment horizontal="center" vertical="center" wrapText="1"/>
    </xf>
    <xf numFmtId="0" fontId="136" fillId="5" borderId="18" xfId="0" applyFont="1" applyFill="1" applyBorder="1" applyAlignment="1" applyProtection="1">
      <alignment horizontal="left" vertical="center" wrapText="1"/>
    </xf>
    <xf numFmtId="0" fontId="136" fillId="5" borderId="36" xfId="0" applyFont="1" applyFill="1" applyBorder="1" applyAlignment="1" applyProtection="1">
      <alignment vertical="center" wrapText="1"/>
    </xf>
    <xf numFmtId="0" fontId="129" fillId="5" borderId="36" xfId="0" applyFont="1" applyFill="1" applyBorder="1" applyAlignment="1" applyProtection="1">
      <alignment vertical="center" wrapText="1"/>
    </xf>
    <xf numFmtId="0" fontId="129" fillId="5" borderId="27" xfId="0" applyFont="1" applyFill="1" applyBorder="1" applyAlignment="1" applyProtection="1">
      <alignment vertical="center" wrapText="1"/>
    </xf>
    <xf numFmtId="0" fontId="112" fillId="5" borderId="9" xfId="0" applyFont="1" applyFill="1" applyBorder="1" applyAlignment="1" applyProtection="1">
      <alignment horizontal="center" vertical="center" wrapText="1"/>
    </xf>
    <xf numFmtId="0" fontId="112" fillId="5" borderId="63" xfId="0" applyFont="1" applyFill="1" applyBorder="1" applyAlignment="1" applyProtection="1">
      <alignment horizontal="left" vertical="center" wrapText="1"/>
    </xf>
    <xf numFmtId="0" fontId="101" fillId="5" borderId="14" xfId="0" applyFont="1" applyFill="1" applyBorder="1" applyAlignment="1" applyProtection="1">
      <alignment vertical="center"/>
    </xf>
    <xf numFmtId="0" fontId="112" fillId="5" borderId="63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vertical="center" wrapText="1"/>
    </xf>
    <xf numFmtId="0" fontId="111" fillId="5" borderId="78" xfId="0" applyFont="1" applyFill="1" applyBorder="1" applyAlignment="1" applyProtection="1">
      <alignment vertical="center" wrapText="1"/>
    </xf>
    <xf numFmtId="0" fontId="112" fillId="5" borderId="11" xfId="0" applyFont="1" applyFill="1" applyBorder="1" applyAlignment="1" applyProtection="1">
      <alignment horizontal="left" vertical="center" wrapText="1"/>
    </xf>
    <xf numFmtId="0" fontId="111" fillId="5" borderId="37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11" fillId="5" borderId="76" xfId="0" applyFont="1" applyFill="1" applyBorder="1" applyAlignment="1" applyProtection="1">
      <alignment vertical="center" wrapText="1"/>
    </xf>
    <xf numFmtId="0" fontId="111" fillId="5" borderId="17" xfId="0" applyFont="1" applyFill="1" applyBorder="1" applyAlignment="1" applyProtection="1">
      <alignment horizontal="center" vertical="center" wrapText="1"/>
    </xf>
    <xf numFmtId="0" fontId="111" fillId="5" borderId="50" xfId="0" applyFont="1" applyFill="1" applyBorder="1" applyAlignment="1" applyProtection="1">
      <alignment vertical="center" wrapText="1"/>
    </xf>
    <xf numFmtId="0" fontId="111" fillId="5" borderId="41" xfId="0" applyFont="1" applyFill="1" applyBorder="1" applyAlignment="1" applyProtection="1">
      <alignment vertical="center" wrapText="1"/>
    </xf>
    <xf numFmtId="0" fontId="111" fillId="5" borderId="18" xfId="0" applyFont="1" applyFill="1" applyBorder="1" applyAlignment="1" applyProtection="1">
      <alignment horizontal="left" vertical="center" wrapText="1"/>
    </xf>
    <xf numFmtId="0" fontId="111" fillId="5" borderId="36" xfId="0" applyFont="1" applyFill="1" applyBorder="1" applyAlignment="1" applyProtection="1">
      <alignment vertical="center" wrapText="1"/>
    </xf>
    <xf numFmtId="0" fontId="111" fillId="5" borderId="77" xfId="0" applyFont="1" applyFill="1" applyBorder="1" applyAlignment="1" applyProtection="1">
      <alignment vertical="center" wrapText="1"/>
    </xf>
    <xf numFmtId="0" fontId="112" fillId="5" borderId="55" xfId="0" applyFont="1" applyFill="1" applyBorder="1" applyAlignment="1" applyProtection="1">
      <alignment horizontal="left" vertical="center" wrapText="1"/>
    </xf>
    <xf numFmtId="0" fontId="111" fillId="5" borderId="13" xfId="0" applyFont="1" applyFill="1" applyBorder="1" applyAlignment="1" applyProtection="1">
      <alignment vertical="center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46" xfId="0" applyFont="1" applyFill="1" applyBorder="1" applyAlignment="1" applyProtection="1">
      <alignment vertical="center" wrapText="1"/>
    </xf>
    <xf numFmtId="0" fontId="111" fillId="5" borderId="38" xfId="0" applyFont="1" applyFill="1" applyBorder="1" applyAlignment="1" applyProtection="1">
      <alignment vertical="center" wrapText="1"/>
    </xf>
    <xf numFmtId="0" fontId="76" fillId="5" borderId="8" xfId="0" applyNumberFormat="1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0" fontId="111" fillId="0" borderId="1" xfId="0" applyFont="1" applyFill="1" applyBorder="1" applyAlignment="1" applyProtection="1">
      <alignment horizontal="center" vertical="center"/>
      <protection locked="0"/>
    </xf>
    <xf numFmtId="0" fontId="111" fillId="0" borderId="6" xfId="0" applyFont="1" applyFill="1" applyBorder="1" applyAlignment="1" applyProtection="1">
      <alignment horizontal="center" vertical="center" wrapText="1"/>
      <protection locked="0"/>
    </xf>
    <xf numFmtId="0" fontId="92" fillId="5" borderId="17" xfId="0" applyFont="1" applyFill="1" applyBorder="1" applyAlignment="1" applyProtection="1">
      <alignment horizontal="left" vertical="center" wrapText="1"/>
    </xf>
    <xf numFmtId="0" fontId="92" fillId="6" borderId="3" xfId="0" applyFont="1" applyFill="1" applyBorder="1" applyAlignment="1" applyProtection="1">
      <alignment horizontal="center" vertical="center" wrapText="1"/>
      <protection locked="0"/>
    </xf>
    <xf numFmtId="0" fontId="92" fillId="6" borderId="17" xfId="0" applyFont="1" applyFill="1" applyBorder="1" applyAlignment="1" applyProtection="1">
      <alignment horizontal="center" vertical="center" wrapText="1"/>
      <protection locked="0"/>
    </xf>
    <xf numFmtId="0" fontId="137" fillId="5" borderId="61" xfId="0" applyFont="1" applyFill="1" applyBorder="1" applyAlignment="1" applyProtection="1">
      <alignment vertical="center"/>
    </xf>
    <xf numFmtId="0" fontId="111" fillId="5" borderId="0" xfId="0" applyFont="1" applyFill="1" applyBorder="1" applyAlignment="1" applyProtection="1">
      <alignment vertical="center" wrapText="1"/>
    </xf>
    <xf numFmtId="0" fontId="101" fillId="5" borderId="62" xfId="0" applyFont="1" applyFill="1" applyBorder="1" applyAlignment="1" applyProtection="1">
      <alignment vertical="center"/>
    </xf>
    <xf numFmtId="0" fontId="101" fillId="5" borderId="65" xfId="0" applyFont="1" applyFill="1" applyBorder="1" applyAlignment="1" applyProtection="1">
      <alignment vertical="center"/>
    </xf>
    <xf numFmtId="0" fontId="92" fillId="5" borderId="68" xfId="0" applyFont="1" applyFill="1" applyBorder="1" applyAlignment="1" applyProtection="1">
      <alignment horizontal="left" vertical="center" wrapText="1"/>
    </xf>
    <xf numFmtId="0" fontId="111" fillId="5" borderId="23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horizontal="center" vertical="center" wrapText="1"/>
      <protection locked="0"/>
    </xf>
    <xf numFmtId="0" fontId="111" fillId="5" borderId="7" xfId="0" applyFont="1" applyFill="1" applyBorder="1" applyAlignment="1" applyProtection="1">
      <alignment horizontal="center" vertical="center" wrapText="1"/>
    </xf>
    <xf numFmtId="9" fontId="111" fillId="5" borderId="8" xfId="0" applyNumberFormat="1" applyFont="1" applyFill="1" applyBorder="1" applyAlignment="1" applyProtection="1">
      <alignment horizontal="center" vertical="center" wrapText="1"/>
    </xf>
    <xf numFmtId="0" fontId="136" fillId="5" borderId="9" xfId="0" applyFont="1" applyFill="1" applyBorder="1" applyAlignment="1" applyProtection="1">
      <alignment horizontal="center" vertical="center" wrapText="1"/>
    </xf>
    <xf numFmtId="0" fontId="136" fillId="5" borderId="80" xfId="0" applyFont="1" applyFill="1" applyBorder="1" applyAlignment="1" applyProtection="1">
      <alignment horizontal="left" vertical="center" wrapText="1"/>
    </xf>
    <xf numFmtId="0" fontId="136" fillId="5" borderId="22" xfId="0" applyFont="1" applyFill="1" applyBorder="1" applyAlignment="1" applyProtection="1">
      <alignment horizontal="center" vertical="center" wrapText="1"/>
    </xf>
    <xf numFmtId="0" fontId="136" fillId="5" borderId="55" xfId="0" applyFont="1" applyFill="1" applyBorder="1" applyAlignment="1" applyProtection="1">
      <alignment horizontal="left" vertical="center" wrapText="1"/>
    </xf>
    <xf numFmtId="0" fontId="136" fillId="5" borderId="4" xfId="0" applyFont="1" applyFill="1" applyBorder="1" applyAlignment="1" applyProtection="1">
      <alignment horizontal="center" vertical="center" wrapText="1"/>
    </xf>
    <xf numFmtId="0" fontId="136" fillId="6" borderId="11" xfId="0" applyFont="1" applyFill="1" applyBorder="1" applyAlignment="1" applyProtection="1">
      <alignment horizontal="left" vertical="center" wrapText="1"/>
      <protection locked="0"/>
    </xf>
    <xf numFmtId="0" fontId="129" fillId="5" borderId="37" xfId="0" applyFont="1" applyFill="1" applyBorder="1" applyAlignment="1" applyProtection="1">
      <alignment vertical="center" wrapText="1"/>
    </xf>
    <xf numFmtId="0" fontId="129" fillId="5" borderId="31" xfId="0" applyFont="1" applyFill="1" applyBorder="1" applyAlignment="1" applyProtection="1">
      <alignment vertical="center" wrapText="1"/>
    </xf>
    <xf numFmtId="0" fontId="129" fillId="5" borderId="16" xfId="0" applyFont="1" applyFill="1" applyBorder="1" applyAlignment="1" applyProtection="1">
      <alignment horizontal="center" vertical="center" wrapText="1"/>
    </xf>
    <xf numFmtId="0" fontId="129" fillId="5" borderId="1" xfId="0" applyFont="1" applyFill="1" applyBorder="1" applyAlignment="1" applyProtection="1">
      <alignment horizontal="left" vertical="center" wrapText="1"/>
    </xf>
    <xf numFmtId="0" fontId="136" fillId="5" borderId="17" xfId="0" applyFont="1" applyFill="1" applyBorder="1" applyAlignment="1" applyProtection="1">
      <alignment horizontal="center" vertical="center" wrapText="1"/>
    </xf>
    <xf numFmtId="185" fontId="111" fillId="5" borderId="48" xfId="0" applyNumberFormat="1" applyFont="1" applyFill="1" applyBorder="1" applyAlignment="1" applyProtection="1">
      <alignment horizontal="center" vertical="center" wrapText="1"/>
    </xf>
    <xf numFmtId="185" fontId="111" fillId="5" borderId="58" xfId="0" applyNumberFormat="1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vertical="center" wrapText="1"/>
    </xf>
    <xf numFmtId="0" fontId="129" fillId="5" borderId="1" xfId="0" applyFont="1" applyFill="1" applyBorder="1" applyAlignment="1" applyProtection="1">
      <alignment vertical="center" wrapText="1"/>
    </xf>
    <xf numFmtId="0" fontId="129" fillId="5" borderId="6" xfId="0" applyFont="1" applyFill="1" applyBorder="1" applyAlignment="1" applyProtection="1">
      <alignment vertical="center" wrapText="1"/>
    </xf>
    <xf numFmtId="0" fontId="136" fillId="5" borderId="8" xfId="0" applyFont="1" applyFill="1" applyBorder="1" applyAlignment="1" applyProtection="1">
      <alignment horizontal="center" vertical="center" wrapText="1"/>
    </xf>
    <xf numFmtId="0" fontId="136" fillId="5" borderId="59" xfId="0" applyFont="1" applyFill="1" applyBorder="1" applyAlignment="1" applyProtection="1">
      <alignment horizontal="left" vertical="center" wrapText="1"/>
    </xf>
    <xf numFmtId="0" fontId="111" fillId="5" borderId="47" xfId="0" applyFont="1" applyFill="1" applyBorder="1" applyAlignment="1" applyProtection="1">
      <alignment vertical="center"/>
    </xf>
    <xf numFmtId="0" fontId="129" fillId="5" borderId="59" xfId="0" applyFont="1" applyFill="1" applyBorder="1" applyAlignment="1" applyProtection="1">
      <alignment vertical="center" wrapText="1"/>
    </xf>
    <xf numFmtId="0" fontId="129" fillId="5" borderId="43" xfId="0" applyFont="1" applyFill="1" applyBorder="1" applyAlignment="1" applyProtection="1">
      <alignment vertical="center" wrapText="1"/>
    </xf>
    <xf numFmtId="0" fontId="136" fillId="5" borderId="13" xfId="0" applyFont="1" applyFill="1" applyBorder="1" applyAlignment="1" applyProtection="1">
      <alignment horizontal="left" vertical="center" wrapText="1"/>
    </xf>
    <xf numFmtId="0" fontId="112" fillId="5" borderId="46" xfId="0" applyFont="1" applyFill="1" applyBorder="1" applyAlignment="1" applyProtection="1">
      <alignment horizontal="center" vertical="center" wrapText="1"/>
    </xf>
    <xf numFmtId="0" fontId="112" fillId="5" borderId="37" xfId="0" applyFont="1" applyFill="1" applyBorder="1" applyAlignment="1" applyProtection="1">
      <alignment vertical="center" wrapText="1"/>
    </xf>
    <xf numFmtId="0" fontId="136" fillId="5" borderId="26" xfId="0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vertical="center" wrapText="1"/>
    </xf>
    <xf numFmtId="0" fontId="112" fillId="5" borderId="0" xfId="0" applyFont="1" applyFill="1" applyBorder="1" applyAlignment="1" applyProtection="1">
      <alignment vertical="center" wrapText="1"/>
    </xf>
    <xf numFmtId="0" fontId="111" fillId="5" borderId="51" xfId="0" applyFont="1" applyFill="1" applyBorder="1" applyAlignment="1" applyProtection="1">
      <alignment vertical="center" wrapText="1"/>
    </xf>
    <xf numFmtId="0" fontId="129" fillId="5" borderId="0" xfId="0" applyFont="1" applyFill="1" applyBorder="1" applyAlignment="1" applyProtection="1">
      <alignment horizontal="left" vertical="center" wrapText="1"/>
    </xf>
    <xf numFmtId="0" fontId="111" fillId="5" borderId="69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2" fillId="5" borderId="40" xfId="0" applyFont="1" applyFill="1" applyBorder="1" applyAlignment="1" applyProtection="1">
      <alignment vertical="center" wrapText="1"/>
    </xf>
    <xf numFmtId="0" fontId="111" fillId="5" borderId="30" xfId="0" applyFont="1" applyFill="1" applyBorder="1" applyAlignment="1" applyProtection="1">
      <alignment vertical="center" wrapText="1"/>
    </xf>
    <xf numFmtId="0" fontId="112" fillId="5" borderId="28" xfId="0" applyFont="1" applyFill="1" applyBorder="1" applyAlignment="1" applyProtection="1">
      <alignment vertical="center" wrapText="1"/>
    </xf>
    <xf numFmtId="0" fontId="136" fillId="5" borderId="11" xfId="0" applyFont="1" applyFill="1" applyBorder="1" applyAlignment="1" applyProtection="1">
      <alignment horizontal="center" vertical="center" wrapText="1"/>
    </xf>
    <xf numFmtId="0" fontId="136" fillId="5" borderId="13" xfId="0" applyFont="1" applyFill="1" applyBorder="1" applyAlignment="1" applyProtection="1">
      <alignment horizontal="center" vertical="center" wrapText="1"/>
    </xf>
    <xf numFmtId="0" fontId="112" fillId="5" borderId="13" xfId="0" applyFont="1" applyFill="1" applyBorder="1" applyAlignment="1" applyProtection="1">
      <alignment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111" fillId="5" borderId="3" xfId="0" applyFont="1" applyFill="1" applyBorder="1" applyAlignment="1" applyProtection="1">
      <alignment horizontal="left" vertical="center" wrapText="1"/>
    </xf>
    <xf numFmtId="0" fontId="92" fillId="5" borderId="41" xfId="0" applyFont="1" applyFill="1" applyBorder="1" applyAlignment="1" applyProtection="1">
      <alignment vertical="center"/>
    </xf>
    <xf numFmtId="0" fontId="112" fillId="5" borderId="42" xfId="0" applyFont="1" applyFill="1" applyBorder="1" applyAlignment="1" applyProtection="1">
      <alignment vertical="center" wrapText="1"/>
    </xf>
    <xf numFmtId="0" fontId="111" fillId="5" borderId="54" xfId="0" applyFont="1" applyFill="1" applyBorder="1" applyAlignment="1" applyProtection="1">
      <alignment horizontal="left" vertical="center" wrapText="1"/>
    </xf>
    <xf numFmtId="0" fontId="111" fillId="5" borderId="59" xfId="0" applyFont="1" applyFill="1" applyBorder="1" applyAlignment="1" applyProtection="1">
      <alignment vertical="center"/>
    </xf>
    <xf numFmtId="0" fontId="111" fillId="5" borderId="47" xfId="0" applyFont="1" applyFill="1" applyBorder="1" applyAlignment="1" applyProtection="1">
      <alignment vertical="center" wrapText="1"/>
    </xf>
    <xf numFmtId="0" fontId="111" fillId="5" borderId="60" xfId="0" applyFont="1" applyFill="1" applyBorder="1" applyAlignment="1" applyProtection="1">
      <alignment vertical="center" wrapText="1"/>
    </xf>
    <xf numFmtId="0" fontId="112" fillId="5" borderId="22" xfId="0" applyFont="1" applyFill="1" applyBorder="1" applyAlignment="1" applyProtection="1">
      <alignment vertical="center" wrapText="1"/>
    </xf>
    <xf numFmtId="0" fontId="111" fillId="5" borderId="46" xfId="0" applyFont="1" applyFill="1" applyBorder="1" applyAlignment="1" applyProtection="1">
      <alignment vertical="center"/>
    </xf>
    <xf numFmtId="0" fontId="111" fillId="5" borderId="28" xfId="0" applyFont="1" applyFill="1" applyBorder="1" applyAlignment="1" applyProtection="1">
      <alignment vertical="center"/>
    </xf>
    <xf numFmtId="0" fontId="112" fillId="5" borderId="24" xfId="0" applyFont="1" applyFill="1" applyBorder="1" applyAlignment="1" applyProtection="1">
      <alignment vertical="center" wrapText="1"/>
    </xf>
    <xf numFmtId="0" fontId="136" fillId="5" borderId="3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 wrapText="1"/>
    </xf>
    <xf numFmtId="0" fontId="111" fillId="5" borderId="34" xfId="0" applyFont="1" applyFill="1" applyBorder="1" applyAlignment="1" applyProtection="1">
      <alignment vertical="center"/>
    </xf>
    <xf numFmtId="0" fontId="112" fillId="5" borderId="26" xfId="0" applyFont="1" applyFill="1" applyBorder="1" applyAlignment="1" applyProtection="1">
      <alignment vertical="center" wrapText="1"/>
    </xf>
    <xf numFmtId="0" fontId="92" fillId="5" borderId="24" xfId="0" applyFont="1" applyFill="1" applyBorder="1" applyAlignment="1" applyProtection="1">
      <alignment horizontal="center" vertical="center" wrapText="1"/>
    </xf>
    <xf numFmtId="0" fontId="111" fillId="5" borderId="51" xfId="0" applyFont="1" applyFill="1" applyBorder="1" applyAlignment="1" applyProtection="1">
      <alignment horizontal="center" vertical="center" wrapText="1"/>
    </xf>
    <xf numFmtId="0" fontId="111" fillId="0" borderId="0" xfId="0" applyFont="1" applyAlignment="1" applyProtection="1">
      <alignment vertical="center" wrapText="1"/>
      <protection locked="0"/>
    </xf>
    <xf numFmtId="0" fontId="111" fillId="5" borderId="5" xfId="0" applyFont="1" applyFill="1" applyBorder="1" applyAlignment="1" applyProtection="1">
      <alignment vertical="center"/>
    </xf>
    <xf numFmtId="0" fontId="111" fillId="5" borderId="7" xfId="0" applyFont="1" applyFill="1" applyBorder="1" applyAlignment="1" applyProtection="1">
      <alignment vertical="center"/>
    </xf>
    <xf numFmtId="9" fontId="111" fillId="5" borderId="6" xfId="0" applyNumberFormat="1" applyFont="1" applyFill="1" applyBorder="1" applyAlignment="1" applyProtection="1">
      <alignment horizontal="center" vertical="center"/>
    </xf>
    <xf numFmtId="0" fontId="92" fillId="5" borderId="54" xfId="0" applyFont="1" applyFill="1" applyBorder="1" applyAlignment="1" applyProtection="1">
      <alignment horizontal="center" vertical="center" wrapText="1"/>
    </xf>
    <xf numFmtId="0" fontId="111" fillId="5" borderId="30" xfId="0" applyFont="1" applyFill="1" applyBorder="1" applyAlignment="1" applyProtection="1">
      <alignment horizontal="center" vertical="center" wrapText="1"/>
    </xf>
    <xf numFmtId="0" fontId="111" fillId="5" borderId="8" xfId="0" applyFont="1" applyFill="1" applyBorder="1" applyAlignment="1" applyProtection="1">
      <alignment vertical="center" wrapText="1"/>
    </xf>
    <xf numFmtId="9" fontId="111" fillId="5" borderId="43" xfId="0" applyNumberFormat="1" applyFont="1" applyFill="1" applyBorder="1" applyAlignment="1" applyProtection="1">
      <alignment horizontal="center" vertical="center" wrapText="1"/>
    </xf>
    <xf numFmtId="0" fontId="111" fillId="5" borderId="58" xfId="0" applyFont="1" applyFill="1" applyBorder="1" applyAlignment="1" applyProtection="1">
      <alignment horizontal="center" vertical="center" wrapText="1"/>
    </xf>
    <xf numFmtId="0" fontId="101" fillId="5" borderId="1" xfId="0" applyFont="1" applyFill="1" applyBorder="1" applyAlignment="1" applyProtection="1">
      <alignment horizontal="center" vertical="center" wrapText="1"/>
    </xf>
    <xf numFmtId="0" fontId="111" fillId="5" borderId="48" xfId="0" applyNumberFormat="1" applyFont="1" applyFill="1" applyBorder="1" applyAlignment="1" applyProtection="1">
      <alignment horizontal="center" vertical="center" wrapText="1"/>
    </xf>
    <xf numFmtId="0" fontId="111" fillId="5" borderId="55" xfId="0" applyNumberFormat="1" applyFont="1" applyFill="1" applyBorder="1" applyAlignment="1" applyProtection="1">
      <alignment horizontal="center" vertical="center" wrapText="1"/>
    </xf>
    <xf numFmtId="0" fontId="131" fillId="5" borderId="1" xfId="3" applyNumberFormat="1" applyFont="1" applyFill="1" applyBorder="1" applyAlignment="1" applyProtection="1">
      <alignment horizontal="center" vertical="center"/>
    </xf>
    <xf numFmtId="0" fontId="111" fillId="5" borderId="5" xfId="0" applyNumberFormat="1" applyFont="1" applyFill="1" applyBorder="1" applyAlignment="1" applyProtection="1">
      <alignment vertical="center" wrapText="1"/>
    </xf>
    <xf numFmtId="0" fontId="111" fillId="5" borderId="11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/>
    </xf>
    <xf numFmtId="0" fontId="111" fillId="5" borderId="17" xfId="3" applyNumberFormat="1" applyFont="1" applyFill="1" applyBorder="1" applyAlignment="1" applyProtection="1">
      <alignment horizontal="center" vertical="center" wrapText="1"/>
    </xf>
    <xf numFmtId="0" fontId="111" fillId="5" borderId="55" xfId="3" applyNumberFormat="1" applyFont="1" applyFill="1" applyBorder="1" applyAlignment="1" applyProtection="1">
      <alignment horizontal="center" vertical="center"/>
    </xf>
    <xf numFmtId="0" fontId="111" fillId="5" borderId="57" xfId="3" applyNumberFormat="1" applyFont="1" applyFill="1" applyBorder="1" applyAlignment="1" applyProtection="1">
      <alignment horizontal="center" vertical="center"/>
    </xf>
    <xf numFmtId="0" fontId="53" fillId="6" borderId="1" xfId="0" applyFont="1" applyFill="1" applyBorder="1" applyAlignment="1" applyProtection="1">
      <alignment horizontal="center" vertical="center" wrapText="1"/>
      <protection locked="0"/>
    </xf>
    <xf numFmtId="9" fontId="53" fillId="5" borderId="6" xfId="0" applyNumberFormat="1" applyFont="1" applyFill="1" applyBorder="1" applyAlignment="1" applyProtection="1">
      <alignment horizontal="center" vertical="center" wrapText="1"/>
    </xf>
    <xf numFmtId="10" fontId="53" fillId="5" borderId="43" xfId="0" applyNumberFormat="1" applyFont="1" applyFill="1" applyBorder="1" applyAlignment="1" applyProtection="1">
      <alignment horizontal="center" vertical="center" wrapText="1"/>
    </xf>
    <xf numFmtId="10" fontId="53" fillId="8" borderId="0" xfId="0" applyNumberFormat="1" applyFont="1" applyFill="1" applyAlignment="1" applyProtection="1">
      <alignment horizontal="center" vertical="center" wrapText="1"/>
      <protection locked="0"/>
    </xf>
    <xf numFmtId="10" fontId="53" fillId="5" borderId="0" xfId="0" applyNumberFormat="1" applyFont="1" applyFill="1" applyBorder="1" applyAlignment="1" applyProtection="1">
      <alignment horizontal="center" vertical="center" wrapText="1"/>
    </xf>
    <xf numFmtId="10" fontId="53" fillId="5" borderId="0" xfId="0" applyNumberFormat="1" applyFont="1" applyFill="1" applyBorder="1" applyAlignment="1" applyProtection="1">
      <alignment vertical="center" wrapText="1"/>
    </xf>
    <xf numFmtId="184" fontId="85" fillId="5" borderId="1" xfId="0" applyNumberFormat="1" applyFont="1" applyFill="1" applyBorder="1" applyAlignment="1" applyProtection="1">
      <alignment horizontal="center" vertical="center"/>
    </xf>
    <xf numFmtId="185" fontId="85" fillId="5" borderId="1" xfId="0" applyNumberFormat="1" applyFont="1" applyFill="1" applyBorder="1" applyAlignment="1" applyProtection="1">
      <alignment horizontal="center" vertical="center"/>
    </xf>
    <xf numFmtId="177" fontId="102" fillId="5" borderId="1" xfId="0" applyNumberFormat="1" applyFont="1" applyFill="1" applyBorder="1" applyAlignment="1" applyProtection="1">
      <alignment horizontal="center" vertical="center"/>
    </xf>
    <xf numFmtId="185" fontId="102" fillId="5" borderId="1" xfId="0" applyNumberFormat="1" applyFont="1" applyFill="1" applyBorder="1" applyAlignment="1" applyProtection="1">
      <alignment horizontal="center" vertical="center" wrapText="1"/>
    </xf>
    <xf numFmtId="184" fontId="85" fillId="5" borderId="17" xfId="0" applyNumberFormat="1" applyFont="1" applyFill="1" applyBorder="1" applyAlignment="1" applyProtection="1">
      <alignment horizontal="center" vertical="center" wrapText="1"/>
    </xf>
    <xf numFmtId="179" fontId="102" fillId="5" borderId="1" xfId="0" applyNumberFormat="1" applyFont="1" applyFill="1" applyBorder="1" applyAlignment="1" applyProtection="1">
      <alignment horizontal="center" vertical="center"/>
    </xf>
    <xf numFmtId="0" fontId="53" fillId="5" borderId="2" xfId="0" applyFont="1" applyFill="1" applyBorder="1" applyAlignment="1" applyProtection="1">
      <alignment vertical="center"/>
    </xf>
    <xf numFmtId="0" fontId="53" fillId="5" borderId="35" xfId="0" applyFont="1" applyFill="1" applyBorder="1" applyAlignment="1" applyProtection="1">
      <alignment vertical="center"/>
    </xf>
    <xf numFmtId="0" fontId="56" fillId="5" borderId="11" xfId="0" applyFont="1" applyFill="1" applyBorder="1" applyAlignment="1" applyProtection="1">
      <alignment horizontal="center" vertical="center" wrapText="1"/>
    </xf>
    <xf numFmtId="0" fontId="128" fillId="5" borderId="38" xfId="1" applyFont="1" applyFill="1" applyBorder="1" applyAlignment="1" applyProtection="1">
      <alignment vertical="center"/>
    </xf>
    <xf numFmtId="0" fontId="128" fillId="5" borderId="60" xfId="1" applyFont="1" applyFill="1" applyBorder="1" applyAlignment="1" applyProtection="1">
      <alignment vertical="center"/>
    </xf>
    <xf numFmtId="0" fontId="124" fillId="5" borderId="11" xfId="0" applyFont="1" applyFill="1" applyBorder="1" applyAlignment="1" applyProtection="1">
      <alignment horizontal="center" vertical="center"/>
    </xf>
    <xf numFmtId="0" fontId="124" fillId="5" borderId="31" xfId="0" applyFont="1" applyFill="1" applyBorder="1" applyAlignment="1" applyProtection="1">
      <alignment horizontal="center" vertical="center" wrapText="1"/>
    </xf>
    <xf numFmtId="0" fontId="133" fillId="5" borderId="67" xfId="0" applyFont="1" applyFill="1" applyBorder="1" applyAlignment="1" applyProtection="1">
      <alignment horizontal="left" vertical="center" wrapText="1"/>
    </xf>
    <xf numFmtId="0" fontId="56" fillId="5" borderId="7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  <protection locked="0"/>
    </xf>
    <xf numFmtId="0" fontId="53" fillId="5" borderId="5" xfId="0" applyFont="1" applyFill="1" applyBorder="1" applyAlignment="1" applyProtection="1">
      <alignment vertical="center" wrapText="1"/>
    </xf>
    <xf numFmtId="0" fontId="13" fillId="5" borderId="37" xfId="0" applyFont="1" applyFill="1" applyBorder="1" applyAlignment="1" applyProtection="1">
      <alignment horizontal="center" vertical="center" wrapText="1"/>
    </xf>
    <xf numFmtId="0" fontId="53" fillId="5" borderId="37" xfId="0" applyFont="1" applyFill="1" applyBorder="1" applyAlignment="1" applyProtection="1">
      <alignment horizontal="center" vertical="center" wrapText="1"/>
    </xf>
    <xf numFmtId="0" fontId="53" fillId="5" borderId="76" xfId="0" applyFont="1" applyFill="1" applyBorder="1" applyAlignment="1" applyProtection="1">
      <alignment horizontal="center" vertical="center" wrapText="1"/>
    </xf>
    <xf numFmtId="0" fontId="53" fillId="5" borderId="39" xfId="0" applyFont="1" applyFill="1" applyBorder="1" applyAlignment="1" applyProtection="1">
      <alignment vertical="center" wrapText="1"/>
    </xf>
    <xf numFmtId="0" fontId="13" fillId="5" borderId="0" xfId="0" applyFont="1" applyFill="1" applyBorder="1" applyAlignment="1" applyProtection="1">
      <alignment horizontal="center" vertical="center" wrapText="1"/>
    </xf>
    <xf numFmtId="0" fontId="53" fillId="5" borderId="51" xfId="0" applyFont="1" applyFill="1" applyBorder="1" applyAlignment="1" applyProtection="1">
      <alignment horizontal="center" vertical="center" wrapText="1"/>
    </xf>
    <xf numFmtId="0" fontId="53" fillId="5" borderId="29" xfId="0" applyFont="1" applyFill="1" applyBorder="1" applyAlignment="1" applyProtection="1">
      <alignment vertical="center" wrapText="1"/>
    </xf>
    <xf numFmtId="0" fontId="13" fillId="5" borderId="40" xfId="0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>
      <alignment horizontal="center" vertical="center" wrapText="1"/>
    </xf>
    <xf numFmtId="0" fontId="53" fillId="5" borderId="30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3" fillId="5" borderId="39" xfId="0" applyFont="1" applyFill="1" applyBorder="1" applyAlignment="1" applyProtection="1">
      <alignment horizontal="center" vertical="center" wrapText="1"/>
    </xf>
    <xf numFmtId="0" fontId="13" fillId="5" borderId="29" xfId="0" applyFont="1" applyFill="1" applyBorder="1" applyAlignment="1" applyProtection="1">
      <alignment horizontal="center" vertical="center" wrapText="1"/>
    </xf>
    <xf numFmtId="0" fontId="13" fillId="5" borderId="0" xfId="2" applyNumberFormat="1" applyFont="1" applyFill="1" applyAlignment="1">
      <alignment horizontal="center"/>
    </xf>
    <xf numFmtId="0" fontId="13" fillId="5" borderId="1" xfId="2" applyFont="1" applyFill="1" applyBorder="1" applyAlignment="1">
      <alignment horizontal="center"/>
    </xf>
    <xf numFmtId="10" fontId="13" fillId="5" borderId="1" xfId="2" applyNumberFormat="1" applyFont="1" applyFill="1" applyBorder="1" applyAlignment="1">
      <alignment horizontal="center"/>
    </xf>
    <xf numFmtId="0" fontId="13" fillId="5" borderId="0" xfId="2" applyFont="1" applyFill="1"/>
    <xf numFmtId="0" fontId="13" fillId="0" borderId="0" xfId="2" applyFont="1"/>
    <xf numFmtId="0" fontId="13" fillId="5" borderId="0" xfId="2" applyFont="1" applyFill="1" applyAlignment="1">
      <alignment horizontal="right"/>
    </xf>
    <xf numFmtId="14" fontId="13" fillId="5" borderId="0" xfId="2" applyNumberFormat="1" applyFont="1" applyFill="1" applyAlignment="1">
      <alignment horizontal="center"/>
    </xf>
    <xf numFmtId="0" fontId="13" fillId="5" borderId="1" xfId="2" applyFont="1" applyFill="1" applyBorder="1"/>
    <xf numFmtId="0" fontId="125" fillId="5" borderId="1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/>
    </xf>
    <xf numFmtId="0" fontId="140" fillId="5" borderId="0" xfId="2" applyFont="1" applyFill="1"/>
    <xf numFmtId="0" fontId="141" fillId="5" borderId="0" xfId="2" applyFont="1" applyFill="1"/>
    <xf numFmtId="0" fontId="140" fillId="0" borderId="0" xfId="2" applyFont="1"/>
    <xf numFmtId="0" fontId="125" fillId="5" borderId="0" xfId="2" applyFont="1" applyFill="1" applyAlignment="1"/>
    <xf numFmtId="0" fontId="143" fillId="5" borderId="18" xfId="2" applyFont="1" applyFill="1" applyBorder="1" applyAlignment="1">
      <alignment horizontal="center" vertical="center"/>
    </xf>
    <xf numFmtId="0" fontId="143" fillId="5" borderId="18" xfId="2" applyFont="1" applyFill="1" applyBorder="1" applyAlignment="1">
      <alignment vertical="center"/>
    </xf>
    <xf numFmtId="0" fontId="143" fillId="5" borderId="2" xfId="2" applyFont="1" applyFill="1" applyBorder="1" applyAlignment="1">
      <alignment vertical="center"/>
    </xf>
    <xf numFmtId="0" fontId="143" fillId="5" borderId="3" xfId="2" applyFont="1" applyFill="1" applyBorder="1" applyAlignment="1">
      <alignment vertical="center"/>
    </xf>
    <xf numFmtId="0" fontId="143" fillId="5" borderId="50" xfId="2" applyFont="1" applyFill="1" applyBorder="1" applyAlignment="1">
      <alignment vertical="center"/>
    </xf>
    <xf numFmtId="0" fontId="125" fillId="0" borderId="0" xfId="2" applyFont="1" applyAlignment="1"/>
    <xf numFmtId="0" fontId="125" fillId="5" borderId="0" xfId="2" applyFont="1" applyFill="1"/>
    <xf numFmtId="0" fontId="143" fillId="5" borderId="17" xfId="2" applyFont="1" applyFill="1" applyBorder="1" applyAlignment="1">
      <alignment horizontal="center" vertical="center" wrapText="1"/>
    </xf>
    <xf numFmtId="0" fontId="143" fillId="5" borderId="17" xfId="2" applyFont="1" applyFill="1" applyBorder="1" applyAlignment="1">
      <alignment vertical="center" wrapText="1"/>
    </xf>
    <xf numFmtId="0" fontId="143" fillId="5" borderId="1" xfId="2" applyFont="1" applyFill="1" applyBorder="1" applyAlignment="1">
      <alignment horizontal="center" vertical="center" wrapText="1"/>
    </xf>
    <xf numFmtId="0" fontId="125" fillId="0" borderId="0" xfId="2" applyFont="1"/>
    <xf numFmtId="0" fontId="144" fillId="5" borderId="0" xfId="2" applyFont="1" applyFill="1" applyAlignment="1">
      <alignment vertical="center"/>
    </xf>
    <xf numFmtId="0" fontId="144" fillId="5" borderId="1" xfId="2" applyFont="1" applyFill="1" applyBorder="1" applyAlignment="1">
      <alignment horizontal="left" vertical="center" wrapText="1"/>
    </xf>
    <xf numFmtId="189" fontId="74" fillId="5" borderId="1" xfId="2" applyNumberFormat="1" applyFont="1" applyFill="1" applyBorder="1" applyAlignment="1">
      <alignment horizontal="center" vertical="center" wrapText="1"/>
    </xf>
    <xf numFmtId="0" fontId="74" fillId="5" borderId="1" xfId="2" applyFont="1" applyFill="1" applyBorder="1" applyAlignment="1">
      <alignment horizontal="center" vertical="center" wrapText="1"/>
    </xf>
    <xf numFmtId="14" fontId="74" fillId="5" borderId="1" xfId="2" applyNumberFormat="1" applyFont="1" applyFill="1" applyBorder="1" applyAlignment="1">
      <alignment horizontal="center" vertical="center" wrapText="1"/>
    </xf>
    <xf numFmtId="0" fontId="74" fillId="6" borderId="0" xfId="2" applyFont="1" applyFill="1" applyAlignment="1">
      <alignment vertical="center"/>
    </xf>
    <xf numFmtId="0" fontId="13" fillId="5" borderId="1" xfId="2" applyFont="1" applyFill="1" applyBorder="1" applyAlignment="1">
      <alignment horizontal="center" wrapText="1"/>
    </xf>
    <xf numFmtId="14" fontId="13" fillId="5" borderId="1" xfId="2" applyNumberFormat="1" applyFont="1" applyFill="1" applyBorder="1" applyAlignment="1">
      <alignment horizontal="center" wrapText="1"/>
    </xf>
    <xf numFmtId="179" fontId="145" fillId="5" borderId="1" xfId="2" applyNumberFormat="1" applyFont="1" applyFill="1" applyBorder="1" applyAlignment="1">
      <alignment horizontal="center"/>
    </xf>
    <xf numFmtId="14" fontId="108" fillId="5" borderId="1" xfId="2" applyNumberFormat="1" applyFont="1" applyFill="1" applyBorder="1" applyAlignment="1">
      <alignment horizontal="center" wrapText="1"/>
    </xf>
    <xf numFmtId="0" fontId="13" fillId="5" borderId="0" xfId="2" applyFont="1" applyFill="1" applyBorder="1" applyAlignment="1">
      <alignment horizontal="center" wrapText="1"/>
    </xf>
    <xf numFmtId="14" fontId="13" fillId="5" borderId="0" xfId="2" applyNumberFormat="1" applyFont="1" applyFill="1" applyBorder="1" applyAlignment="1">
      <alignment horizontal="center" wrapText="1"/>
    </xf>
    <xf numFmtId="0" fontId="13" fillId="5" borderId="61" xfId="2" applyFont="1" applyFill="1" applyBorder="1" applyAlignment="1">
      <alignment horizontal="center"/>
    </xf>
    <xf numFmtId="0" fontId="125" fillId="5" borderId="17" xfId="2" applyFont="1" applyFill="1" applyBorder="1" applyAlignment="1">
      <alignment horizontal="center" vertical="center" wrapText="1"/>
    </xf>
    <xf numFmtId="0" fontId="13" fillId="5" borderId="17" xfId="2" applyNumberFormat="1" applyFont="1" applyFill="1" applyBorder="1" applyAlignment="1">
      <alignment horizontal="center"/>
    </xf>
    <xf numFmtId="0" fontId="13" fillId="5" borderId="1" xfId="2" applyNumberFormat="1" applyFont="1" applyFill="1" applyBorder="1" applyAlignment="1">
      <alignment horizontal="center"/>
    </xf>
    <xf numFmtId="0" fontId="13" fillId="5" borderId="1" xfId="2" applyFont="1" applyFill="1" applyBorder="1" applyAlignment="1" applyProtection="1">
      <alignment horizontal="center"/>
    </xf>
    <xf numFmtId="0" fontId="13" fillId="5" borderId="18" xfId="2" applyFont="1" applyFill="1" applyBorder="1" applyAlignment="1">
      <alignment horizontal="center"/>
    </xf>
    <xf numFmtId="0" fontId="13" fillId="5" borderId="17" xfId="2" applyFont="1" applyFill="1" applyBorder="1"/>
    <xf numFmtId="0" fontId="13" fillId="5" borderId="35" xfId="2" applyFont="1" applyFill="1" applyBorder="1" applyAlignment="1">
      <alignment horizontal="right"/>
    </xf>
    <xf numFmtId="0" fontId="13" fillId="5" borderId="3" xfId="2" applyFont="1" applyFill="1" applyBorder="1" applyAlignment="1">
      <alignment horizontal="center"/>
    </xf>
    <xf numFmtId="14" fontId="13" fillId="5" borderId="18" xfId="2" applyNumberFormat="1" applyFont="1" applyFill="1" applyBorder="1" applyAlignment="1" applyProtection="1">
      <alignment horizontal="center"/>
    </xf>
    <xf numFmtId="14" fontId="13" fillId="5" borderId="18" xfId="2" applyNumberFormat="1" applyFont="1" applyFill="1" applyBorder="1" applyAlignment="1">
      <alignment horizontal="center"/>
    </xf>
    <xf numFmtId="0" fontId="74" fillId="5" borderId="0" xfId="2" applyFont="1" applyFill="1" applyAlignment="1">
      <alignment vertical="center"/>
    </xf>
    <xf numFmtId="0" fontId="13" fillId="5" borderId="81" xfId="2" applyFont="1" applyFill="1" applyBorder="1" applyAlignment="1">
      <alignment horizontal="right"/>
    </xf>
    <xf numFmtId="14" fontId="13" fillId="5" borderId="71" xfId="2" applyNumberFormat="1" applyFont="1" applyFill="1" applyBorder="1" applyAlignment="1">
      <alignment horizontal="center"/>
    </xf>
    <xf numFmtId="0" fontId="13" fillId="5" borderId="96" xfId="2" applyFont="1" applyFill="1" applyBorder="1" applyAlignment="1">
      <alignment horizontal="center"/>
    </xf>
    <xf numFmtId="0" fontId="13" fillId="5" borderId="72" xfId="2" applyFont="1" applyFill="1" applyBorder="1" applyAlignment="1">
      <alignment horizontal="center"/>
    </xf>
    <xf numFmtId="10" fontId="13" fillId="5" borderId="72" xfId="2" applyNumberFormat="1" applyFont="1" applyFill="1" applyBorder="1" applyAlignment="1">
      <alignment horizontal="center"/>
    </xf>
    <xf numFmtId="0" fontId="85" fillId="5" borderId="1" xfId="1" applyNumberFormat="1" applyFont="1" applyFill="1" applyBorder="1" applyAlignment="1" applyProtection="1">
      <alignment horizontal="center" vertical="center" wrapText="1"/>
    </xf>
    <xf numFmtId="0" fontId="53" fillId="5" borderId="12" xfId="0" applyFont="1" applyFill="1" applyBorder="1" applyAlignment="1" applyProtection="1">
      <alignment horizontal="center" vertical="center" wrapText="1"/>
    </xf>
    <xf numFmtId="0" fontId="138" fillId="5" borderId="1" xfId="0" applyFont="1" applyFill="1" applyBorder="1" applyAlignment="1" applyProtection="1">
      <alignment horizontal="center" vertical="center"/>
    </xf>
    <xf numFmtId="0" fontId="52" fillId="5" borderId="59" xfId="0" applyNumberFormat="1" applyFont="1" applyFill="1" applyBorder="1" applyAlignment="1" applyProtection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96" fillId="5" borderId="45" xfId="0" applyFont="1" applyFill="1" applyBorder="1" applyAlignment="1" applyProtection="1">
      <alignment horizontal="center" vertical="center"/>
    </xf>
    <xf numFmtId="0" fontId="96" fillId="5" borderId="31" xfId="0" applyFont="1" applyFill="1" applyBorder="1" applyAlignment="1" applyProtection="1">
      <alignment horizontal="center" vertical="center"/>
    </xf>
    <xf numFmtId="0" fontId="116" fillId="5" borderId="97" xfId="0" applyFont="1" applyFill="1" applyBorder="1" applyAlignment="1">
      <alignment horizontal="center" vertical="center" wrapText="1"/>
    </xf>
    <xf numFmtId="0" fontId="116" fillId="5" borderId="98" xfId="0" applyFont="1" applyFill="1" applyBorder="1" applyAlignment="1">
      <alignment horizontal="center" vertical="center" wrapText="1"/>
    </xf>
    <xf numFmtId="0" fontId="116" fillId="5" borderId="99" xfId="0" applyFont="1" applyFill="1" applyBorder="1" applyAlignment="1">
      <alignment horizontal="center" vertical="center" wrapText="1"/>
    </xf>
    <xf numFmtId="0" fontId="116" fillId="5" borderId="100" xfId="0" applyFont="1" applyFill="1" applyBorder="1" applyAlignment="1">
      <alignment horizontal="center" vertical="center" wrapText="1"/>
    </xf>
    <xf numFmtId="0" fontId="116" fillId="5" borderId="101" xfId="0" applyFont="1" applyFill="1" applyBorder="1" applyAlignment="1">
      <alignment horizontal="center" vertical="center" wrapText="1"/>
    </xf>
    <xf numFmtId="0" fontId="136" fillId="5" borderId="59" xfId="0" applyFont="1" applyFill="1" applyBorder="1" applyAlignment="1" applyProtection="1">
      <alignment vertical="center" wrapText="1"/>
    </xf>
    <xf numFmtId="0" fontId="136" fillId="5" borderId="59" xfId="0" applyFont="1" applyFill="1" applyBorder="1" applyAlignment="1" applyProtection="1">
      <alignment horizontal="left" vertical="center"/>
    </xf>
    <xf numFmtId="0" fontId="56" fillId="0" borderId="59" xfId="0" applyFont="1" applyBorder="1" applyAlignment="1" applyProtection="1">
      <alignment horizontal="center" vertical="center" wrapText="1"/>
      <protection locked="0"/>
    </xf>
    <xf numFmtId="0" fontId="47" fillId="5" borderId="7" xfId="0" applyNumberFormat="1" applyFont="1" applyFill="1" applyBorder="1" applyAlignment="1" applyProtection="1">
      <alignment horizontal="center" vertical="center" wrapText="1"/>
    </xf>
    <xf numFmtId="0" fontId="82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  <protection locked="0"/>
    </xf>
    <xf numFmtId="0" fontId="17" fillId="5" borderId="44" xfId="0" applyFont="1" applyFill="1" applyBorder="1" applyAlignment="1" applyProtection="1">
      <alignment horizontal="center" vertical="center" wrapText="1"/>
    </xf>
    <xf numFmtId="0" fontId="21" fillId="5" borderId="20" xfId="0" applyNumberFormat="1" applyFont="1" applyFill="1" applyBorder="1" applyAlignment="1" applyProtection="1">
      <alignment horizontal="center" vertical="center" wrapText="1"/>
    </xf>
    <xf numFmtId="0" fontId="47" fillId="5" borderId="12" xfId="0" applyFont="1" applyFill="1" applyBorder="1" applyAlignment="1" applyProtection="1">
      <alignment horizontal="center" vertical="center" wrapText="1"/>
    </xf>
    <xf numFmtId="0" fontId="52" fillId="5" borderId="0" xfId="0" applyFont="1" applyFill="1" applyBorder="1" applyAlignment="1" applyProtection="1">
      <alignment horizontal="center" vertical="center"/>
    </xf>
    <xf numFmtId="0" fontId="47" fillId="5" borderId="35" xfId="0" applyFont="1" applyFill="1" applyBorder="1" applyAlignment="1" applyProtection="1">
      <alignment horizontal="center" vertical="center" wrapText="1"/>
    </xf>
    <xf numFmtId="0" fontId="47" fillId="5" borderId="58" xfId="0" applyFont="1" applyFill="1" applyBorder="1" applyAlignment="1" applyProtection="1">
      <alignment horizontal="center" vertical="center" wrapText="1"/>
    </xf>
    <xf numFmtId="0" fontId="17" fillId="5" borderId="58" xfId="0" applyFont="1" applyFill="1" applyBorder="1" applyAlignment="1" applyProtection="1">
      <alignment horizontal="center" vertical="center" wrapText="1"/>
    </xf>
    <xf numFmtId="49" fontId="21" fillId="5" borderId="22" xfId="0" applyNumberFormat="1" applyFont="1" applyFill="1" applyBorder="1" applyAlignment="1" applyProtection="1">
      <alignment horizontal="center" vertical="center" wrapText="1"/>
    </xf>
    <xf numFmtId="49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16" xfId="0" applyNumberFormat="1" applyFont="1" applyFill="1" applyBorder="1" applyAlignment="1" applyProtection="1">
      <alignment horizontal="center" vertical="center" wrapText="1"/>
    </xf>
    <xf numFmtId="0" fontId="21" fillId="5" borderId="95" xfId="0" applyNumberFormat="1" applyFont="1" applyFill="1" applyBorder="1" applyAlignment="1" applyProtection="1">
      <alignment horizontal="center" vertical="center" wrapText="1"/>
    </xf>
    <xf numFmtId="0" fontId="52" fillId="5" borderId="65" xfId="0" applyNumberFormat="1" applyFont="1" applyFill="1" applyBorder="1" applyAlignment="1" applyProtection="1">
      <alignment horizontal="center" vertical="center" wrapText="1"/>
    </xf>
    <xf numFmtId="49" fontId="21" fillId="5" borderId="26" xfId="0" applyNumberFormat="1" applyFont="1" applyFill="1" applyBorder="1" applyAlignment="1" applyProtection="1">
      <alignment horizontal="center" vertical="center" wrapText="1"/>
    </xf>
    <xf numFmtId="0" fontId="21" fillId="2" borderId="23" xfId="0" applyNumberFormat="1" applyFont="1" applyFill="1" applyBorder="1" applyAlignment="1" applyProtection="1">
      <alignment horizontal="center" vertical="center" wrapText="1"/>
    </xf>
    <xf numFmtId="49" fontId="52" fillId="0" borderId="26" xfId="0" applyNumberFormat="1" applyFont="1" applyFill="1" applyBorder="1" applyAlignment="1" applyProtection="1">
      <alignment horizontal="center" vertical="center" wrapText="1"/>
    </xf>
    <xf numFmtId="0" fontId="21" fillId="2" borderId="26" xfId="0" applyNumberFormat="1" applyFont="1" applyFill="1" applyBorder="1" applyAlignment="1" applyProtection="1">
      <alignment horizontal="center" vertical="center" wrapText="1"/>
    </xf>
    <xf numFmtId="0" fontId="17" fillId="2" borderId="102" xfId="0" applyNumberFormat="1" applyFont="1" applyFill="1" applyBorder="1" applyAlignment="1" applyProtection="1">
      <alignment horizontal="center" vertical="center" wrapText="1"/>
    </xf>
    <xf numFmtId="0" fontId="21" fillId="2" borderId="19" xfId="0" applyNumberFormat="1" applyFont="1" applyFill="1" applyBorder="1" applyAlignment="1" applyProtection="1">
      <alignment horizontal="center" vertical="center" wrapText="1"/>
    </xf>
    <xf numFmtId="0" fontId="47" fillId="0" borderId="2" xfId="0" applyFont="1" applyFill="1" applyBorder="1" applyAlignment="1" applyProtection="1">
      <alignment horizontal="center" vertical="center" wrapText="1"/>
    </xf>
    <xf numFmtId="0" fontId="52" fillId="0" borderId="7" xfId="0" applyNumberFormat="1" applyFont="1" applyFill="1" applyBorder="1" applyAlignment="1" applyProtection="1">
      <alignment horizontal="center" vertical="center" wrapText="1"/>
    </xf>
    <xf numFmtId="0" fontId="52" fillId="0" borderId="16" xfId="0" applyNumberFormat="1" applyFont="1" applyFill="1" applyBorder="1" applyAlignment="1" applyProtection="1">
      <alignment horizontal="center" vertical="center" wrapText="1"/>
    </xf>
    <xf numFmtId="0" fontId="21" fillId="5" borderId="102" xfId="0" applyNumberFormat="1" applyFont="1" applyFill="1" applyBorder="1" applyAlignment="1" applyProtection="1">
      <alignment horizontal="center" vertical="center" wrapText="1"/>
    </xf>
    <xf numFmtId="0" fontId="47" fillId="5" borderId="34" xfId="0" applyNumberFormat="1" applyFont="1" applyFill="1" applyBorder="1" applyAlignment="1" applyProtection="1">
      <alignment horizontal="center" vertical="center" wrapText="1"/>
    </xf>
    <xf numFmtId="0" fontId="48" fillId="5" borderId="42" xfId="0" applyFont="1" applyFill="1" applyBorder="1" applyAlignment="1" applyProtection="1">
      <alignment vertical="center" wrapText="1"/>
    </xf>
    <xf numFmtId="0" fontId="17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30" xfId="0" applyNumberFormat="1" applyFont="1" applyFill="1" applyBorder="1" applyAlignment="1" applyProtection="1">
      <alignment horizontal="center" vertical="center" wrapText="1"/>
    </xf>
    <xf numFmtId="49" fontId="17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5" xfId="0" applyFont="1" applyFill="1" applyBorder="1" applyAlignment="1" applyProtection="1">
      <alignment horizontal="center" vertical="center"/>
    </xf>
    <xf numFmtId="0" fontId="52" fillId="5" borderId="15" xfId="0" applyNumberFormat="1" applyFont="1" applyFill="1" applyBorder="1" applyAlignment="1" applyProtection="1">
      <alignment horizontal="center" vertical="center" wrapText="1"/>
    </xf>
    <xf numFmtId="0" fontId="21" fillId="5" borderId="78" xfId="0" applyFont="1" applyFill="1" applyBorder="1" applyAlignment="1" applyProtection="1">
      <alignment horizontal="center" vertical="center"/>
      <protection locked="0"/>
    </xf>
    <xf numFmtId="0" fontId="21" fillId="0" borderId="6" xfId="0" applyFont="1" applyFill="1" applyBorder="1" applyAlignment="1" applyProtection="1">
      <alignment horizontal="center" vertical="center"/>
    </xf>
    <xf numFmtId="0" fontId="21" fillId="5" borderId="30" xfId="0" applyFont="1" applyFill="1" applyBorder="1" applyAlignment="1" applyProtection="1">
      <alignment horizontal="center" vertical="center"/>
      <protection locked="0"/>
    </xf>
    <xf numFmtId="0" fontId="20" fillId="5" borderId="53" xfId="0" applyFont="1" applyFill="1" applyBorder="1" applyAlignment="1" applyProtection="1">
      <alignment vertical="center" wrapText="1"/>
    </xf>
    <xf numFmtId="0" fontId="20" fillId="5" borderId="29" xfId="0" applyFont="1" applyFill="1" applyBorder="1" applyAlignment="1" applyProtection="1">
      <alignment vertical="center" wrapText="1"/>
    </xf>
    <xf numFmtId="0" fontId="64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vertical="center" wrapText="1"/>
    </xf>
    <xf numFmtId="9" fontId="47" fillId="0" borderId="0" xfId="0" applyNumberFormat="1" applyFont="1" applyFill="1" applyBorder="1" applyAlignment="1" applyProtection="1">
      <alignment horizontal="center" vertical="center" wrapText="1"/>
    </xf>
    <xf numFmtId="0" fontId="52" fillId="0" borderId="0" xfId="0" applyFont="1" applyFill="1" applyAlignment="1" applyProtection="1">
      <alignment horizontal="center" vertical="center"/>
    </xf>
    <xf numFmtId="0" fontId="52" fillId="5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 wrapText="1"/>
    </xf>
    <xf numFmtId="9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17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center" vertical="center" wrapText="1"/>
    </xf>
    <xf numFmtId="0" fontId="25" fillId="0" borderId="32" xfId="0" applyNumberFormat="1" applyFont="1" applyFill="1" applyBorder="1" applyAlignment="1" applyProtection="1">
      <alignment horizontal="left" vertical="center" wrapText="1"/>
    </xf>
    <xf numFmtId="0" fontId="25" fillId="0" borderId="3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center" vertical="center" wrapText="1"/>
    </xf>
    <xf numFmtId="0" fontId="25" fillId="0" borderId="17" xfId="0" applyNumberFormat="1" applyFont="1" applyFill="1" applyBorder="1" applyAlignment="1" applyProtection="1">
      <alignment horizontal="left" vertical="center" wrapText="1"/>
    </xf>
    <xf numFmtId="0" fontId="25" fillId="0" borderId="34" xfId="0" applyNumberFormat="1" applyFont="1" applyFill="1" applyBorder="1" applyAlignment="1" applyProtection="1">
      <alignment horizontal="center" vertical="center" wrapText="1"/>
    </xf>
    <xf numFmtId="0" fontId="47" fillId="0" borderId="72" xfId="0" applyNumberFormat="1" applyFont="1" applyFill="1" applyBorder="1" applyAlignment="1" applyProtection="1">
      <alignment horizontal="center" vertical="center" wrapText="1"/>
    </xf>
    <xf numFmtId="0" fontId="52" fillId="0" borderId="59" xfId="0" applyNumberFormat="1" applyFont="1" applyFill="1" applyBorder="1" applyAlignment="1" applyProtection="1">
      <alignment horizontal="center" vertical="center" wrapText="1"/>
    </xf>
    <xf numFmtId="0" fontId="52" fillId="0" borderId="43" xfId="0" applyNumberFormat="1" applyFont="1" applyFill="1" applyBorder="1" applyAlignment="1" applyProtection="1">
      <alignment horizontal="center" vertical="center" wrapText="1"/>
    </xf>
    <xf numFmtId="0" fontId="17" fillId="0" borderId="17" xfId="0" applyNumberFormat="1" applyFont="1" applyFill="1" applyBorder="1" applyAlignment="1" applyProtection="1">
      <alignment horizontal="center" vertical="center" wrapText="1"/>
    </xf>
    <xf numFmtId="0" fontId="47" fillId="0" borderId="59" xfId="0" applyNumberFormat="1" applyFont="1" applyFill="1" applyBorder="1" applyAlignment="1" applyProtection="1">
      <alignment horizontal="center" vertical="center" wrapText="1"/>
    </xf>
    <xf numFmtId="0" fontId="47" fillId="0" borderId="18" xfId="0" applyNumberFormat="1" applyFont="1" applyFill="1" applyBorder="1" applyAlignment="1" applyProtection="1">
      <alignment horizontal="center" vertical="center" wrapText="1"/>
    </xf>
    <xf numFmtId="0" fontId="52" fillId="0" borderId="18" xfId="0" applyNumberFormat="1" applyFont="1" applyFill="1" applyBorder="1" applyAlignment="1" applyProtection="1">
      <alignment horizontal="center" vertical="center" wrapText="1"/>
    </xf>
    <xf numFmtId="0" fontId="52" fillId="0" borderId="56" xfId="0" applyNumberFormat="1" applyFont="1" applyFill="1" applyBorder="1" applyAlignment="1" applyProtection="1">
      <alignment horizontal="center" vertical="center" wrapText="1"/>
    </xf>
    <xf numFmtId="0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wrapText="1"/>
    </xf>
    <xf numFmtId="0" fontId="23" fillId="5" borderId="26" xfId="0" applyNumberFormat="1" applyFont="1" applyFill="1" applyBorder="1" applyAlignment="1" applyProtection="1">
      <alignment horizontal="left" vertical="center" textRotation="255" wrapText="1"/>
    </xf>
    <xf numFmtId="0" fontId="26" fillId="5" borderId="26" xfId="0" applyNumberFormat="1" applyFont="1" applyFill="1" applyBorder="1" applyAlignment="1" applyProtection="1">
      <alignment horizontal="left" vertical="center" textRotation="255" wrapText="1"/>
    </xf>
    <xf numFmtId="0" fontId="20" fillId="5" borderId="22" xfId="0" applyNumberFormat="1" applyFont="1" applyFill="1" applyBorder="1" applyAlignment="1" applyProtection="1">
      <alignment horizontal="left" vertical="center" wrapText="1"/>
    </xf>
    <xf numFmtId="0" fontId="47" fillId="5" borderId="59" xfId="0" applyNumberFormat="1" applyFont="1" applyFill="1" applyBorder="1" applyAlignment="1" applyProtection="1">
      <alignment horizontal="center" vertical="center" wrapText="1"/>
    </xf>
    <xf numFmtId="0" fontId="21" fillId="5" borderId="32" xfId="0" applyNumberFormat="1" applyFont="1" applyFill="1" applyBorder="1" applyAlignment="1" applyProtection="1">
      <alignment horizontal="center" vertical="center" wrapText="1"/>
    </xf>
    <xf numFmtId="0" fontId="17" fillId="5" borderId="32" xfId="0" applyNumberFormat="1" applyFont="1" applyFill="1" applyBorder="1" applyAlignment="1" applyProtection="1">
      <alignment horizontal="center" vertical="center" wrapText="1"/>
    </xf>
    <xf numFmtId="0" fontId="17" fillId="5" borderId="17" xfId="0" applyNumberFormat="1" applyFont="1" applyFill="1" applyBorder="1" applyAlignment="1" applyProtection="1">
      <alignment horizontal="center" vertical="center" wrapText="1"/>
    </xf>
    <xf numFmtId="0" fontId="47" fillId="5" borderId="18" xfId="0" applyNumberFormat="1" applyFont="1" applyFill="1" applyBorder="1" applyAlignment="1" applyProtection="1">
      <alignment horizontal="center" vertical="center" wrapText="1"/>
    </xf>
    <xf numFmtId="0" fontId="17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5" xfId="0" applyNumberFormat="1" applyFont="1" applyFill="1" applyBorder="1" applyAlignment="1" applyProtection="1">
      <alignment horizontal="left" vertical="center"/>
    </xf>
    <xf numFmtId="0" fontId="47" fillId="5" borderId="12" xfId="0" applyNumberFormat="1" applyFont="1" applyFill="1" applyBorder="1" applyAlignment="1" applyProtection="1">
      <alignment horizontal="center" vertical="center"/>
    </xf>
    <xf numFmtId="0" fontId="26" fillId="5" borderId="42" xfId="0" applyNumberFormat="1" applyFont="1" applyFill="1" applyBorder="1" applyAlignment="1" applyProtection="1">
      <alignment horizontal="left" vertical="center" wrapText="1"/>
    </xf>
    <xf numFmtId="0" fontId="52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3" fillId="5" borderId="43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center" vertical="center" wrapText="1"/>
    </xf>
    <xf numFmtId="0" fontId="22" fillId="0" borderId="32" xfId="0" applyNumberFormat="1" applyFont="1" applyFill="1" applyBorder="1" applyAlignment="1" applyProtection="1">
      <alignment horizontal="left" vertical="center" wrapText="1"/>
    </xf>
    <xf numFmtId="0" fontId="22" fillId="0" borderId="33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center" vertical="center"/>
    </xf>
    <xf numFmtId="9" fontId="50" fillId="0" borderId="0" xfId="0" applyNumberFormat="1" applyFont="1" applyFill="1" applyBorder="1" applyAlignment="1" applyProtection="1">
      <alignment horizontal="center" vertical="center"/>
    </xf>
    <xf numFmtId="0" fontId="50" fillId="0" borderId="72" xfId="0" applyNumberFormat="1" applyFont="1" applyFill="1" applyBorder="1" applyAlignment="1" applyProtection="1">
      <alignment horizontal="center" vertical="center" wrapText="1"/>
    </xf>
    <xf numFmtId="0" fontId="50" fillId="0" borderId="73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34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177" fontId="47" fillId="5" borderId="14" xfId="0" applyNumberFormat="1" applyFont="1" applyFill="1" applyBorder="1" applyAlignment="1" applyProtection="1">
      <alignment horizontal="center" vertical="center" wrapText="1"/>
    </xf>
    <xf numFmtId="184" fontId="47" fillId="5" borderId="15" xfId="0" applyNumberFormat="1" applyFont="1" applyFill="1" applyBorder="1" applyAlignment="1" applyProtection="1">
      <alignment horizontal="center" vertical="center" wrapText="1"/>
    </xf>
    <xf numFmtId="177" fontId="13" fillId="5" borderId="0" xfId="2" applyNumberFormat="1" applyFont="1" applyFill="1" applyAlignment="1">
      <alignment horizontal="center"/>
    </xf>
    <xf numFmtId="177" fontId="13" fillId="5" borderId="0" xfId="2" applyNumberFormat="1" applyFont="1" applyFill="1"/>
    <xf numFmtId="49" fontId="47" fillId="0" borderId="0" xfId="0" applyNumberFormat="1" applyFont="1" applyFill="1" applyBorder="1" applyAlignment="1" applyProtection="1">
      <alignment horizontal="center" vertical="center"/>
    </xf>
    <xf numFmtId="49" fontId="47" fillId="0" borderId="0" xfId="0" applyNumberFormat="1" applyFont="1" applyFill="1" applyAlignment="1" applyProtection="1">
      <alignment horizontal="center" vertical="center"/>
    </xf>
    <xf numFmtId="0" fontId="47" fillId="0" borderId="67" xfId="0" applyNumberFormat="1" applyFont="1" applyFill="1" applyBorder="1" applyAlignment="1" applyProtection="1">
      <alignment horizontal="center" vertical="center" wrapText="1"/>
    </xf>
    <xf numFmtId="0" fontId="47" fillId="0" borderId="68" xfId="0" applyNumberFormat="1" applyFont="1" applyFill="1" applyBorder="1" applyAlignment="1" applyProtection="1">
      <alignment horizontal="center" vertical="center" wrapText="1"/>
    </xf>
    <xf numFmtId="0" fontId="47" fillId="0" borderId="69" xfId="0" applyNumberFormat="1" applyFont="1" applyFill="1" applyBorder="1" applyAlignment="1" applyProtection="1">
      <alignment horizontal="center" vertical="center" wrapText="1"/>
    </xf>
    <xf numFmtId="0" fontId="55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 vertical="center"/>
    </xf>
    <xf numFmtId="0" fontId="52" fillId="5" borderId="40" xfId="0" applyFont="1" applyFill="1" applyBorder="1" applyAlignment="1" applyProtection="1"/>
    <xf numFmtId="0" fontId="52" fillId="5" borderId="40" xfId="0" applyFont="1" applyFill="1" applyBorder="1" applyAlignment="1" applyProtection="1">
      <alignment horizontal="center"/>
    </xf>
    <xf numFmtId="0" fontId="52" fillId="5" borderId="40" xfId="0" applyFont="1" applyFill="1" applyBorder="1" applyAlignment="1" applyProtection="1">
      <protection locked="0"/>
    </xf>
    <xf numFmtId="187" fontId="52" fillId="5" borderId="40" xfId="0" applyNumberFormat="1" applyFont="1" applyFill="1" applyBorder="1" applyAlignment="1" applyProtection="1">
      <alignment horizontal="center"/>
      <protection locked="0"/>
    </xf>
    <xf numFmtId="181" fontId="52" fillId="5" borderId="40" xfId="0" applyNumberFormat="1" applyFont="1" applyFill="1" applyBorder="1" applyAlignment="1" applyProtection="1">
      <protection locked="0"/>
    </xf>
    <xf numFmtId="0" fontId="47" fillId="0" borderId="23" xfId="0" applyNumberFormat="1" applyFont="1" applyFill="1" applyBorder="1" applyAlignment="1" applyProtection="1">
      <alignment horizontal="center" vertical="center" wrapText="1"/>
    </xf>
    <xf numFmtId="0" fontId="23" fillId="5" borderId="29" xfId="0" applyNumberFormat="1" applyFont="1" applyFill="1" applyBorder="1" applyAlignment="1" applyProtection="1">
      <alignment vertical="center"/>
    </xf>
    <xf numFmtId="49" fontId="51" fillId="5" borderId="30" xfId="0" applyNumberFormat="1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49" fontId="6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81" xfId="1" applyFont="1" applyFill="1" applyBorder="1" applyAlignment="1" applyProtection="1">
      <alignment horizontal="left" vertical="center" wrapText="1"/>
    </xf>
    <xf numFmtId="0" fontId="110" fillId="5" borderId="94" xfId="1" applyFont="1" applyFill="1" applyBorder="1" applyAlignment="1" applyProtection="1">
      <alignment horizontal="center" vertical="center" wrapText="1"/>
    </xf>
    <xf numFmtId="0" fontId="110" fillId="5" borderId="94" xfId="1" applyFont="1" applyFill="1" applyBorder="1" applyAlignment="1" applyProtection="1">
      <alignment vertical="center" wrapText="1"/>
    </xf>
    <xf numFmtId="14" fontId="100" fillId="5" borderId="94" xfId="1" applyNumberFormat="1" applyFont="1" applyFill="1" applyBorder="1" applyAlignment="1" applyProtection="1">
      <alignment vertical="center" wrapText="1"/>
    </xf>
    <xf numFmtId="0" fontId="92" fillId="5" borderId="94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center" vertical="center" wrapText="1"/>
    </xf>
    <xf numFmtId="0" fontId="92" fillId="0" borderId="0" xfId="1" applyFont="1" applyAlignment="1" applyProtection="1">
      <alignment horizontal="center" vertical="center" wrapText="1"/>
    </xf>
    <xf numFmtId="0" fontId="81" fillId="5" borderId="58" xfId="1" applyFont="1" applyFill="1" applyBorder="1" applyAlignment="1" applyProtection="1">
      <alignment horizontal="left" vertical="center" wrapText="1"/>
    </xf>
    <xf numFmtId="0" fontId="110" fillId="5" borderId="0" xfId="1" applyFont="1" applyFill="1" applyBorder="1" applyAlignment="1" applyProtection="1">
      <alignment horizontal="center" vertical="center" wrapText="1"/>
    </xf>
    <xf numFmtId="0" fontId="110" fillId="5" borderId="0" xfId="1" applyFont="1" applyFill="1" applyBorder="1" applyAlignment="1" applyProtection="1">
      <alignment vertical="center" wrapText="1"/>
    </xf>
    <xf numFmtId="0" fontId="92" fillId="5" borderId="0" xfId="1" applyFont="1" applyFill="1" applyBorder="1" applyAlignment="1" applyProtection="1">
      <alignment vertical="center" wrapText="1"/>
    </xf>
    <xf numFmtId="49" fontId="8" fillId="5" borderId="1" xfId="1" applyNumberFormat="1" applyFont="1" applyFill="1" applyBorder="1" applyAlignment="1" applyProtection="1">
      <alignment horizontal="left" vertical="center" wrapText="1"/>
    </xf>
    <xf numFmtId="49" fontId="111" fillId="5" borderId="4" xfId="1" applyNumberFormat="1" applyFont="1" applyFill="1" applyBorder="1" applyAlignment="1" applyProtection="1">
      <alignment horizontal="center" vertical="center" wrapText="1"/>
    </xf>
    <xf numFmtId="49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vertical="center" wrapText="1"/>
    </xf>
    <xf numFmtId="49" fontId="111" fillId="5" borderId="0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vertical="center" wrapText="1"/>
    </xf>
    <xf numFmtId="0" fontId="100" fillId="5" borderId="7" xfId="1" applyFont="1" applyFill="1" applyBorder="1" applyAlignment="1" applyProtection="1">
      <alignment horizontal="center" vertical="center" wrapText="1"/>
    </xf>
    <xf numFmtId="0" fontId="100" fillId="5" borderId="1" xfId="1" applyFont="1" applyFill="1" applyBorder="1" applyAlignment="1" applyProtection="1">
      <alignment horizontal="center" vertical="center" wrapText="1"/>
    </xf>
    <xf numFmtId="0" fontId="86" fillId="5" borderId="17" xfId="1" applyNumberFormat="1" applyFont="1" applyFill="1" applyBorder="1" applyAlignment="1" applyProtection="1">
      <alignment horizontal="center" vertical="center" wrapText="1"/>
    </xf>
    <xf numFmtId="49" fontId="86" fillId="5" borderId="50" xfId="1" applyNumberFormat="1" applyFont="1" applyFill="1" applyBorder="1" applyAlignment="1" applyProtection="1">
      <alignment vertical="center" wrapText="1"/>
    </xf>
    <xf numFmtId="49" fontId="100" fillId="5" borderId="6" xfId="1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left" vertical="center" wrapText="1"/>
    </xf>
    <xf numFmtId="0" fontId="57" fillId="8" borderId="0" xfId="0" applyFont="1" applyFill="1" applyAlignment="1" applyProtection="1">
      <alignment vertical="center"/>
    </xf>
    <xf numFmtId="0" fontId="104" fillId="5" borderId="58" xfId="1" applyFont="1" applyFill="1" applyBorder="1" applyAlignment="1" applyProtection="1">
      <alignment horizontal="left" vertical="center" wrapText="1"/>
    </xf>
    <xf numFmtId="0" fontId="92" fillId="5" borderId="7" xfId="1" applyFont="1" applyFill="1" applyBorder="1" applyAlignment="1" applyProtection="1">
      <alignment horizontal="center" vertical="center" wrapText="1"/>
    </xf>
    <xf numFmtId="0" fontId="92" fillId="5" borderId="1" xfId="1" applyFont="1" applyFill="1" applyBorder="1" applyAlignment="1" applyProtection="1">
      <alignment horizontal="left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2" fillId="5" borderId="6" xfId="1" applyNumberFormat="1" applyFont="1" applyFill="1" applyBorder="1" applyAlignment="1" applyProtection="1">
      <alignment horizontal="center" vertical="center"/>
    </xf>
    <xf numFmtId="0" fontId="16" fillId="5" borderId="1" xfId="0" applyFont="1" applyFill="1" applyBorder="1" applyAlignment="1" applyProtection="1">
      <alignment horizontal="center" vertical="center"/>
    </xf>
    <xf numFmtId="49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6" xfId="1" applyFont="1" applyFill="1" applyBorder="1" applyAlignment="1" applyProtection="1">
      <alignment horizontal="center" vertical="center" wrapText="1"/>
    </xf>
    <xf numFmtId="0" fontId="92" fillId="5" borderId="0" xfId="1" applyFont="1" applyFill="1" applyBorder="1" applyAlignment="1" applyProtection="1">
      <alignment horizontal="left" vertical="center"/>
    </xf>
    <xf numFmtId="0" fontId="57" fillId="5" borderId="1" xfId="0" applyFont="1" applyFill="1" applyBorder="1" applyAlignment="1" applyProtection="1">
      <alignment horizontal="center" vertical="center"/>
    </xf>
    <xf numFmtId="9" fontId="105" fillId="5" borderId="1" xfId="1" applyNumberFormat="1" applyFont="1" applyFill="1" applyBorder="1" applyAlignment="1" applyProtection="1">
      <alignment horizontal="center" vertical="center" wrapText="1"/>
    </xf>
    <xf numFmtId="49" fontId="85" fillId="5" borderId="1" xfId="1" applyNumberFormat="1" applyFont="1" applyFill="1" applyBorder="1" applyAlignment="1" applyProtection="1">
      <alignment vertical="center" wrapText="1"/>
    </xf>
    <xf numFmtId="49" fontId="92" fillId="5" borderId="0" xfId="1" applyNumberFormat="1" applyFont="1" applyFill="1" applyBorder="1" applyAlignment="1" applyProtection="1">
      <alignment horizontal="left" vertical="center"/>
    </xf>
    <xf numFmtId="0" fontId="54" fillId="5" borderId="1" xfId="1" applyNumberFormat="1" applyFont="1" applyFill="1" applyBorder="1" applyAlignment="1" applyProtection="1">
      <alignment horizontal="center" vertical="center" wrapText="1"/>
    </xf>
    <xf numFmtId="0" fontId="92" fillId="5" borderId="23" xfId="1" applyFont="1" applyFill="1" applyBorder="1" applyAlignment="1" applyProtection="1">
      <alignment horizontal="center" vertical="center" wrapText="1"/>
    </xf>
    <xf numFmtId="0" fontId="92" fillId="5" borderId="17" xfId="1" applyFont="1" applyFill="1" applyBorder="1" applyAlignment="1" applyProtection="1">
      <alignment horizontal="left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111" fillId="5" borderId="6" xfId="1" applyNumberFormat="1" applyFont="1" applyFill="1" applyBorder="1" applyAlignment="1" applyProtection="1">
      <alignment horizontal="center" vertical="center" wrapText="1"/>
    </xf>
    <xf numFmtId="10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/>
    </xf>
    <xf numFmtId="49" fontId="111" fillId="5" borderId="0" xfId="1" applyNumberFormat="1" applyFont="1" applyFill="1" applyBorder="1" applyAlignment="1" applyProtection="1">
      <alignment horizontal="left" vertical="center" wrapText="1"/>
    </xf>
    <xf numFmtId="0" fontId="112" fillId="5" borderId="0" xfId="1" applyNumberFormat="1" applyFont="1" applyFill="1" applyBorder="1" applyAlignment="1" applyProtection="1">
      <alignment horizontal="center" vertical="center" wrapText="1"/>
    </xf>
    <xf numFmtId="49" fontId="8" fillId="5" borderId="18" xfId="1" applyNumberFormat="1" applyFont="1" applyFill="1" applyBorder="1" applyAlignment="1" applyProtection="1">
      <alignment horizontal="left" vertical="center" wrapText="1"/>
    </xf>
    <xf numFmtId="0" fontId="92" fillId="5" borderId="83" xfId="1" applyFont="1" applyFill="1" applyBorder="1" applyAlignment="1" applyProtection="1">
      <alignment horizontal="center" vertical="center" wrapText="1"/>
    </xf>
    <xf numFmtId="0" fontId="92" fillId="5" borderId="72" xfId="1" applyFont="1" applyFill="1" applyBorder="1" applyAlignment="1" applyProtection="1">
      <alignment horizontal="left" vertical="center" wrapText="1"/>
    </xf>
    <xf numFmtId="0" fontId="85" fillId="5" borderId="72" xfId="1" applyNumberFormat="1" applyFont="1" applyFill="1" applyBorder="1" applyAlignment="1" applyProtection="1">
      <alignment horizontal="center" vertical="center" wrapText="1"/>
    </xf>
    <xf numFmtId="0" fontId="111" fillId="5" borderId="73" xfId="1" applyNumberFormat="1" applyFont="1" applyFill="1" applyBorder="1" applyAlignment="1" applyProtection="1">
      <alignment horizontal="center" vertical="center" wrapText="1"/>
    </xf>
    <xf numFmtId="49" fontId="111" fillId="5" borderId="0" xfId="1" applyNumberFormat="1" applyFont="1" applyFill="1" applyBorder="1" applyAlignment="1" applyProtection="1">
      <alignment horizontal="left" vertical="center"/>
    </xf>
    <xf numFmtId="0" fontId="111" fillId="5" borderId="0" xfId="1" applyNumberFormat="1" applyFont="1" applyFill="1" applyBorder="1" applyAlignment="1" applyProtection="1">
      <alignment vertical="center" wrapText="1"/>
    </xf>
    <xf numFmtId="0" fontId="100" fillId="5" borderId="23" xfId="1" applyFont="1" applyFill="1" applyBorder="1" applyAlignment="1" applyProtection="1">
      <alignment horizontal="center" vertical="center" wrapText="1"/>
    </xf>
    <xf numFmtId="0" fontId="100" fillId="5" borderId="17" xfId="1" applyFont="1" applyFill="1" applyBorder="1" applyAlignment="1" applyProtection="1">
      <alignment horizontal="left" vertical="center" wrapText="1"/>
    </xf>
    <xf numFmtId="49" fontId="86" fillId="5" borderId="62" xfId="1" applyNumberFormat="1" applyFont="1" applyFill="1" applyBorder="1" applyAlignment="1" applyProtection="1">
      <alignment horizontal="center" vertical="center" wrapText="1"/>
    </xf>
    <xf numFmtId="49" fontId="100" fillId="5" borderId="34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horizontal="center" vertical="center" wrapText="1"/>
    </xf>
    <xf numFmtId="49" fontId="92" fillId="5" borderId="6" xfId="1" applyNumberFormat="1" applyFont="1" applyFill="1" applyBorder="1" applyAlignment="1" applyProtection="1">
      <alignment horizontal="center" vertical="center" wrapText="1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left" vertical="center" wrapText="1"/>
    </xf>
    <xf numFmtId="0" fontId="92" fillId="5" borderId="0" xfId="1" applyFont="1" applyFill="1" applyAlignment="1" applyProtection="1">
      <alignment horizontal="center" vertical="center" wrapText="1"/>
    </xf>
    <xf numFmtId="0" fontId="111" fillId="5" borderId="6" xfId="1" applyNumberFormat="1" applyFont="1" applyFill="1" applyBorder="1" applyAlignment="1" applyProtection="1">
      <alignment horizontal="center" vertical="center" wrapText="1"/>
    </xf>
    <xf numFmtId="49" fontId="54" fillId="5" borderId="17" xfId="1" applyNumberFormat="1" applyFont="1" applyFill="1" applyBorder="1" applyAlignment="1" applyProtection="1">
      <alignment horizontal="center" vertical="center" wrapText="1"/>
    </xf>
    <xf numFmtId="49" fontId="112" fillId="5" borderId="34" xfId="1" applyNumberFormat="1" applyFont="1" applyFill="1" applyBorder="1" applyAlignment="1" applyProtection="1">
      <alignment horizontal="center" vertical="center" wrapText="1"/>
    </xf>
    <xf numFmtId="0" fontId="111" fillId="5" borderId="0" xfId="1" applyNumberFormat="1" applyFont="1" applyFill="1" applyBorder="1" applyAlignment="1" applyProtection="1">
      <alignment horizontal="left" vertical="center" wrapText="1"/>
    </xf>
    <xf numFmtId="49" fontId="53" fillId="5" borderId="1" xfId="1" applyNumberFormat="1" applyFont="1" applyFill="1" applyBorder="1" applyAlignment="1" applyProtection="1">
      <alignment horizontal="center" vertical="center" wrapText="1"/>
    </xf>
    <xf numFmtId="0" fontId="92" fillId="5" borderId="8" xfId="1" applyFont="1" applyFill="1" applyBorder="1" applyAlignment="1" applyProtection="1">
      <alignment horizontal="center" vertical="center" wrapText="1"/>
    </xf>
    <xf numFmtId="0" fontId="92" fillId="5" borderId="59" xfId="1" applyFont="1" applyFill="1" applyBorder="1" applyAlignment="1" applyProtection="1">
      <alignment horizontal="left" vertical="center" wrapText="1"/>
    </xf>
    <xf numFmtId="185" fontId="85" fillId="5" borderId="59" xfId="1" applyNumberFormat="1" applyFont="1" applyFill="1" applyBorder="1" applyAlignment="1" applyProtection="1">
      <alignment horizontal="center" vertical="center" wrapText="1"/>
    </xf>
    <xf numFmtId="49" fontId="53" fillId="5" borderId="59" xfId="1" applyNumberFormat="1" applyFont="1" applyFill="1" applyBorder="1" applyAlignment="1" applyProtection="1">
      <alignment horizontal="center" vertical="center" wrapText="1"/>
    </xf>
    <xf numFmtId="49" fontId="111" fillId="5" borderId="43" xfId="1" applyNumberFormat="1" applyFont="1" applyFill="1" applyBorder="1" applyAlignment="1" applyProtection="1">
      <alignment horizontal="center" vertical="center" wrapText="1"/>
    </xf>
    <xf numFmtId="0" fontId="111" fillId="5" borderId="4" xfId="1" applyNumberFormat="1" applyFont="1" applyFill="1" applyBorder="1" applyAlignment="1" applyProtection="1">
      <alignment horizontal="center" vertical="center" wrapText="1"/>
    </xf>
    <xf numFmtId="0" fontId="111" fillId="5" borderId="11" xfId="1" applyNumberFormat="1" applyFont="1" applyFill="1" applyBorder="1" applyAlignment="1" applyProtection="1">
      <alignment horizontal="center" vertical="center" wrapText="1"/>
    </xf>
    <xf numFmtId="49" fontId="111" fillId="5" borderId="31" xfId="1" applyNumberFormat="1" applyFont="1" applyFill="1" applyBorder="1" applyAlignment="1" applyProtection="1">
      <alignment horizontal="center" vertical="center" wrapText="1"/>
    </xf>
    <xf numFmtId="0" fontId="92" fillId="5" borderId="7" xfId="1" applyNumberFormat="1" applyFont="1" applyFill="1" applyBorder="1" applyAlignment="1" applyProtection="1">
      <alignment horizontal="center" vertical="center" wrapText="1"/>
    </xf>
    <xf numFmtId="0" fontId="92" fillId="5" borderId="1" xfId="1" applyNumberFormat="1" applyFont="1" applyFill="1" applyBorder="1" applyAlignment="1" applyProtection="1">
      <alignment horizontal="left" vertical="center" wrapText="1"/>
    </xf>
    <xf numFmtId="9" fontId="85" fillId="5" borderId="1" xfId="1" applyNumberFormat="1" applyFont="1" applyFill="1" applyBorder="1" applyAlignment="1" applyProtection="1">
      <alignment horizontal="center" vertical="center" wrapText="1"/>
    </xf>
    <xf numFmtId="0" fontId="92" fillId="5" borderId="51" xfId="1" applyFont="1" applyFill="1" applyBorder="1" applyAlignment="1" applyProtection="1">
      <alignment horizontal="center" vertical="center" wrapText="1"/>
    </xf>
    <xf numFmtId="0" fontId="111" fillId="5" borderId="1" xfId="1" applyNumberFormat="1" applyFont="1" applyFill="1" applyBorder="1" applyAlignment="1" applyProtection="1">
      <alignment horizontal="left" vertical="center" wrapText="1" shrinkToFit="1"/>
    </xf>
    <xf numFmtId="0" fontId="85" fillId="5" borderId="1" xfId="1" applyFont="1" applyFill="1" applyBorder="1" applyAlignment="1" applyProtection="1">
      <alignment horizontal="center" vertical="center" wrapText="1"/>
    </xf>
    <xf numFmtId="0" fontId="92" fillId="5" borderId="42" xfId="1" applyNumberFormat="1" applyFont="1" applyFill="1" applyBorder="1" applyAlignment="1" applyProtection="1">
      <alignment horizontal="center" vertical="center" wrapText="1"/>
    </xf>
    <xf numFmtId="0" fontId="92" fillId="5" borderId="59" xfId="1" applyNumberFormat="1" applyFont="1" applyFill="1" applyBorder="1" applyAlignment="1" applyProtection="1">
      <alignment horizontal="left" vertical="center" wrapText="1"/>
    </xf>
    <xf numFmtId="9" fontId="85" fillId="5" borderId="68" xfId="1" applyNumberFormat="1" applyFont="1" applyFill="1" applyBorder="1" applyAlignment="1" applyProtection="1">
      <alignment horizontal="center" vertical="center" wrapText="1"/>
    </xf>
    <xf numFmtId="0" fontId="92" fillId="5" borderId="11" xfId="1" applyFont="1" applyFill="1" applyBorder="1" applyAlignment="1" applyProtection="1">
      <alignment horizontal="left" vertical="center" wrapText="1"/>
    </xf>
    <xf numFmtId="0" fontId="85" fillId="5" borderId="11" xfId="1" applyNumberFormat="1" applyFont="1" applyFill="1" applyBorder="1" applyAlignment="1" applyProtection="1">
      <alignment horizontal="center" vertical="center" wrapText="1"/>
    </xf>
    <xf numFmtId="0" fontId="85" fillId="5" borderId="59" xfId="1" applyNumberFormat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left" vertical="center" wrapText="1"/>
    </xf>
    <xf numFmtId="0" fontId="92" fillId="0" borderId="0" xfId="1" applyFont="1" applyFill="1" applyBorder="1" applyAlignment="1" applyProtection="1">
      <alignment horizontal="center" vertical="center" wrapText="1"/>
    </xf>
    <xf numFmtId="0" fontId="70" fillId="0" borderId="0" xfId="1" applyFont="1" applyAlignment="1" applyProtection="1">
      <alignment horizontal="left" vertical="center" wrapText="1"/>
    </xf>
    <xf numFmtId="0" fontId="7" fillId="0" borderId="1" xfId="1" applyFont="1" applyBorder="1" applyAlignment="1" applyProtection="1">
      <alignment horizontal="left" vertical="center"/>
    </xf>
    <xf numFmtId="0" fontId="107" fillId="0" borderId="1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left" vertical="center"/>
    </xf>
    <xf numFmtId="0" fontId="13" fillId="0" borderId="1" xfId="1" applyFont="1" applyBorder="1" applyAlignment="1" applyProtection="1">
      <alignment horizontal="center" vertical="center"/>
    </xf>
    <xf numFmtId="0" fontId="70" fillId="0" borderId="0" xfId="1" applyFont="1" applyAlignment="1" applyProtection="1">
      <alignment horizontal="left" vertical="center"/>
    </xf>
    <xf numFmtId="0" fontId="70" fillId="0" borderId="58" xfId="1" applyFont="1" applyBorder="1" applyAlignment="1" applyProtection="1">
      <alignment horizontal="left" vertical="center"/>
    </xf>
    <xf numFmtId="0" fontId="70" fillId="0" borderId="0" xfId="1" applyFont="1" applyFill="1" applyBorder="1" applyAlignment="1" applyProtection="1">
      <alignment horizontal="left" vertical="center" wrapText="1"/>
    </xf>
    <xf numFmtId="0" fontId="8" fillId="0" borderId="0" xfId="1" applyFont="1" applyBorder="1" applyAlignment="1" applyProtection="1">
      <alignment horizontal="left" vertical="center"/>
    </xf>
    <xf numFmtId="0" fontId="13" fillId="0" borderId="0" xfId="1" applyFont="1" applyBorder="1" applyAlignment="1" applyProtection="1">
      <alignment horizontal="center" vertical="center"/>
    </xf>
    <xf numFmtId="0" fontId="5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2" fillId="5" borderId="0" xfId="1" applyNumberFormat="1" applyFont="1" applyFill="1" applyBorder="1" applyAlignment="1" applyProtection="1">
      <alignment horizontal="left" vertical="center" wrapText="1"/>
    </xf>
    <xf numFmtId="0" fontId="92" fillId="5" borderId="0" xfId="1" applyNumberFormat="1" applyFont="1" applyFill="1" applyBorder="1" applyAlignment="1" applyProtection="1">
      <alignment horizontal="center" vertical="center" wrapText="1"/>
    </xf>
    <xf numFmtId="0" fontId="92" fillId="5" borderId="0" xfId="1" applyNumberFormat="1" applyFont="1" applyFill="1" applyBorder="1" applyAlignment="1" applyProtection="1">
      <alignment horizontal="left" vertical="center"/>
    </xf>
    <xf numFmtId="0" fontId="36" fillId="5" borderId="0" xfId="0" applyFont="1" applyFill="1" applyBorder="1" applyAlignment="1" applyProtection="1">
      <alignment horizontal="right" vertical="center" wrapText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right" vertical="center" wrapText="1"/>
    </xf>
    <xf numFmtId="0" fontId="36" fillId="5" borderId="76" xfId="0" applyFont="1" applyFill="1" applyBorder="1" applyAlignment="1" applyProtection="1">
      <alignment horizontal="center" vertical="center" wrapText="1"/>
    </xf>
    <xf numFmtId="49" fontId="3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9" xfId="0" applyFont="1" applyFill="1" applyBorder="1" applyAlignment="1" applyProtection="1">
      <alignment horizontal="right" vertical="center" wrapText="1"/>
    </xf>
    <xf numFmtId="0" fontId="36" fillId="5" borderId="78" xfId="0" applyFont="1" applyFill="1" applyBorder="1" applyAlignment="1" applyProtection="1">
      <alignment horizontal="center" vertical="center"/>
    </xf>
    <xf numFmtId="0" fontId="36" fillId="5" borderId="10" xfId="0" applyFont="1" applyFill="1" applyBorder="1" applyAlignment="1" applyProtection="1">
      <alignment vertical="center" wrapText="1"/>
    </xf>
    <xf numFmtId="0" fontId="35" fillId="5" borderId="4" xfId="0" applyFont="1" applyFill="1" applyBorder="1" applyAlignment="1" applyProtection="1">
      <alignment horizontal="center" vertical="center" wrapText="1"/>
    </xf>
    <xf numFmtId="49" fontId="88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0" xfId="0" applyNumberFormat="1" applyFont="1" applyFill="1" applyBorder="1" applyAlignment="1" applyProtection="1">
      <alignment vertical="center" wrapText="1"/>
    </xf>
    <xf numFmtId="0" fontId="88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4" xfId="0" applyFont="1" applyFill="1" applyBorder="1" applyAlignment="1" applyProtection="1">
      <alignment vertical="center" wrapText="1"/>
    </xf>
    <xf numFmtId="0" fontId="35" fillId="5" borderId="23" xfId="0" applyFont="1" applyFill="1" applyBorder="1" applyAlignment="1" applyProtection="1">
      <alignment horizontal="center" vertical="center" wrapText="1"/>
    </xf>
    <xf numFmtId="49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4" xfId="0" applyNumberFormat="1" applyFont="1" applyFill="1" applyBorder="1" applyAlignment="1" applyProtection="1">
      <alignment vertical="center" wrapText="1"/>
    </xf>
    <xf numFmtId="0" fontId="35" fillId="5" borderId="7" xfId="0" applyFont="1" applyFill="1" applyBorder="1" applyAlignment="1" applyProtection="1">
      <alignment horizontal="center" vertical="center" wrapText="1"/>
    </xf>
    <xf numFmtId="0" fontId="88" fillId="0" borderId="6" xfId="0" applyFont="1" applyBorder="1" applyAlignment="1" applyProtection="1">
      <alignment horizontal="center" vertical="center" wrapText="1"/>
      <protection locked="0"/>
    </xf>
    <xf numFmtId="0" fontId="35" fillId="5" borderId="0" xfId="0" applyFont="1" applyFill="1" applyBorder="1" applyAlignment="1" applyProtection="1">
      <alignment horizontal="center" vertical="center" wrapText="1"/>
      <protection locked="0"/>
    </xf>
    <xf numFmtId="0" fontId="3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1" xfId="0" applyFont="1" applyFill="1" applyBorder="1" applyAlignment="1" applyProtection="1">
      <alignment horizontal="center" vertical="center" wrapText="1"/>
    </xf>
    <xf numFmtId="0" fontId="88" fillId="0" borderId="34" xfId="0" applyFont="1" applyBorder="1" applyAlignment="1" applyProtection="1">
      <alignment horizontal="center" vertical="center" wrapText="1"/>
      <protection locked="0"/>
    </xf>
    <xf numFmtId="0" fontId="35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75" xfId="0" applyNumberFormat="1" applyFont="1" applyFill="1" applyBorder="1" applyAlignment="1" applyProtection="1">
      <alignment vertical="center" wrapText="1"/>
    </xf>
    <xf numFmtId="0" fontId="35" fillId="5" borderId="8" xfId="0" applyFont="1" applyFill="1" applyBorder="1" applyAlignment="1" applyProtection="1">
      <alignment horizontal="center" vertical="center" wrapText="1"/>
    </xf>
    <xf numFmtId="0" fontId="35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6" fillId="5" borderId="75" xfId="0" applyFont="1" applyFill="1" applyBorder="1" applyAlignment="1" applyProtection="1">
      <alignment vertical="center" wrapText="1"/>
    </xf>
    <xf numFmtId="0" fontId="88" fillId="0" borderId="43" xfId="0" applyFont="1" applyBorder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horizontal="center" vertical="center" wrapText="1"/>
      <protection locked="0"/>
    </xf>
    <xf numFmtId="0" fontId="35" fillId="5" borderId="0" xfId="0" applyNumberFormat="1" applyFont="1" applyFill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NumberFormat="1" applyFont="1" applyFill="1" applyAlignment="1" applyProtection="1">
      <alignment horizontal="center" vertical="center" wrapText="1"/>
      <protection locked="0"/>
    </xf>
    <xf numFmtId="0" fontId="111" fillId="5" borderId="0" xfId="0" applyNumberFormat="1" applyFont="1" applyFill="1" applyBorder="1" applyAlignment="1" applyProtection="1">
      <alignment horizontal="left" vertical="center" wrapText="1"/>
    </xf>
    <xf numFmtId="0" fontId="111" fillId="5" borderId="0" xfId="0" applyFont="1" applyFill="1" applyBorder="1" applyAlignment="1" applyProtection="1">
      <alignment horizontal="left" vertical="center"/>
      <protection locked="0"/>
    </xf>
    <xf numFmtId="0" fontId="111" fillId="5" borderId="0" xfId="0" applyFont="1" applyFill="1" applyBorder="1" applyAlignment="1" applyProtection="1">
      <alignment horizontal="left" vertical="center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04" xfId="0" applyFont="1" applyFill="1" applyBorder="1" applyAlignment="1" applyProtection="1">
      <alignment horizontal="center"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6" xfId="0" applyFont="1" applyFill="1" applyBorder="1" applyAlignment="1" applyProtection="1">
      <alignment horizontal="left" vertical="center" wrapText="1"/>
    </xf>
    <xf numFmtId="10" fontId="82" fillId="5" borderId="104" xfId="0" applyNumberFormat="1" applyFont="1" applyFill="1" applyBorder="1" applyAlignment="1" applyProtection="1">
      <alignment horizontal="left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123" fillId="5" borderId="8" xfId="0" applyFont="1" applyFill="1" applyBorder="1" applyAlignment="1" applyProtection="1">
      <alignment horizontal="center" vertical="center" wrapText="1"/>
    </xf>
    <xf numFmtId="188" fontId="122" fillId="5" borderId="63" xfId="0" applyNumberFormat="1" applyFont="1" applyFill="1" applyBorder="1" applyAlignment="1" applyProtection="1">
      <alignment vertical="center"/>
    </xf>
    <xf numFmtId="0" fontId="6" fillId="5" borderId="78" xfId="0" applyFont="1" applyFill="1" applyBorder="1" applyProtection="1">
      <alignment vertical="center"/>
    </xf>
    <xf numFmtId="0" fontId="19" fillId="8" borderId="36" xfId="0" applyFont="1" applyFill="1" applyBorder="1" applyAlignment="1" applyProtection="1">
      <alignment horizontal="left" vertical="center"/>
      <protection locked="0"/>
    </xf>
    <xf numFmtId="0" fontId="6" fillId="8" borderId="36" xfId="0" applyFont="1" applyFill="1" applyBorder="1" applyProtection="1">
      <alignment vertical="center"/>
      <protection locked="0"/>
    </xf>
    <xf numFmtId="0" fontId="6" fillId="0" borderId="0" xfId="0" applyFont="1" applyBorder="1" applyProtection="1">
      <alignment vertical="center"/>
      <protection locked="0"/>
    </xf>
    <xf numFmtId="0" fontId="6" fillId="8" borderId="21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Protection="1">
      <alignment vertical="center"/>
      <protection locked="0"/>
    </xf>
    <xf numFmtId="0" fontId="6" fillId="8" borderId="24" xfId="0" applyFont="1" applyFill="1" applyBorder="1" applyAlignment="1" applyProtection="1">
      <alignment horizontal="right" vertical="center"/>
      <protection locked="0"/>
    </xf>
    <xf numFmtId="14" fontId="52" fillId="5" borderId="63" xfId="0" applyNumberFormat="1" applyFont="1" applyFill="1" applyBorder="1" applyAlignment="1" applyProtection="1">
      <alignment horizontal="center" vertical="center" wrapText="1"/>
    </xf>
    <xf numFmtId="0" fontId="128" fillId="5" borderId="40" xfId="0" applyFont="1" applyFill="1" applyBorder="1" applyAlignment="1" applyProtection="1">
      <alignment vertical="center" wrapText="1"/>
    </xf>
    <xf numFmtId="0" fontId="128" fillId="5" borderId="67" xfId="0" applyFont="1" applyFill="1" applyBorder="1" applyAlignment="1" applyProtection="1">
      <alignment vertical="center" wrapText="1"/>
    </xf>
    <xf numFmtId="0" fontId="111" fillId="6" borderId="1" xfId="0" applyFont="1" applyFill="1" applyBorder="1" applyAlignment="1" applyProtection="1">
      <alignment horizontal="center" vertical="center" wrapText="1"/>
      <protection locked="0"/>
    </xf>
    <xf numFmtId="0" fontId="57" fillId="5" borderId="11" xfId="0" applyFont="1" applyFill="1" applyBorder="1" applyAlignment="1" applyProtection="1">
      <alignment horizontal="center" vertical="center" wrapText="1"/>
    </xf>
    <xf numFmtId="0" fontId="124" fillId="6" borderId="6" xfId="0" applyFont="1" applyFill="1" applyBorder="1" applyAlignment="1" applyProtection="1">
      <alignment horizontal="center" vertical="center" wrapText="1"/>
      <protection locked="0"/>
    </xf>
    <xf numFmtId="0" fontId="57" fillId="0" borderId="1" xfId="0" applyFont="1" applyBorder="1" applyAlignment="1" applyProtection="1">
      <alignment horizontal="center" vertical="center" wrapText="1"/>
      <protection locked="0"/>
    </xf>
    <xf numFmtId="49" fontId="47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1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7" fillId="5" borderId="9" xfId="0" applyNumberFormat="1" applyFont="1" applyFill="1" applyBorder="1" applyAlignment="1" applyProtection="1">
      <alignment horizontal="center" vertical="center" wrapText="1"/>
    </xf>
    <xf numFmtId="49" fontId="92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4" fillId="5" borderId="7" xfId="0" applyNumberFormat="1" applyFont="1" applyFill="1" applyBorder="1" applyAlignment="1" applyProtection="1">
      <alignment horizontal="left" vertical="center" wrapText="1"/>
    </xf>
    <xf numFmtId="0" fontId="124" fillId="5" borderId="6" xfId="0" applyNumberFormat="1" applyFont="1" applyFill="1" applyBorder="1" applyAlignment="1" applyProtection="1">
      <alignment horizontal="center" vertical="center" wrapText="1"/>
    </xf>
    <xf numFmtId="0" fontId="128" fillId="5" borderId="17" xfId="0" applyFont="1" applyFill="1" applyBorder="1" applyAlignment="1" applyProtection="1">
      <alignment horizontal="left" vertical="center" wrapText="1"/>
    </xf>
    <xf numFmtId="0" fontId="56" fillId="5" borderId="17" xfId="0" applyNumberFormat="1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center" vertical="center"/>
    </xf>
    <xf numFmtId="0" fontId="124" fillId="5" borderId="34" xfId="0" applyFont="1" applyFill="1" applyBorder="1" applyAlignment="1" applyProtection="1">
      <alignment horizontal="center" vertical="center" wrapText="1"/>
    </xf>
    <xf numFmtId="0" fontId="128" fillId="5" borderId="107" xfId="0" applyFont="1" applyFill="1" applyBorder="1" applyAlignment="1" applyProtection="1">
      <alignment horizontal="center" vertical="center" wrapText="1"/>
    </xf>
    <xf numFmtId="0" fontId="128" fillId="5" borderId="108" xfId="0" applyFont="1" applyFill="1" applyBorder="1" applyAlignment="1" applyProtection="1">
      <alignment horizontal="left" vertical="center" wrapText="1"/>
    </xf>
    <xf numFmtId="0" fontId="56" fillId="0" borderId="72" xfId="0" applyFont="1" applyBorder="1" applyAlignment="1" applyProtection="1">
      <alignment horizontal="center" vertical="center" wrapText="1"/>
      <protection locked="0"/>
    </xf>
    <xf numFmtId="0" fontId="57" fillId="5" borderId="72" xfId="0" applyFont="1" applyFill="1" applyBorder="1" applyAlignment="1" applyProtection="1">
      <alignment horizontal="center" vertical="center" wrapText="1"/>
    </xf>
    <xf numFmtId="0" fontId="57" fillId="5" borderId="73" xfId="0" applyFont="1" applyFill="1" applyBorder="1" applyAlignment="1" applyProtection="1">
      <alignment horizontal="center" vertical="center" wrapText="1"/>
    </xf>
    <xf numFmtId="0" fontId="74" fillId="5" borderId="23" xfId="0" applyFont="1" applyFill="1" applyBorder="1" applyAlignment="1" applyProtection="1">
      <alignment horizontal="center" vertical="center" wrapText="1"/>
    </xf>
    <xf numFmtId="185" fontId="56" fillId="5" borderId="17" xfId="0" applyNumberFormat="1" applyFont="1" applyFill="1" applyBorder="1" applyAlignment="1" applyProtection="1">
      <alignment horizontal="center" vertical="center" wrapText="1"/>
    </xf>
    <xf numFmtId="0" fontId="16" fillId="5" borderId="17" xfId="0" applyFont="1" applyFill="1" applyBorder="1" applyAlignment="1" applyProtection="1">
      <alignment vertical="center" wrapText="1"/>
    </xf>
    <xf numFmtId="0" fontId="16" fillId="5" borderId="34" xfId="0" applyFont="1" applyFill="1" applyBorder="1" applyAlignment="1" applyProtection="1">
      <alignment vertical="center" wrapText="1"/>
    </xf>
    <xf numFmtId="0" fontId="74" fillId="5" borderId="109" xfId="0" applyFont="1" applyFill="1" applyBorder="1" applyAlignment="1" applyProtection="1">
      <alignment horizontal="center" vertical="center" wrapText="1"/>
    </xf>
    <xf numFmtId="0" fontId="128" fillId="5" borderId="110" xfId="0" applyFont="1" applyFill="1" applyBorder="1" applyAlignment="1" applyProtection="1">
      <alignment vertical="center" wrapText="1"/>
      <protection locked="0"/>
    </xf>
    <xf numFmtId="0" fontId="56" fillId="5" borderId="110" xfId="0" applyFont="1" applyFill="1" applyBorder="1" applyAlignment="1" applyProtection="1">
      <alignment horizontal="center" vertical="center" wrapText="1"/>
    </xf>
    <xf numFmtId="0" fontId="16" fillId="5" borderId="110" xfId="0" applyFont="1" applyFill="1" applyBorder="1" applyAlignment="1" applyProtection="1">
      <alignment vertical="center" wrapText="1"/>
    </xf>
    <xf numFmtId="0" fontId="16" fillId="5" borderId="111" xfId="0" applyFont="1" applyFill="1" applyBorder="1" applyAlignment="1" applyProtection="1">
      <alignment vertical="center" wrapText="1"/>
    </xf>
    <xf numFmtId="0" fontId="128" fillId="5" borderId="61" xfId="0" applyFont="1" applyFill="1" applyBorder="1" applyAlignment="1" applyProtection="1">
      <alignment horizontal="left" vertical="center" wrapText="1"/>
    </xf>
    <xf numFmtId="0" fontId="128" fillId="5" borderId="17" xfId="0" applyFont="1" applyFill="1" applyBorder="1" applyAlignment="1" applyProtection="1">
      <alignment horizontal="center" vertical="center" wrapText="1"/>
    </xf>
    <xf numFmtId="0" fontId="128" fillId="5" borderId="61" xfId="0" applyFont="1" applyFill="1" applyBorder="1" applyAlignment="1" applyProtection="1">
      <alignment horizontal="center" vertical="center" wrapText="1"/>
    </xf>
    <xf numFmtId="0" fontId="128" fillId="5" borderId="83" xfId="0" applyFont="1" applyFill="1" applyBorder="1" applyAlignment="1" applyProtection="1">
      <alignment horizontal="center" vertical="center" wrapText="1"/>
    </xf>
    <xf numFmtId="0" fontId="124" fillId="5" borderId="72" xfId="0" applyFont="1" applyFill="1" applyBorder="1" applyAlignment="1" applyProtection="1">
      <alignment horizontal="center" vertical="center" wrapText="1"/>
    </xf>
    <xf numFmtId="0" fontId="16" fillId="5" borderId="72" xfId="0" applyFont="1" applyFill="1" applyBorder="1" applyAlignment="1" applyProtection="1">
      <alignment vertical="center" wrapText="1"/>
    </xf>
    <xf numFmtId="0" fontId="16" fillId="5" borderId="73" xfId="0" applyFont="1" applyFill="1" applyBorder="1" applyAlignment="1" applyProtection="1">
      <alignment vertical="center" wrapText="1"/>
    </xf>
    <xf numFmtId="0" fontId="124" fillId="5" borderId="71" xfId="0" applyFont="1" applyFill="1" applyBorder="1" applyAlignment="1" applyProtection="1">
      <alignment horizontal="left" vertical="center" wrapText="1"/>
    </xf>
    <xf numFmtId="0" fontId="57" fillId="0" borderId="71" xfId="0" applyFont="1" applyBorder="1" applyAlignment="1" applyProtection="1">
      <alignment horizontal="center" vertical="center" wrapText="1"/>
      <protection locked="0"/>
    </xf>
    <xf numFmtId="0" fontId="57" fillId="5" borderId="71" xfId="0" applyFont="1" applyFill="1" applyBorder="1" applyAlignment="1" applyProtection="1">
      <alignment horizontal="center" vertical="center" wrapText="1"/>
    </xf>
    <xf numFmtId="0" fontId="128" fillId="5" borderId="112" xfId="0" applyFont="1" applyFill="1" applyBorder="1" applyAlignment="1" applyProtection="1">
      <alignment horizontal="center" vertical="center" wrapText="1"/>
    </xf>
    <xf numFmtId="0" fontId="111" fillId="6" borderId="31" xfId="0" applyFont="1" applyFill="1" applyBorder="1" applyAlignment="1" applyProtection="1">
      <alignment vertical="center" wrapText="1"/>
      <protection locked="0"/>
    </xf>
    <xf numFmtId="0" fontId="111" fillId="6" borderId="30" xfId="0" applyFont="1" applyFill="1" applyBorder="1" applyAlignment="1" applyProtection="1">
      <alignment horizontal="left" vertical="center"/>
      <protection locked="0"/>
    </xf>
    <xf numFmtId="0" fontId="57" fillId="6" borderId="6" xfId="1" applyFont="1" applyFill="1" applyBorder="1" applyAlignment="1" applyProtection="1">
      <alignment horizontal="center" vertical="center"/>
      <protection locked="0"/>
    </xf>
    <xf numFmtId="0" fontId="92" fillId="5" borderId="26" xfId="1" applyFont="1" applyFill="1" applyBorder="1" applyAlignment="1" applyProtection="1">
      <alignment horizontal="center" vertical="center" wrapText="1"/>
    </xf>
    <xf numFmtId="0" fontId="92" fillId="5" borderId="48" xfId="1" applyFont="1" applyFill="1" applyBorder="1" applyAlignment="1" applyProtection="1">
      <alignment horizontal="left" vertical="center" wrapText="1"/>
    </xf>
    <xf numFmtId="0" fontId="85" fillId="5" borderId="48" xfId="1" applyNumberFormat="1" applyFont="1" applyFill="1" applyBorder="1" applyAlignment="1" applyProtection="1">
      <alignment horizontal="center" vertical="center" wrapText="1"/>
    </xf>
    <xf numFmtId="10" fontId="53" fillId="5" borderId="18" xfId="1" applyNumberFormat="1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0" fontId="56" fillId="5" borderId="23" xfId="0" applyFont="1" applyFill="1" applyBorder="1" applyAlignment="1" applyProtection="1">
      <alignment horizontal="center" vertical="center" wrapText="1"/>
    </xf>
    <xf numFmtId="0" fontId="124" fillId="5" borderId="17" xfId="0" applyFont="1" applyFill="1" applyBorder="1" applyAlignment="1" applyProtection="1">
      <alignment horizontal="left" vertical="center" wrapText="1"/>
    </xf>
    <xf numFmtId="0" fontId="57" fillId="0" borderId="17" xfId="0" applyFont="1" applyBorder="1" applyAlignment="1" applyProtection="1">
      <alignment horizontal="center" vertical="center" wrapText="1"/>
      <protection locked="0"/>
    </xf>
    <xf numFmtId="0" fontId="128" fillId="5" borderId="113" xfId="0" applyFont="1" applyFill="1" applyBorder="1" applyAlignment="1" applyProtection="1">
      <alignment horizontal="center" vertical="center" wrapText="1"/>
    </xf>
    <xf numFmtId="0" fontId="128" fillId="5" borderId="32" xfId="0" applyFont="1" applyFill="1" applyBorder="1" applyAlignment="1" applyProtection="1">
      <alignment horizontal="left" vertical="center" wrapText="1"/>
    </xf>
    <xf numFmtId="0" fontId="57" fillId="5" borderId="32" xfId="0" applyFont="1" applyFill="1" applyBorder="1" applyAlignment="1" applyProtection="1">
      <alignment horizontal="center" vertical="center" wrapText="1"/>
    </xf>
    <xf numFmtId="0" fontId="16" fillId="5" borderId="32" xfId="0" applyFont="1" applyFill="1" applyBorder="1" applyAlignment="1" applyProtection="1">
      <alignment vertical="center" wrapText="1"/>
    </xf>
    <xf numFmtId="0" fontId="16" fillId="5" borderId="33" xfId="0" applyFont="1" applyFill="1" applyBorder="1" applyAlignment="1" applyProtection="1">
      <alignment vertical="center" wrapText="1"/>
    </xf>
    <xf numFmtId="0" fontId="57" fillId="5" borderId="6" xfId="0" applyNumberFormat="1" applyFont="1" applyFill="1" applyBorder="1" applyAlignment="1" applyProtection="1">
      <alignment horizontal="center" vertical="center"/>
    </xf>
    <xf numFmtId="0" fontId="92" fillId="5" borderId="0" xfId="1" applyFont="1" applyFill="1" applyBorder="1" applyAlignment="1" applyProtection="1">
      <alignment horizontal="center" vertical="center"/>
    </xf>
    <xf numFmtId="0" fontId="56" fillId="5" borderId="40" xfId="0" applyFont="1" applyFill="1" applyBorder="1" applyAlignment="1" applyProtection="1">
      <alignment vertical="center" wrapText="1"/>
    </xf>
    <xf numFmtId="0" fontId="128" fillId="5" borderId="3" xfId="1" applyFont="1" applyFill="1" applyBorder="1" applyAlignment="1" applyProtection="1">
      <alignment vertical="center"/>
    </xf>
    <xf numFmtId="0" fontId="56" fillId="5" borderId="58" xfId="1" applyFont="1" applyFill="1" applyBorder="1" applyAlignment="1" applyProtection="1">
      <alignment horizontal="right" vertical="center"/>
    </xf>
    <xf numFmtId="0" fontId="128" fillId="5" borderId="54" xfId="0" applyFont="1" applyFill="1" applyBorder="1" applyAlignment="1" applyProtection="1">
      <alignment vertical="center" wrapText="1"/>
    </xf>
    <xf numFmtId="0" fontId="92" fillId="5" borderId="5" xfId="1" applyFont="1" applyFill="1" applyBorder="1" applyAlignment="1" applyProtection="1">
      <alignment horizontal="center" vertical="center" wrapText="1"/>
      <protection locked="0"/>
    </xf>
    <xf numFmtId="0" fontId="92" fillId="5" borderId="37" xfId="1" applyFont="1" applyFill="1" applyBorder="1" applyAlignment="1" applyProtection="1">
      <alignment horizontal="center" vertical="center" wrapText="1"/>
      <protection locked="0"/>
    </xf>
    <xf numFmtId="0" fontId="92" fillId="5" borderId="76" xfId="1" applyFont="1" applyFill="1" applyBorder="1" applyAlignment="1" applyProtection="1">
      <alignment horizontal="center" vertical="center" wrapText="1"/>
      <protection locked="0"/>
    </xf>
    <xf numFmtId="0" fontId="92" fillId="5" borderId="39" xfId="1" applyFont="1" applyFill="1" applyBorder="1" applyAlignment="1" applyProtection="1">
      <alignment horizontal="center" vertical="center" wrapText="1"/>
      <protection locked="0"/>
    </xf>
    <xf numFmtId="9" fontId="92" fillId="0" borderId="0" xfId="1" applyNumberFormat="1" applyFont="1" applyBorder="1" applyAlignment="1" applyProtection="1">
      <alignment horizontal="center" vertical="center" wrapText="1"/>
      <protection locked="0"/>
    </xf>
    <xf numFmtId="9" fontId="92" fillId="0" borderId="51" xfId="1" applyNumberFormat="1" applyFont="1" applyBorder="1" applyAlignment="1" applyProtection="1">
      <alignment horizontal="center" vertical="center" wrapText="1"/>
      <protection locked="0"/>
    </xf>
    <xf numFmtId="0" fontId="92" fillId="5" borderId="29" xfId="1" applyFont="1" applyFill="1" applyBorder="1" applyAlignment="1" applyProtection="1">
      <alignment horizontal="center" vertical="center" wrapText="1"/>
      <protection locked="0"/>
    </xf>
    <xf numFmtId="0" fontId="129" fillId="5" borderId="1" xfId="0" applyFont="1" applyFill="1" applyBorder="1" applyAlignment="1" applyProtection="1">
      <alignment horizontal="center" vertical="center" wrapText="1"/>
    </xf>
    <xf numFmtId="10" fontId="53" fillId="5" borderId="6" xfId="0" applyNumberFormat="1" applyFont="1" applyFill="1" applyBorder="1" applyAlignment="1" applyProtection="1">
      <alignment horizontal="center" vertical="center" wrapText="1"/>
    </xf>
    <xf numFmtId="0" fontId="111" fillId="5" borderId="1" xfId="0" applyFont="1" applyFill="1" applyBorder="1" applyAlignment="1" applyProtection="1">
      <alignment horizontal="center" vertical="center" wrapText="1"/>
    </xf>
    <xf numFmtId="49" fontId="129" fillId="5" borderId="1" xfId="0" applyNumberFormat="1" applyFont="1" applyFill="1" applyBorder="1" applyAlignment="1" applyProtection="1">
      <alignment horizontal="center" vertical="center" wrapText="1"/>
    </xf>
    <xf numFmtId="10" fontId="53" fillId="5" borderId="2" xfId="0" applyNumberFormat="1" applyFont="1" applyFill="1" applyBorder="1" applyAlignment="1" applyProtection="1">
      <alignment horizontal="center" vertical="center" wrapText="1"/>
    </xf>
    <xf numFmtId="0" fontId="129" fillId="5" borderId="2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vertical="center" wrapText="1"/>
      <protection locked="0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9" fillId="5" borderId="123" xfId="0" applyFont="1" applyFill="1" applyBorder="1" applyAlignment="1" applyProtection="1">
      <alignment horizontal="center" vertical="center" wrapText="1"/>
    </xf>
    <xf numFmtId="10" fontId="53" fillId="5" borderId="123" xfId="0" applyNumberFormat="1" applyFont="1" applyFill="1" applyBorder="1" applyAlignment="1" applyProtection="1">
      <alignment horizontal="center" vertical="center" wrapText="1"/>
    </xf>
    <xf numFmtId="0" fontId="53" fillId="5" borderId="123" xfId="0" applyFont="1" applyFill="1" applyBorder="1" applyAlignment="1" applyProtection="1">
      <alignment horizontal="center" vertical="center" wrapText="1"/>
    </xf>
    <xf numFmtId="10" fontId="53" fillId="5" borderId="125" xfId="0" applyNumberFormat="1" applyFont="1" applyFill="1" applyBorder="1" applyAlignment="1" applyProtection="1">
      <alignment horizontal="center" vertical="center" wrapText="1"/>
    </xf>
    <xf numFmtId="10" fontId="53" fillId="5" borderId="50" xfId="0" applyNumberFormat="1" applyFont="1" applyFill="1" applyBorder="1" applyAlignment="1" applyProtection="1">
      <alignment horizontal="center" vertical="center" wrapText="1"/>
    </xf>
    <xf numFmtId="0" fontId="53" fillId="5" borderId="2" xfId="0" applyFont="1" applyFill="1" applyBorder="1" applyAlignment="1" applyProtection="1">
      <alignment horizontal="center" vertical="center" wrapText="1"/>
    </xf>
    <xf numFmtId="0" fontId="111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3" fillId="5" borderId="1" xfId="0" applyFont="1" applyFill="1" applyBorder="1" applyAlignment="1" applyProtection="1">
      <alignment horizontal="center" vertical="center"/>
    </xf>
    <xf numFmtId="0" fontId="148" fillId="12" borderId="115" xfId="0" applyFont="1" applyFill="1" applyBorder="1" applyAlignment="1" applyProtection="1">
      <alignment horizontal="center" vertical="center" wrapText="1"/>
    </xf>
    <xf numFmtId="0" fontId="148" fillId="12" borderId="116" xfId="0" applyFont="1" applyFill="1" applyBorder="1" applyAlignment="1" applyProtection="1">
      <alignment horizontal="center" vertical="center" wrapText="1"/>
    </xf>
    <xf numFmtId="0" fontId="148" fillId="12" borderId="117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9" fillId="13" borderId="115" xfId="0" applyFont="1" applyFill="1" applyBorder="1" applyAlignment="1" applyProtection="1">
      <alignment horizontal="center" vertical="center" wrapText="1"/>
    </xf>
    <xf numFmtId="0" fontId="149" fillId="13" borderId="116" xfId="0" applyFont="1" applyFill="1" applyBorder="1" applyAlignment="1" applyProtection="1">
      <alignment horizontal="center" vertical="center" wrapText="1"/>
    </xf>
    <xf numFmtId="0" fontId="149" fillId="13" borderId="117" xfId="0" applyFont="1" applyFill="1" applyBorder="1" applyAlignment="1" applyProtection="1">
      <alignment horizontal="center" vertical="center" wrapText="1"/>
    </xf>
    <xf numFmtId="0" fontId="149" fillId="12" borderId="118" xfId="0" applyFont="1" applyFill="1" applyBorder="1" applyAlignment="1" applyProtection="1">
      <alignment horizontal="center" vertical="center" wrapText="1"/>
    </xf>
    <xf numFmtId="0" fontId="149" fillId="12" borderId="114" xfId="0" applyFont="1" applyFill="1" applyBorder="1" applyAlignment="1" applyProtection="1">
      <alignment horizontal="center" vertical="center" wrapText="1"/>
    </xf>
    <xf numFmtId="0" fontId="149" fillId="12" borderId="119" xfId="0" applyFont="1" applyFill="1" applyBorder="1" applyAlignment="1" applyProtection="1">
      <alignment horizontal="center" vertical="center" wrapText="1"/>
    </xf>
    <xf numFmtId="0" fontId="149" fillId="13" borderId="118" xfId="0" applyFont="1" applyFill="1" applyBorder="1" applyAlignment="1" applyProtection="1">
      <alignment horizontal="center" vertical="center" wrapText="1"/>
    </xf>
    <xf numFmtId="0" fontId="149" fillId="13" borderId="114" xfId="0" applyFont="1" applyFill="1" applyBorder="1" applyAlignment="1" applyProtection="1">
      <alignment horizontal="center" vertical="center" wrapText="1"/>
    </xf>
    <xf numFmtId="0" fontId="149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9" fillId="12" borderId="120" xfId="0" applyFont="1" applyFill="1" applyBorder="1" applyAlignment="1" applyProtection="1">
      <alignment horizontal="center" vertical="center" wrapText="1"/>
    </xf>
    <xf numFmtId="0" fontId="149" fillId="12" borderId="121" xfId="0" applyFont="1" applyFill="1" applyBorder="1" applyAlignment="1" applyProtection="1">
      <alignment horizontal="center" vertical="center" wrapText="1"/>
    </xf>
    <xf numFmtId="0" fontId="149" fillId="12" borderId="122" xfId="0" applyFont="1" applyFill="1" applyBorder="1" applyAlignment="1" applyProtection="1">
      <alignment horizontal="center" vertical="center" wrapText="1"/>
    </xf>
    <xf numFmtId="0" fontId="148" fillId="13" borderId="120" xfId="0" applyFont="1" applyFill="1" applyBorder="1" applyAlignment="1" applyProtection="1">
      <alignment horizontal="center" vertical="center" wrapText="1"/>
    </xf>
    <xf numFmtId="0" fontId="148" fillId="13" borderId="121" xfId="0" applyFont="1" applyFill="1" applyBorder="1" applyAlignment="1" applyProtection="1">
      <alignment horizontal="center" vertical="center" wrapText="1"/>
    </xf>
    <xf numFmtId="0" fontId="148" fillId="13" borderId="122" xfId="0" applyFont="1" applyFill="1" applyBorder="1" applyAlignment="1" applyProtection="1">
      <alignment horizontal="center" vertical="center" wrapText="1"/>
    </xf>
    <xf numFmtId="10" fontId="83" fillId="5" borderId="1" xfId="0" applyNumberFormat="1" applyFont="1" applyFill="1" applyBorder="1" applyAlignment="1" applyProtection="1">
      <alignment horizontal="center" vertical="center"/>
    </xf>
    <xf numFmtId="10" fontId="83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3" fillId="6" borderId="31" xfId="0" applyFont="1" applyFill="1" applyBorder="1" applyAlignment="1" applyProtection="1">
      <alignment horizontal="center" vertical="center" wrapText="1"/>
      <protection locked="0"/>
    </xf>
    <xf numFmtId="0" fontId="111" fillId="6" borderId="1" xfId="0" applyFont="1" applyFill="1" applyBorder="1" applyAlignment="1" applyProtection="1">
      <alignment horizontal="left" vertical="center"/>
      <protection locked="0"/>
    </xf>
    <xf numFmtId="0" fontId="52" fillId="5" borderId="2" xfId="0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/>
      <protection locked="0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111" fillId="6" borderId="8" xfId="0" applyFont="1" applyFill="1" applyBorder="1" applyAlignment="1" applyProtection="1">
      <alignment horizontal="left" vertical="center"/>
      <protection locked="0"/>
    </xf>
    <xf numFmtId="185" fontId="51" fillId="5" borderId="14" xfId="0" applyNumberFormat="1" applyFont="1" applyFill="1" applyBorder="1" applyAlignment="1" applyProtection="1">
      <alignment horizontal="center" vertical="center" wrapText="1"/>
    </xf>
    <xf numFmtId="185" fontId="51" fillId="5" borderId="12" xfId="0" applyNumberFormat="1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29" fillId="5" borderId="126" xfId="0" applyFont="1" applyFill="1" applyBorder="1" applyAlignment="1" applyProtection="1">
      <alignment horizontal="center" vertical="center" wrapText="1"/>
    </xf>
    <xf numFmtId="0" fontId="111" fillId="5" borderId="126" xfId="0" applyFont="1" applyFill="1" applyBorder="1" applyAlignment="1" applyProtection="1">
      <alignment horizontal="center" vertical="center" wrapText="1"/>
    </xf>
    <xf numFmtId="181" fontId="53" fillId="5" borderId="127" xfId="0" applyNumberFormat="1" applyFont="1" applyFill="1" applyBorder="1" applyAlignment="1" applyProtection="1">
      <alignment horizontal="center" vertical="center" wrapText="1"/>
    </xf>
    <xf numFmtId="181" fontId="85" fillId="5" borderId="12" xfId="0" applyNumberFormat="1" applyFont="1" applyFill="1" applyBorder="1" applyAlignment="1" applyProtection="1">
      <alignment horizontal="center" vertical="center" wrapText="1"/>
    </xf>
    <xf numFmtId="0" fontId="111" fillId="6" borderId="126" xfId="0" applyFont="1" applyFill="1" applyBorder="1" applyAlignment="1" applyProtection="1">
      <alignment horizontal="center" vertical="center" wrapText="1"/>
      <protection locked="0"/>
    </xf>
    <xf numFmtId="0" fontId="54" fillId="5" borderId="13" xfId="0" applyFont="1" applyFill="1" applyBorder="1" applyAlignment="1" applyProtection="1">
      <alignment horizontal="center" vertical="center" wrapText="1"/>
    </xf>
    <xf numFmtId="0" fontId="52" fillId="5" borderId="129" xfId="0" applyFont="1" applyFill="1" applyBorder="1" applyAlignment="1" applyProtection="1">
      <alignment horizontal="center" vertical="center" wrapText="1"/>
    </xf>
    <xf numFmtId="179" fontId="52" fillId="5" borderId="3" xfId="0" applyNumberFormat="1" applyFont="1" applyFill="1" applyBorder="1" applyAlignment="1" applyProtection="1">
      <alignment horizontal="center" vertical="center" wrapText="1"/>
    </xf>
    <xf numFmtId="179" fontId="52" fillId="5" borderId="106" xfId="0" applyNumberFormat="1" applyFont="1" applyFill="1" applyBorder="1" applyAlignment="1" applyProtection="1">
      <alignment horizontal="center" vertical="center" wrapText="1"/>
    </xf>
    <xf numFmtId="0" fontId="52" fillId="5" borderId="104" xfId="0" applyFont="1" applyFill="1" applyBorder="1" applyAlignment="1" applyProtection="1">
      <alignment horizontal="center" vertical="center" wrapText="1"/>
    </xf>
    <xf numFmtId="0" fontId="57" fillId="5" borderId="2" xfId="0" applyFont="1" applyFill="1" applyBorder="1" applyAlignment="1" applyProtection="1">
      <alignment horizontal="center" vertical="center" wrapText="1"/>
    </xf>
    <xf numFmtId="179" fontId="57" fillId="5" borderId="3" xfId="0" applyNumberFormat="1" applyFont="1" applyFill="1" applyBorder="1" applyAlignment="1" applyProtection="1">
      <alignment horizontal="center" vertical="center" wrapText="1"/>
    </xf>
    <xf numFmtId="179" fontId="57" fillId="5" borderId="129" xfId="0" applyNumberFormat="1" applyFont="1" applyFill="1" applyBorder="1" applyAlignment="1" applyProtection="1">
      <alignment horizontal="center" vertical="center" wrapText="1"/>
    </xf>
    <xf numFmtId="0" fontId="57" fillId="5" borderId="104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181" fontId="105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4" fillId="5" borderId="126" xfId="0" applyFont="1" applyFill="1" applyBorder="1" applyAlignment="1" applyProtection="1">
      <alignment horizontal="left" vertical="center" wrapText="1"/>
    </xf>
    <xf numFmtId="0" fontId="124" fillId="6" borderId="127" xfId="0" applyFont="1" applyFill="1" applyBorder="1" applyAlignment="1" applyProtection="1">
      <alignment horizontal="center" vertical="center" wrapText="1"/>
      <protection locked="0"/>
    </xf>
    <xf numFmtId="9" fontId="92" fillId="5" borderId="40" xfId="1" applyNumberFormat="1" applyFont="1" applyFill="1" applyBorder="1" applyAlignment="1" applyProtection="1">
      <alignment horizontal="center" vertical="center" wrapText="1"/>
    </xf>
    <xf numFmtId="9" fontId="92" fillId="5" borderId="30" xfId="1" applyNumberFormat="1" applyFont="1" applyFill="1" applyBorder="1" applyAlignment="1" applyProtection="1">
      <alignment horizontal="center" vertical="center" wrapText="1"/>
    </xf>
    <xf numFmtId="0" fontId="111" fillId="6" borderId="0" xfId="0" applyFont="1" applyFill="1" applyAlignment="1" applyProtection="1">
      <alignment vertical="center" wrapText="1"/>
      <protection locked="0"/>
    </xf>
    <xf numFmtId="0" fontId="124" fillId="6" borderId="11" xfId="0" applyFont="1" applyFill="1" applyBorder="1" applyAlignment="1" applyProtection="1">
      <alignment horizontal="center" vertical="center" wrapText="1"/>
      <protection locked="0"/>
    </xf>
    <xf numFmtId="49" fontId="47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4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4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0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2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8" fillId="5" borderId="26" xfId="0" applyFont="1" applyFill="1" applyBorder="1" applyAlignment="1" applyProtection="1">
      <alignment horizontal="center" vertical="center" wrapText="1"/>
    </xf>
    <xf numFmtId="14" fontId="52" fillId="5" borderId="14" xfId="0" applyNumberFormat="1" applyFont="1" applyFill="1" applyBorder="1" applyAlignment="1" applyProtection="1">
      <alignment horizontal="center" vertical="center" wrapText="1"/>
    </xf>
    <xf numFmtId="0" fontId="86" fillId="0" borderId="0" xfId="8" applyFont="1">
      <alignment vertical="center"/>
    </xf>
    <xf numFmtId="0" fontId="86" fillId="0" borderId="0" xfId="8" applyFont="1" applyAlignment="1">
      <alignment horizontal="center" vertical="center"/>
    </xf>
    <xf numFmtId="49" fontId="53" fillId="5" borderId="1" xfId="8" applyNumberFormat="1" applyFont="1" applyFill="1" applyBorder="1" applyAlignment="1" applyProtection="1">
      <alignment horizontal="center" vertical="center" wrapText="1"/>
    </xf>
    <xf numFmtId="0" fontId="152" fillId="12" borderId="116" xfId="8" applyFont="1" applyFill="1" applyBorder="1" applyAlignment="1" applyProtection="1">
      <alignment horizontal="center" vertical="center" wrapText="1"/>
    </xf>
    <xf numFmtId="0" fontId="152" fillId="12" borderId="117" xfId="8" applyFont="1" applyFill="1" applyBorder="1" applyAlignment="1" applyProtection="1">
      <alignment horizontal="center" vertical="center" wrapText="1"/>
    </xf>
    <xf numFmtId="0" fontId="152" fillId="13" borderId="114" xfId="8" applyFont="1" applyFill="1" applyBorder="1" applyAlignment="1" applyProtection="1">
      <alignment horizontal="center" vertical="center" wrapText="1"/>
    </xf>
    <xf numFmtId="0" fontId="152" fillId="12" borderId="114" xfId="8" applyFont="1" applyFill="1" applyBorder="1" applyAlignment="1" applyProtection="1">
      <alignment horizontal="center" vertical="center" wrapText="1"/>
    </xf>
    <xf numFmtId="184" fontId="86" fillId="12" borderId="116" xfId="8" applyNumberFormat="1" applyFont="1" applyFill="1" applyBorder="1" applyAlignment="1">
      <alignment horizontal="center" vertical="center" wrapText="1"/>
    </xf>
    <xf numFmtId="0" fontId="85" fillId="0" borderId="0" xfId="8" applyFont="1">
      <alignment vertical="center"/>
    </xf>
    <xf numFmtId="10" fontId="85" fillId="0" borderId="0" xfId="8" applyNumberFormat="1" applyFont="1">
      <alignment vertical="center"/>
    </xf>
    <xf numFmtId="177" fontId="85" fillId="0" borderId="0" xfId="8" applyNumberFormat="1" applyFont="1">
      <alignment vertical="center"/>
    </xf>
    <xf numFmtId="181" fontId="85" fillId="0" borderId="0" xfId="8" applyNumberFormat="1" applyFont="1">
      <alignment vertical="center"/>
    </xf>
    <xf numFmtId="184" fontId="85" fillId="0" borderId="0" xfId="8" applyNumberFormat="1" applyFont="1" applyAlignment="1">
      <alignment horizontal="center" vertical="center"/>
    </xf>
    <xf numFmtId="0" fontId="152" fillId="13" borderId="119" xfId="8" applyFont="1" applyFill="1" applyBorder="1" applyAlignment="1" applyProtection="1">
      <alignment horizontal="center" vertical="center" wrapText="1"/>
    </xf>
    <xf numFmtId="0" fontId="152" fillId="12" borderId="119" xfId="8" applyFont="1" applyFill="1" applyBorder="1" applyAlignment="1" applyProtection="1">
      <alignment horizontal="center" vertical="center" wrapText="1"/>
    </xf>
    <xf numFmtId="10" fontId="85" fillId="0" borderId="62" xfId="8" applyNumberFormat="1" applyFont="1" applyBorder="1">
      <alignment vertical="center"/>
    </xf>
    <xf numFmtId="10" fontId="85" fillId="0" borderId="0" xfId="8" applyNumberFormat="1" applyFont="1" applyAlignment="1">
      <alignment horizontal="center" vertical="center"/>
    </xf>
    <xf numFmtId="0" fontId="152" fillId="12" borderId="121" xfId="8" applyFont="1" applyFill="1" applyBorder="1" applyAlignment="1" applyProtection="1">
      <alignment horizontal="center" vertical="center" wrapText="1"/>
    </xf>
    <xf numFmtId="0" fontId="152" fillId="12" borderId="122" xfId="8" applyFont="1" applyFill="1" applyBorder="1" applyAlignment="1" applyProtection="1">
      <alignment horizontal="center" vertical="center" wrapText="1"/>
    </xf>
    <xf numFmtId="10" fontId="85" fillId="0" borderId="36" xfId="8" applyNumberFormat="1" applyFont="1" applyBorder="1">
      <alignment vertical="center"/>
    </xf>
    <xf numFmtId="0" fontId="152" fillId="13" borderId="116" xfId="8" applyFont="1" applyFill="1" applyBorder="1" applyAlignment="1" applyProtection="1">
      <alignment horizontal="center" vertical="center" wrapText="1"/>
    </xf>
    <xf numFmtId="0" fontId="152" fillId="13" borderId="117" xfId="8" applyFont="1" applyFill="1" applyBorder="1" applyAlignment="1" applyProtection="1">
      <alignment horizontal="center" vertical="center" wrapText="1"/>
    </xf>
    <xf numFmtId="10" fontId="85" fillId="0" borderId="0" xfId="8" applyNumberFormat="1" applyFont="1" applyBorder="1">
      <alignment vertical="center"/>
    </xf>
    <xf numFmtId="184" fontId="86" fillId="12" borderId="114" xfId="8" applyNumberFormat="1" applyFont="1" applyFill="1" applyBorder="1" applyAlignment="1">
      <alignment horizontal="center" vertical="center" wrapText="1"/>
    </xf>
    <xf numFmtId="0" fontId="85" fillId="13" borderId="116" xfId="8" applyFont="1" applyFill="1" applyBorder="1" applyAlignment="1" applyProtection="1">
      <alignment horizontal="center" vertical="center" wrapText="1"/>
    </xf>
    <xf numFmtId="0" fontId="85" fillId="13" borderId="117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 applyProtection="1">
      <alignment horizontal="center" vertical="center" wrapText="1"/>
    </xf>
    <xf numFmtId="0" fontId="85" fillId="12" borderId="122" xfId="8" applyFont="1" applyFill="1" applyBorder="1" applyAlignment="1" applyProtection="1">
      <alignment horizontal="center" vertical="center" wrapText="1"/>
    </xf>
    <xf numFmtId="184" fontId="86" fillId="12" borderId="121" xfId="8" applyNumberFormat="1" applyFont="1" applyFill="1" applyBorder="1" applyAlignment="1">
      <alignment horizontal="center" vertical="center" wrapText="1"/>
    </xf>
    <xf numFmtId="184" fontId="85" fillId="10" borderId="0" xfId="8" applyNumberFormat="1" applyFont="1" applyFill="1" applyAlignment="1">
      <alignment horizontal="center" vertical="center"/>
    </xf>
    <xf numFmtId="184" fontId="85" fillId="0" borderId="40" xfId="8" applyNumberFormat="1" applyFont="1" applyBorder="1" applyAlignment="1">
      <alignment horizontal="center" vertical="center"/>
    </xf>
    <xf numFmtId="0" fontId="152" fillId="13" borderId="131" xfId="8" applyFont="1" applyFill="1" applyBorder="1" applyAlignment="1" applyProtection="1">
      <alignment horizontal="center" vertical="center" wrapText="1"/>
    </xf>
    <xf numFmtId="0" fontId="152" fillId="13" borderId="132" xfId="8" applyFont="1" applyFill="1" applyBorder="1" applyAlignment="1" applyProtection="1">
      <alignment horizontal="center" vertical="center" wrapText="1"/>
    </xf>
    <xf numFmtId="0" fontId="85" fillId="0" borderId="40" xfId="8" applyFont="1" applyBorder="1">
      <alignment vertical="center"/>
    </xf>
    <xf numFmtId="10" fontId="85" fillId="0" borderId="40" xfId="8" applyNumberFormat="1" applyFont="1" applyBorder="1">
      <alignment vertical="center"/>
    </xf>
    <xf numFmtId="177" fontId="85" fillId="0" borderId="40" xfId="8" applyNumberFormat="1" applyFont="1" applyBorder="1">
      <alignment vertical="center"/>
    </xf>
    <xf numFmtId="10" fontId="85" fillId="0" borderId="40" xfId="8" applyNumberFormat="1" applyFont="1" applyBorder="1" applyAlignment="1">
      <alignment horizontal="center" vertical="center"/>
    </xf>
    <xf numFmtId="0" fontId="152" fillId="12" borderId="133" xfId="8" applyFont="1" applyFill="1" applyBorder="1" applyAlignment="1" applyProtection="1">
      <alignment horizontal="center" vertical="center" wrapText="1"/>
    </xf>
    <xf numFmtId="0" fontId="152" fillId="12" borderId="134" xfId="8" applyFont="1" applyFill="1" applyBorder="1" applyAlignment="1" applyProtection="1">
      <alignment horizontal="center" vertical="center" wrapText="1"/>
    </xf>
    <xf numFmtId="10" fontId="85" fillId="14" borderId="0" xfId="8" applyNumberFormat="1" applyFont="1" applyFill="1">
      <alignment vertical="center"/>
    </xf>
    <xf numFmtId="178" fontId="85" fillId="0" borderId="0" xfId="8" applyNumberFormat="1" applyFont="1" applyAlignment="1">
      <alignment horizontal="center" vertical="center"/>
    </xf>
    <xf numFmtId="10" fontId="85" fillId="14" borderId="62" xfId="8" applyNumberFormat="1" applyFont="1" applyFill="1" applyBorder="1">
      <alignment vertical="center"/>
    </xf>
    <xf numFmtId="10" fontId="85" fillId="14" borderId="40" xfId="8" applyNumberFormat="1" applyFont="1" applyFill="1" applyBorder="1">
      <alignment vertical="center"/>
    </xf>
    <xf numFmtId="178" fontId="85" fillId="0" borderId="40" xfId="8" applyNumberFormat="1" applyFont="1" applyBorder="1" applyAlignment="1">
      <alignment horizontal="center" vertical="center"/>
    </xf>
    <xf numFmtId="0" fontId="86" fillId="13" borderId="135" xfId="8" applyFont="1" applyFill="1" applyBorder="1" applyAlignment="1">
      <alignment horizontal="center" vertical="center" wrapText="1"/>
    </xf>
    <xf numFmtId="180" fontId="85" fillId="0" borderId="0" xfId="8" applyNumberFormat="1" applyFont="1" applyAlignment="1">
      <alignment horizontal="center" vertical="center"/>
    </xf>
    <xf numFmtId="177" fontId="85" fillId="14" borderId="0" xfId="8" applyNumberFormat="1" applyFont="1" applyFill="1" applyAlignment="1">
      <alignment horizontal="center" vertical="center"/>
    </xf>
    <xf numFmtId="0" fontId="152" fillId="13" borderId="121" xfId="8" applyFont="1" applyFill="1" applyBorder="1" applyAlignment="1" applyProtection="1">
      <alignment horizontal="center" vertical="center" wrapText="1"/>
    </xf>
    <xf numFmtId="0" fontId="86" fillId="12" borderId="121" xfId="8" applyFont="1" applyFill="1" applyBorder="1" applyAlignment="1">
      <alignment horizontal="center" vertical="center" wrapText="1"/>
    </xf>
    <xf numFmtId="0" fontId="86" fillId="12" borderId="136" xfId="8" applyFont="1" applyFill="1" applyBorder="1" applyAlignment="1">
      <alignment horizontal="center" vertical="center" wrapText="1"/>
    </xf>
    <xf numFmtId="0" fontId="86" fillId="12" borderId="137" xfId="8" applyFont="1" applyFill="1" applyBorder="1" applyAlignment="1">
      <alignment horizontal="center" vertical="center" wrapText="1"/>
    </xf>
    <xf numFmtId="0" fontId="152" fillId="13" borderId="116" xfId="8" applyFont="1" applyFill="1" applyBorder="1" applyAlignment="1">
      <alignment horizontal="center" vertical="center" wrapText="1"/>
    </xf>
    <xf numFmtId="0" fontId="152" fillId="13" borderId="117" xfId="8" applyFont="1" applyFill="1" applyBorder="1" applyAlignment="1">
      <alignment horizontal="center" vertical="center" wrapText="1"/>
    </xf>
    <xf numFmtId="0" fontId="152" fillId="12" borderId="115" xfId="8" applyFont="1" applyFill="1" applyBorder="1" applyAlignment="1">
      <alignment horizontal="center" vertical="center" wrapText="1"/>
    </xf>
    <xf numFmtId="0" fontId="152" fillId="12" borderId="116" xfId="8" applyFont="1" applyFill="1" applyBorder="1" applyAlignment="1">
      <alignment horizontal="center" vertical="center" wrapText="1"/>
    </xf>
    <xf numFmtId="0" fontId="152" fillId="12" borderId="117" xfId="8" applyFont="1" applyFill="1" applyBorder="1" applyAlignment="1">
      <alignment horizontal="center" vertical="center" wrapText="1"/>
    </xf>
    <xf numFmtId="0" fontId="152" fillId="12" borderId="118" xfId="8" applyFont="1" applyFill="1" applyBorder="1" applyAlignment="1">
      <alignment horizontal="center" vertical="center" wrapText="1"/>
    </xf>
    <xf numFmtId="0" fontId="152" fillId="12" borderId="114" xfId="8" applyFont="1" applyFill="1" applyBorder="1" applyAlignment="1">
      <alignment horizontal="center" vertical="center" wrapText="1"/>
    </xf>
    <xf numFmtId="0" fontId="152" fillId="12" borderId="119" xfId="8" applyFont="1" applyFill="1" applyBorder="1" applyAlignment="1">
      <alignment horizontal="center" vertical="center" wrapText="1"/>
    </xf>
    <xf numFmtId="0" fontId="152" fillId="13" borderId="118" xfId="8" applyFont="1" applyFill="1" applyBorder="1" applyAlignment="1">
      <alignment horizontal="center" vertical="center" wrapText="1"/>
    </xf>
    <xf numFmtId="0" fontId="152" fillId="13" borderId="114" xfId="8" applyFont="1" applyFill="1" applyBorder="1" applyAlignment="1">
      <alignment horizontal="center" vertical="center" wrapText="1"/>
    </xf>
    <xf numFmtId="0" fontId="152" fillId="13" borderId="119" xfId="8" applyFont="1" applyFill="1" applyBorder="1" applyAlignment="1">
      <alignment horizontal="center" vertical="center" wrapText="1"/>
    </xf>
    <xf numFmtId="0" fontId="152" fillId="13" borderId="120" xfId="8" applyFont="1" applyFill="1" applyBorder="1" applyAlignment="1">
      <alignment horizontal="center" vertical="center" wrapText="1"/>
    </xf>
    <xf numFmtId="0" fontId="152" fillId="13" borderId="121" xfId="8" applyFont="1" applyFill="1" applyBorder="1" applyAlignment="1">
      <alignment horizontal="center" vertical="center" wrapText="1"/>
    </xf>
    <xf numFmtId="0" fontId="152" fillId="13" borderId="122" xfId="8" applyFont="1" applyFill="1" applyBorder="1" applyAlignment="1">
      <alignment horizontal="center" vertical="center" wrapText="1"/>
    </xf>
    <xf numFmtId="0" fontId="152" fillId="12" borderId="121" xfId="8" applyFont="1" applyFill="1" applyBorder="1" applyAlignment="1">
      <alignment horizontal="center" vertical="center" wrapText="1"/>
    </xf>
    <xf numFmtId="0" fontId="152" fillId="12" borderId="122" xfId="8" applyFont="1" applyFill="1" applyBorder="1" applyAlignment="1">
      <alignment horizontal="center" vertical="center" wrapText="1"/>
    </xf>
    <xf numFmtId="49" fontId="53" fillId="6" borderId="1" xfId="8" applyNumberFormat="1" applyFont="1" applyFill="1" applyBorder="1" applyAlignment="1" applyProtection="1">
      <alignment horizontal="center" vertical="center" wrapText="1"/>
    </xf>
    <xf numFmtId="184" fontId="85" fillId="6" borderId="0" xfId="8" applyNumberFormat="1" applyFont="1" applyFill="1" applyAlignment="1">
      <alignment horizontal="center" vertical="center"/>
    </xf>
    <xf numFmtId="0" fontId="85" fillId="6" borderId="114" xfId="8" applyFont="1" applyFill="1" applyBorder="1" applyAlignment="1" applyProtection="1">
      <alignment horizontal="center" vertical="center" wrapText="1"/>
    </xf>
    <xf numFmtId="0" fontId="85" fillId="6" borderId="119" xfId="8" applyFont="1" applyFill="1" applyBorder="1" applyAlignment="1" applyProtection="1">
      <alignment horizontal="center" vertical="center" wrapText="1"/>
    </xf>
    <xf numFmtId="0" fontId="85" fillId="6" borderId="0" xfId="8" applyFont="1" applyFill="1">
      <alignment vertical="center"/>
    </xf>
    <xf numFmtId="10" fontId="85" fillId="6" borderId="0" xfId="8" applyNumberFormat="1" applyFont="1" applyFill="1">
      <alignment vertical="center"/>
    </xf>
    <xf numFmtId="177" fontId="85" fillId="6" borderId="0" xfId="8" applyNumberFormat="1" applyFont="1" applyFill="1">
      <alignment vertical="center"/>
    </xf>
    <xf numFmtId="10" fontId="85" fillId="6" borderId="62" xfId="8" applyNumberFormat="1" applyFont="1" applyFill="1" applyBorder="1">
      <alignment vertical="center"/>
    </xf>
    <xf numFmtId="10" fontId="85" fillId="6" borderId="0" xfId="8" applyNumberFormat="1" applyFont="1" applyFill="1" applyAlignment="1">
      <alignment horizontal="center" vertical="center"/>
    </xf>
    <xf numFmtId="177" fontId="85" fillId="6" borderId="0" xfId="8" applyNumberFormat="1" applyFont="1" applyFill="1" applyAlignment="1">
      <alignment horizontal="center" vertical="center"/>
    </xf>
    <xf numFmtId="0" fontId="152" fillId="6" borderId="114" xfId="8" applyFont="1" applyFill="1" applyBorder="1" applyAlignment="1" applyProtection="1">
      <alignment horizontal="center" vertical="center" wrapText="1"/>
    </xf>
    <xf numFmtId="180" fontId="85" fillId="6" borderId="0" xfId="8" applyNumberFormat="1" applyFont="1" applyFill="1" applyAlignment="1">
      <alignment horizontal="center" vertical="center"/>
    </xf>
    <xf numFmtId="178" fontId="85" fillId="6" borderId="0" xfId="8" applyNumberFormat="1" applyFont="1" applyFill="1" applyAlignment="1">
      <alignment horizontal="center" vertical="center"/>
    </xf>
    <xf numFmtId="0" fontId="150" fillId="0" borderId="0" xfId="8" applyFont="1" applyAlignment="1">
      <alignment vertical="center"/>
    </xf>
    <xf numFmtId="0" fontId="129" fillId="5" borderId="14" xfId="0" applyFont="1" applyFill="1" applyBorder="1" applyAlignment="1" applyProtection="1">
      <alignment horizontal="center" vertical="center" wrapText="1"/>
    </xf>
    <xf numFmtId="0" fontId="129" fillId="5" borderId="80" xfId="0" applyFont="1" applyFill="1" applyBorder="1" applyAlignment="1" applyProtection="1">
      <alignment horizontal="center" vertical="center" wrapText="1"/>
    </xf>
    <xf numFmtId="0" fontId="53" fillId="5" borderId="11" xfId="0" applyFont="1" applyFill="1" applyBorder="1" applyAlignment="1" applyProtection="1">
      <alignment horizontal="center" vertical="center" wrapText="1"/>
      <protection locked="0"/>
    </xf>
    <xf numFmtId="0" fontId="124" fillId="5" borderId="14" xfId="0" applyFont="1" applyFill="1" applyBorder="1" applyAlignment="1" applyProtection="1">
      <alignment vertical="center" wrapText="1"/>
    </xf>
    <xf numFmtId="0" fontId="128" fillId="5" borderId="48" xfId="0" applyFont="1" applyFill="1" applyBorder="1" applyAlignment="1" applyProtection="1">
      <alignment horizontal="left" vertical="center" wrapText="1"/>
    </xf>
    <xf numFmtId="185" fontId="56" fillId="5" borderId="58" xfId="0" applyNumberFormat="1" applyFont="1" applyFill="1" applyBorder="1" applyAlignment="1" applyProtection="1">
      <alignment horizontal="center" vertical="center" wrapText="1"/>
    </xf>
    <xf numFmtId="0" fontId="124" fillId="5" borderId="128" xfId="0" applyFont="1" applyFill="1" applyBorder="1" applyAlignment="1" applyProtection="1">
      <alignment horizontal="center" vertical="center" wrapText="1"/>
    </xf>
    <xf numFmtId="14" fontId="57" fillId="5" borderId="12" xfId="0" applyNumberFormat="1" applyFont="1" applyFill="1" applyBorder="1" applyAlignment="1" applyProtection="1">
      <alignment horizontal="center" vertical="center" wrapText="1"/>
    </xf>
    <xf numFmtId="0" fontId="57" fillId="5" borderId="138" xfId="0" applyFont="1" applyFill="1" applyBorder="1" applyAlignment="1" applyProtection="1">
      <alignment horizontal="center" vertical="center" wrapText="1"/>
    </xf>
    <xf numFmtId="0" fontId="124" fillId="5" borderId="25" xfId="0" applyFont="1" applyFill="1" applyBorder="1" applyAlignment="1" applyProtection="1">
      <alignment horizontal="center" vertical="center" wrapText="1"/>
    </xf>
    <xf numFmtId="14" fontId="57" fillId="5" borderId="0" xfId="0" applyNumberFormat="1" applyFont="1" applyFill="1" applyBorder="1" applyAlignment="1" applyProtection="1">
      <alignment horizontal="center" vertical="center" wrapText="1"/>
    </xf>
    <xf numFmtId="0" fontId="57" fillId="5" borderId="48" xfId="0" applyNumberFormat="1" applyFont="1" applyFill="1" applyBorder="1" applyAlignment="1" applyProtection="1">
      <alignment horizontal="center" vertical="center" wrapText="1"/>
    </xf>
    <xf numFmtId="0" fontId="128" fillId="5" borderId="9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left" vertical="center" wrapText="1"/>
    </xf>
    <xf numFmtId="185" fontId="56" fillId="5" borderId="14" xfId="0" applyNumberFormat="1" applyFont="1" applyFill="1" applyBorder="1" applyAlignment="1" applyProtection="1">
      <alignment horizontal="center" vertical="center" wrapText="1"/>
    </xf>
    <xf numFmtId="0" fontId="111" fillId="6" borderId="64" xfId="0" applyFont="1" applyFill="1" applyBorder="1" applyAlignment="1" applyProtection="1">
      <alignment horizontal="center" vertical="center" wrapText="1"/>
      <protection locked="0"/>
    </xf>
    <xf numFmtId="0" fontId="57" fillId="5" borderId="14" xfId="0" applyFont="1" applyFill="1" applyBorder="1" applyAlignment="1" applyProtection="1">
      <alignment horizontal="center" vertical="center" wrapText="1"/>
    </xf>
    <xf numFmtId="0" fontId="124" fillId="5" borderId="78" xfId="0" applyFont="1" applyFill="1" applyBorder="1" applyAlignment="1" applyProtection="1">
      <alignment vertical="center" wrapText="1"/>
    </xf>
    <xf numFmtId="0" fontId="56" fillId="0" borderId="80" xfId="0" applyFont="1" applyFill="1" applyBorder="1" applyAlignment="1" applyProtection="1">
      <alignment horizontal="center" vertical="center" wrapText="1"/>
      <protection locked="0"/>
    </xf>
    <xf numFmtId="0" fontId="131" fillId="5" borderId="63" xfId="0" applyFont="1" applyFill="1" applyBorder="1" applyAlignment="1" applyProtection="1">
      <alignment vertical="center" wrapText="1"/>
    </xf>
    <xf numFmtId="0" fontId="124" fillId="5" borderId="64" xfId="0" applyFont="1" applyFill="1" applyBorder="1" applyAlignment="1" applyProtection="1">
      <alignment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28" fillId="5" borderId="20" xfId="0" applyFont="1" applyFill="1" applyBorder="1" applyAlignment="1" applyProtection="1">
      <alignment horizontal="center" vertical="center" wrapText="1"/>
      <protection locked="0"/>
    </xf>
    <xf numFmtId="0" fontId="111" fillId="5" borderId="60" xfId="0" applyFont="1" applyFill="1" applyBorder="1" applyAlignment="1" applyProtection="1">
      <alignment vertical="center" wrapText="1"/>
      <protection locked="0"/>
    </xf>
    <xf numFmtId="184" fontId="86" fillId="12" borderId="140" xfId="8" applyNumberFormat="1" applyFont="1" applyFill="1" applyBorder="1" applyAlignment="1">
      <alignment horizontal="center" vertical="center" wrapText="1"/>
    </xf>
    <xf numFmtId="184" fontId="86" fillId="12" borderId="141" xfId="8" applyNumberFormat="1" applyFont="1" applyFill="1" applyBorder="1" applyAlignment="1">
      <alignment horizontal="center" vertical="center" wrapText="1"/>
    </xf>
    <xf numFmtId="184" fontId="86" fillId="12" borderId="142" xfId="8" applyNumberFormat="1" applyFont="1" applyFill="1" applyBorder="1" applyAlignment="1">
      <alignment horizontal="center" vertical="center" wrapText="1"/>
    </xf>
    <xf numFmtId="0" fontId="86" fillId="13" borderId="143" xfId="8" applyFont="1" applyFill="1" applyBorder="1" applyAlignment="1">
      <alignment horizontal="center" vertical="center" wrapText="1"/>
    </xf>
    <xf numFmtId="0" fontId="86" fillId="12" borderId="142" xfId="8" applyFont="1" applyFill="1" applyBorder="1" applyAlignment="1">
      <alignment horizontal="center" vertical="center" wrapText="1"/>
    </xf>
    <xf numFmtId="0" fontId="86" fillId="12" borderId="144" xfId="8" applyFont="1" applyFill="1" applyBorder="1" applyAlignment="1">
      <alignment horizontal="center" vertical="center" wrapText="1"/>
    </xf>
    <xf numFmtId="0" fontId="85" fillId="0" borderId="139" xfId="8" applyFont="1" applyBorder="1">
      <alignment vertical="center"/>
    </xf>
    <xf numFmtId="0" fontId="86" fillId="0" borderId="139" xfId="8" applyFont="1" applyBorder="1" applyAlignment="1">
      <alignment horizontal="center" vertical="center"/>
    </xf>
    <xf numFmtId="10" fontId="85" fillId="0" borderId="139" xfId="8" applyNumberFormat="1" applyFont="1" applyBorder="1">
      <alignment vertical="center"/>
    </xf>
    <xf numFmtId="10" fontId="85" fillId="0" borderId="150" xfId="8" applyNumberFormat="1" applyFont="1" applyBorder="1">
      <alignment vertical="center"/>
    </xf>
    <xf numFmtId="10" fontId="85" fillId="0" borderId="149" xfId="8" applyNumberFormat="1" applyFont="1" applyBorder="1">
      <alignment vertical="center"/>
    </xf>
    <xf numFmtId="10" fontId="85" fillId="6" borderId="139" xfId="8" applyNumberFormat="1" applyFont="1" applyFill="1" applyBorder="1">
      <alignment vertical="center"/>
    </xf>
    <xf numFmtId="10" fontId="85" fillId="0" borderId="151" xfId="8" applyNumberFormat="1" applyFont="1" applyBorder="1">
      <alignment vertical="center"/>
    </xf>
    <xf numFmtId="10" fontId="85" fillId="14" borderId="139" xfId="8" applyNumberFormat="1" applyFont="1" applyFill="1" applyBorder="1">
      <alignment vertical="center"/>
    </xf>
    <xf numFmtId="10" fontId="85" fillId="14" borderId="149" xfId="8" applyNumberFormat="1" applyFont="1" applyFill="1" applyBorder="1">
      <alignment vertical="center"/>
    </xf>
    <xf numFmtId="10" fontId="85" fillId="14" borderId="151" xfId="8" applyNumberFormat="1" applyFont="1" applyFill="1" applyBorder="1">
      <alignment vertical="center"/>
    </xf>
    <xf numFmtId="180" fontId="85" fillId="0" borderId="139" xfId="8" applyNumberFormat="1" applyFont="1" applyBorder="1" applyAlignment="1">
      <alignment horizontal="center" vertical="center"/>
    </xf>
    <xf numFmtId="0" fontId="85" fillId="6" borderId="139" xfId="8" applyFont="1" applyFill="1" applyBorder="1">
      <alignment vertical="center"/>
    </xf>
    <xf numFmtId="181" fontId="85" fillId="0" borderId="139" xfId="8" applyNumberFormat="1" applyFont="1" applyBorder="1">
      <alignment vertical="center"/>
    </xf>
    <xf numFmtId="10" fontId="85" fillId="6" borderId="149" xfId="8" applyNumberFormat="1" applyFont="1" applyFill="1" applyBorder="1">
      <alignment vertical="center"/>
    </xf>
    <xf numFmtId="0" fontId="152" fillId="13" borderId="152" xfId="8" applyFont="1" applyFill="1" applyBorder="1" applyAlignment="1">
      <alignment horizontal="center" vertical="center" wrapText="1"/>
    </xf>
    <xf numFmtId="0" fontId="152" fillId="12" borderId="153" xfId="8" applyFont="1" applyFill="1" applyBorder="1" applyAlignment="1">
      <alignment horizontal="center" vertical="center" wrapText="1"/>
    </xf>
    <xf numFmtId="0" fontId="152" fillId="13" borderId="153" xfId="8" applyFont="1" applyFill="1" applyBorder="1" applyAlignment="1">
      <alignment horizontal="center" vertical="center" wrapText="1"/>
    </xf>
    <xf numFmtId="0" fontId="152" fillId="12" borderId="154" xfId="8" applyFont="1" applyFill="1" applyBorder="1" applyAlignment="1">
      <alignment horizontal="center" vertical="center" wrapText="1"/>
    </xf>
    <xf numFmtId="0" fontId="108" fillId="0" borderId="0" xfId="8" applyFont="1">
      <alignment vertical="center"/>
    </xf>
    <xf numFmtId="0" fontId="102" fillId="0" borderId="0" xfId="8" applyFont="1">
      <alignment vertical="center"/>
    </xf>
    <xf numFmtId="0" fontId="102" fillId="0" borderId="139" xfId="8" applyFont="1" applyBorder="1">
      <alignment vertical="center"/>
    </xf>
    <xf numFmtId="180" fontId="102" fillId="0" borderId="0" xfId="8" applyNumberFormat="1" applyFont="1" applyAlignment="1">
      <alignment horizontal="center" vertical="center"/>
    </xf>
    <xf numFmtId="180" fontId="102" fillId="0" borderId="139" xfId="8" applyNumberFormat="1" applyFont="1" applyBorder="1" applyAlignment="1">
      <alignment horizontal="center" vertical="center"/>
    </xf>
    <xf numFmtId="0" fontId="47" fillId="0" borderId="30" xfId="0" applyNumberFormat="1" applyFont="1" applyFill="1" applyBorder="1" applyAlignment="1" applyProtection="1">
      <alignment horizontal="center" vertical="center" wrapText="1"/>
    </xf>
    <xf numFmtId="0" fontId="47" fillId="5" borderId="28" xfId="0" applyNumberFormat="1" applyFont="1" applyFill="1" applyBorder="1" applyAlignment="1" applyProtection="1">
      <alignment horizontal="center" vertical="center" wrapText="1"/>
    </xf>
    <xf numFmtId="14" fontId="52" fillId="5" borderId="0" xfId="0" applyNumberFormat="1" applyFont="1" applyFill="1" applyAlignment="1" applyProtection="1">
      <alignment horizontal="center" vertical="center"/>
    </xf>
    <xf numFmtId="0" fontId="101" fillId="5" borderId="0" xfId="1" applyFont="1" applyFill="1" applyBorder="1" applyAlignment="1" applyProtection="1">
      <alignment horizontal="left" vertical="center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vertical="center"/>
    </xf>
    <xf numFmtId="0" fontId="154" fillId="0" borderId="0" xfId="8" applyFont="1">
      <alignment vertical="center"/>
    </xf>
    <xf numFmtId="0" fontId="152" fillId="13" borderId="114" xfId="9" applyFont="1" applyFill="1" applyBorder="1" applyAlignment="1" applyProtection="1">
      <alignment horizontal="center" vertical="center" wrapText="1"/>
    </xf>
    <xf numFmtId="0" fontId="152" fillId="13" borderId="119" xfId="9" applyFont="1" applyFill="1" applyBorder="1" applyAlignment="1" applyProtection="1">
      <alignment horizontal="center" vertical="center" wrapText="1"/>
    </xf>
    <xf numFmtId="0" fontId="158" fillId="5" borderId="1" xfId="10" applyFont="1" applyFill="1" applyBorder="1" applyAlignment="1">
      <alignment horizontal="center" vertical="center" wrapText="1"/>
    </xf>
    <xf numFmtId="0" fontId="158" fillId="0" borderId="0" xfId="10" applyFont="1" applyBorder="1" applyAlignment="1">
      <alignment horizontal="left" vertical="center" wrapText="1"/>
    </xf>
    <xf numFmtId="0" fontId="157" fillId="0" borderId="0" xfId="10" applyBorder="1"/>
    <xf numFmtId="0" fontId="157" fillId="0" borderId="0" xfId="10"/>
    <xf numFmtId="14" fontId="158" fillId="5" borderId="1" xfId="10" applyNumberFormat="1" applyFont="1" applyFill="1" applyBorder="1" applyAlignment="1">
      <alignment horizontal="center" vertical="center" wrapText="1"/>
    </xf>
    <xf numFmtId="0" fontId="158" fillId="13" borderId="1" xfId="10" applyFont="1" applyFill="1" applyBorder="1" applyAlignment="1" applyProtection="1">
      <alignment horizontal="center" vertical="center" wrapText="1"/>
      <protection locked="0"/>
    </xf>
    <xf numFmtId="0" fontId="157" fillId="5" borderId="1" xfId="10" applyFill="1" applyBorder="1" applyAlignment="1">
      <alignment vertical="center"/>
    </xf>
    <xf numFmtId="0" fontId="158" fillId="5" borderId="18" xfId="10" applyFont="1" applyFill="1" applyBorder="1" applyAlignment="1">
      <alignment horizontal="center" vertical="center" wrapText="1"/>
    </xf>
    <xf numFmtId="0" fontId="76" fillId="5" borderId="1" xfId="10" applyFont="1" applyFill="1" applyBorder="1"/>
    <xf numFmtId="0" fontId="157" fillId="0" borderId="1" xfId="10" applyBorder="1" applyProtection="1">
      <protection locked="0"/>
    </xf>
    <xf numFmtId="0" fontId="158" fillId="0" borderId="1" xfId="10" applyFont="1" applyBorder="1" applyAlignment="1" applyProtection="1">
      <alignment horizontal="left" vertical="center" wrapText="1"/>
      <protection locked="0"/>
    </xf>
    <xf numFmtId="0" fontId="16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2" fillId="12" borderId="114" xfId="9" applyFont="1" applyFill="1" applyBorder="1" applyAlignment="1" applyProtection="1">
      <alignment horizontal="center" vertical="center" wrapText="1"/>
    </xf>
    <xf numFmtId="0" fontId="152" fillId="12" borderId="119" xfId="9" applyFont="1" applyFill="1" applyBorder="1" applyAlignment="1" applyProtection="1">
      <alignment horizontal="center" vertical="center" wrapText="1"/>
    </xf>
    <xf numFmtId="0" fontId="162" fillId="5" borderId="36" xfId="0" applyFont="1" applyFill="1" applyBorder="1" applyAlignment="1" applyProtection="1">
      <alignment horizontal="center" vertical="center"/>
    </xf>
    <xf numFmtId="0" fontId="86" fillId="0" borderId="0" xfId="8" applyFont="1" applyAlignment="1">
      <alignment horizontal="center" vertical="center"/>
    </xf>
    <xf numFmtId="49" fontId="156" fillId="15" borderId="1" xfId="8" applyNumberFormat="1" applyFont="1" applyFill="1" applyBorder="1" applyAlignment="1" applyProtection="1">
      <alignment horizontal="center" vertical="center" wrapText="1"/>
    </xf>
    <xf numFmtId="184" fontId="156" fillId="15" borderId="0" xfId="8" applyNumberFormat="1" applyFont="1" applyFill="1" applyAlignment="1">
      <alignment horizontal="center" vertical="center"/>
    </xf>
    <xf numFmtId="0" fontId="156" fillId="15" borderId="114" xfId="8" applyFont="1" applyFill="1" applyBorder="1" applyAlignment="1" applyProtection="1">
      <alignment horizontal="center" vertical="center" wrapText="1"/>
    </xf>
    <xf numFmtId="0" fontId="164" fillId="15" borderId="0" xfId="8" applyFont="1" applyFill="1">
      <alignment vertical="center"/>
    </xf>
    <xf numFmtId="10" fontId="156" fillId="15" borderId="139" xfId="8" applyNumberFormat="1" applyFont="1" applyFill="1" applyBorder="1">
      <alignment vertical="center"/>
    </xf>
    <xf numFmtId="10" fontId="156" fillId="15" borderId="0" xfId="8" applyNumberFormat="1" applyFont="1" applyFill="1">
      <alignment vertical="center"/>
    </xf>
    <xf numFmtId="0" fontId="164" fillId="15" borderId="0" xfId="8" applyFont="1" applyFill="1" applyAlignment="1">
      <alignment horizontal="center" vertical="center"/>
    </xf>
    <xf numFmtId="0" fontId="164" fillId="15" borderId="139" xfId="8" applyFont="1" applyFill="1" applyBorder="1" applyAlignment="1">
      <alignment horizontal="center" vertical="center"/>
    </xf>
    <xf numFmtId="0" fontId="156" fillId="15" borderId="146" xfId="8" applyFont="1" applyFill="1" applyBorder="1" applyAlignment="1" applyProtection="1">
      <alignment horizontal="center" vertical="center" wrapText="1"/>
    </xf>
    <xf numFmtId="0" fontId="143" fillId="0" borderId="0" xfId="8" applyFont="1" applyAlignment="1">
      <alignment horizontal="center" vertical="center"/>
    </xf>
    <xf numFmtId="0" fontId="86" fillId="0" borderId="0" xfId="8" applyFont="1" applyFill="1">
      <alignment vertical="center"/>
    </xf>
    <xf numFmtId="0" fontId="83" fillId="0" borderId="0" xfId="0" applyFont="1" applyFill="1" applyAlignment="1" applyProtection="1">
      <alignment horizontal="center" vertical="center"/>
    </xf>
    <xf numFmtId="0" fontId="17" fillId="0" borderId="0" xfId="0" applyFont="1" applyFill="1" applyAlignment="1" applyProtection="1">
      <alignment horizontal="center" vertical="center"/>
    </xf>
    <xf numFmtId="0" fontId="143" fillId="0" borderId="0" xfId="8" applyFont="1" applyFill="1" applyAlignment="1">
      <alignment horizontal="center" vertical="center"/>
    </xf>
    <xf numFmtId="0" fontId="82" fillId="0" borderId="0" xfId="0" applyFont="1" applyFill="1" applyAlignment="1" applyProtection="1">
      <alignment horizontal="center" vertical="center"/>
    </xf>
    <xf numFmtId="0" fontId="86" fillId="0" borderId="0" xfId="8" applyFont="1" applyFill="1" applyAlignment="1">
      <alignment horizontal="center" vertical="center"/>
    </xf>
    <xf numFmtId="0" fontId="82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56" fillId="15" borderId="114" xfId="9" applyFont="1" applyFill="1" applyBorder="1" applyAlignment="1" applyProtection="1">
      <alignment horizontal="center" vertical="center" wrapText="1"/>
      <protection locked="0"/>
    </xf>
    <xf numFmtId="0" fontId="156" fillId="15" borderId="119" xfId="9" applyFont="1" applyFill="1" applyBorder="1" applyAlignment="1" applyProtection="1">
      <alignment horizontal="center" vertical="center" wrapText="1"/>
      <protection locked="0"/>
    </xf>
    <xf numFmtId="0" fontId="86" fillId="0" borderId="0" xfId="8" applyFont="1" applyAlignment="1">
      <alignment horizontal="center" vertical="center"/>
    </xf>
    <xf numFmtId="0" fontId="86" fillId="16" borderId="0" xfId="8" applyFont="1" applyFill="1">
      <alignment vertical="center"/>
    </xf>
    <xf numFmtId="0" fontId="83" fillId="16" borderId="0" xfId="0" applyFont="1" applyFill="1" applyAlignment="1" applyProtection="1">
      <alignment horizontal="center" vertical="center"/>
    </xf>
    <xf numFmtId="0" fontId="17" fillId="16" borderId="0" xfId="0" applyFont="1" applyFill="1" applyAlignment="1" applyProtection="1">
      <alignment horizontal="center" vertical="center"/>
    </xf>
    <xf numFmtId="0" fontId="143" fillId="16" borderId="0" xfId="8" applyFont="1" applyFill="1" applyAlignment="1">
      <alignment horizontal="center" vertical="center"/>
    </xf>
    <xf numFmtId="0" fontId="82" fillId="16" borderId="0" xfId="0" applyFont="1" applyFill="1" applyAlignment="1" applyProtection="1">
      <alignment horizontal="center" vertical="center"/>
    </xf>
    <xf numFmtId="0" fontId="86" fillId="16" borderId="0" xfId="8" applyFont="1" applyFill="1" applyAlignment="1">
      <alignment horizontal="center" vertical="center"/>
    </xf>
    <xf numFmtId="0" fontId="143" fillId="16" borderId="0" xfId="11" applyFont="1" applyFill="1">
      <alignment vertical="center"/>
    </xf>
    <xf numFmtId="0" fontId="86" fillId="0" borderId="0" xfId="11" applyFont="1" applyFill="1">
      <alignment vertical="center"/>
    </xf>
    <xf numFmtId="0" fontId="102" fillId="6" borderId="0" xfId="11" applyFont="1" applyFill="1">
      <alignment vertical="center"/>
    </xf>
    <xf numFmtId="0" fontId="164" fillId="6" borderId="0" xfId="8" applyFont="1" applyFill="1">
      <alignment vertical="center"/>
    </xf>
    <xf numFmtId="0" fontId="164" fillId="16" borderId="0" xfId="11" applyFont="1" applyFill="1" applyBorder="1" applyAlignment="1" applyProtection="1">
      <alignment horizontal="center" vertical="center"/>
      <protection locked="0"/>
    </xf>
    <xf numFmtId="0" fontId="155" fillId="16" borderId="0" xfId="11" applyFont="1" applyFill="1">
      <alignment vertical="center"/>
    </xf>
    <xf numFmtId="184" fontId="86" fillId="12" borderId="116" xfId="9" applyNumberFormat="1" applyFont="1" applyFill="1" applyBorder="1" applyAlignment="1">
      <alignment horizontal="center" vertical="center" wrapText="1"/>
    </xf>
    <xf numFmtId="184" fontId="86" fillId="12" borderId="140" xfId="9" applyNumberFormat="1" applyFont="1" applyFill="1" applyBorder="1" applyAlignment="1">
      <alignment horizontal="center" vertical="center" wrapText="1"/>
    </xf>
    <xf numFmtId="0" fontId="86" fillId="0" borderId="0" xfId="8" applyFont="1" applyAlignment="1">
      <alignment horizontal="center" vertical="center"/>
    </xf>
    <xf numFmtId="0" fontId="86" fillId="0" borderId="0" xfId="8" applyFont="1" applyAlignment="1">
      <alignment horizontal="center" vertical="center"/>
    </xf>
    <xf numFmtId="181" fontId="85" fillId="5" borderId="1" xfId="0" applyNumberFormat="1" applyFont="1" applyFill="1" applyBorder="1" applyAlignment="1" applyProtection="1">
      <alignment horizontal="center" vertical="center" wrapText="1"/>
    </xf>
    <xf numFmtId="0" fontId="13" fillId="5" borderId="1" xfId="0" applyFont="1" applyFill="1" applyBorder="1" applyAlignment="1" applyProtection="1">
      <alignment vertical="center" wrapText="1"/>
    </xf>
    <xf numFmtId="0" fontId="53" fillId="5" borderId="1" xfId="0" applyFont="1" applyFill="1" applyBorder="1" applyAlignment="1" applyProtection="1">
      <alignment vertical="center" wrapText="1"/>
    </xf>
    <xf numFmtId="0" fontId="53" fillId="0" borderId="1" xfId="0" applyFont="1" applyFill="1" applyBorder="1" applyAlignment="1" applyProtection="1">
      <alignment horizontal="center" vertical="center" wrapText="1"/>
      <protection locked="0"/>
    </xf>
    <xf numFmtId="0" fontId="165" fillId="5" borderId="21" xfId="7" applyFont="1" applyFill="1" applyBorder="1" applyAlignment="1" applyProtection="1">
      <alignment horizontal="left" vertical="center" wrapText="1"/>
    </xf>
    <xf numFmtId="0" fontId="128" fillId="5" borderId="3" xfId="0" applyFont="1" applyFill="1" applyBorder="1" applyAlignment="1" applyProtection="1">
      <alignment vertical="center" wrapText="1"/>
    </xf>
    <xf numFmtId="0" fontId="136" fillId="5" borderId="42" xfId="0" applyFont="1" applyFill="1" applyBorder="1" applyAlignment="1" applyProtection="1">
      <alignment horizontal="center" vertical="center" wrapText="1"/>
    </xf>
    <xf numFmtId="0" fontId="136" fillId="5" borderId="68" xfId="0" applyFont="1" applyFill="1" applyBorder="1" applyAlignment="1" applyProtection="1">
      <alignment horizontal="left" vertical="center" wrapText="1"/>
    </xf>
    <xf numFmtId="0" fontId="51" fillId="5" borderId="69" xfId="0" applyFont="1" applyFill="1" applyBorder="1" applyAlignment="1" applyProtection="1">
      <alignment horizontal="center" vertical="center" wrapText="1"/>
    </xf>
    <xf numFmtId="0" fontId="111" fillId="5" borderId="69" xfId="0" applyFont="1" applyFill="1" applyBorder="1" applyAlignment="1" applyProtection="1">
      <alignment vertical="center"/>
    </xf>
    <xf numFmtId="0" fontId="136" fillId="5" borderId="40" xfId="0" applyFont="1" applyFill="1" applyBorder="1" applyAlignment="1" applyProtection="1">
      <alignment horizontal="center" vertical="center" wrapText="1"/>
    </xf>
    <xf numFmtId="0" fontId="129" fillId="5" borderId="40" xfId="0" applyFont="1" applyFill="1" applyBorder="1" applyAlignment="1" applyProtection="1">
      <alignment vertical="center" wrapText="1"/>
    </xf>
    <xf numFmtId="0" fontId="129" fillId="5" borderId="30" xfId="0" applyFont="1" applyFill="1" applyBorder="1" applyAlignment="1" applyProtection="1">
      <alignment vertical="center" wrapText="1"/>
    </xf>
    <xf numFmtId="0" fontId="111" fillId="5" borderId="29" xfId="0" applyFont="1" applyFill="1" applyBorder="1" applyAlignment="1" applyProtection="1">
      <alignment horizontal="center" vertical="center" wrapText="1"/>
    </xf>
    <xf numFmtId="0" fontId="85" fillId="5" borderId="70" xfId="0" applyFont="1" applyFill="1" applyBorder="1" applyAlignment="1" applyProtection="1">
      <alignment horizontal="center" vertical="center" wrapText="1"/>
    </xf>
    <xf numFmtId="0" fontId="111" fillId="5" borderId="59" xfId="0" applyFont="1" applyFill="1" applyBorder="1" applyAlignment="1" applyProtection="1">
      <alignment horizontal="left" vertical="center"/>
    </xf>
    <xf numFmtId="0" fontId="53" fillId="5" borderId="69" xfId="0" applyFont="1" applyFill="1" applyBorder="1" applyAlignment="1" applyProtection="1">
      <alignment horizontal="center" vertical="center" wrapText="1"/>
    </xf>
    <xf numFmtId="0" fontId="111" fillId="5" borderId="59" xfId="0" applyFont="1" applyFill="1" applyBorder="1" applyAlignment="1" applyProtection="1">
      <alignment horizontal="center" vertical="center" wrapText="1"/>
    </xf>
    <xf numFmtId="0" fontId="53" fillId="5" borderId="68" xfId="0" applyFont="1" applyFill="1" applyBorder="1" applyAlignment="1" applyProtection="1">
      <alignment horizontal="center" vertical="center" wrapText="1"/>
    </xf>
    <xf numFmtId="0" fontId="53" fillId="5" borderId="70" xfId="0" applyFont="1" applyFill="1" applyBorder="1" applyAlignment="1" applyProtection="1">
      <alignment horizontal="center" vertical="center" wrapText="1"/>
    </xf>
    <xf numFmtId="0" fontId="111" fillId="5" borderId="44" xfId="0" applyFont="1" applyFill="1" applyBorder="1" applyAlignment="1" applyProtection="1">
      <alignment horizontal="center" vertical="center" wrapText="1"/>
    </xf>
    <xf numFmtId="0" fontId="111" fillId="6" borderId="59" xfId="0" applyFont="1" applyFill="1" applyBorder="1" applyAlignment="1" applyProtection="1">
      <alignment horizontal="right" vertical="center" wrapText="1"/>
      <protection locked="0"/>
    </xf>
    <xf numFmtId="0" fontId="111" fillId="5" borderId="54" xfId="0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57" fillId="17" borderId="59" xfId="0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92" fillId="0" borderId="0" xfId="13" applyFont="1">
      <alignment vertical="center"/>
    </xf>
    <xf numFmtId="49" fontId="92" fillId="0" borderId="0" xfId="13" applyNumberFormat="1" applyFont="1">
      <alignment vertical="center"/>
    </xf>
    <xf numFmtId="0" fontId="92" fillId="0" borderId="1" xfId="13" applyFont="1" applyBorder="1" applyAlignment="1">
      <alignment horizontal="center" vertical="center"/>
    </xf>
    <xf numFmtId="49" fontId="92" fillId="0" borderId="1" xfId="13" applyNumberFormat="1" applyFont="1" applyBorder="1" applyAlignment="1">
      <alignment horizontal="center" vertical="center"/>
    </xf>
    <xf numFmtId="0" fontId="92" fillId="0" borderId="0" xfId="13" applyFont="1" applyBorder="1" applyAlignment="1">
      <alignment horizontal="center" vertical="center"/>
    </xf>
    <xf numFmtId="49" fontId="92" fillId="0" borderId="0" xfId="13" applyNumberFormat="1" applyFont="1" applyBorder="1" applyAlignment="1">
      <alignment horizontal="center" vertical="center"/>
    </xf>
    <xf numFmtId="0" fontId="92" fillId="0" borderId="0" xfId="13" applyNumberFormat="1" applyFont="1" applyBorder="1" applyAlignment="1">
      <alignment horizontal="center" vertical="center"/>
    </xf>
    <xf numFmtId="0" fontId="92" fillId="0" borderId="0" xfId="13" applyFont="1" applyAlignment="1">
      <alignment horizontal="center" vertical="center"/>
    </xf>
    <xf numFmtId="0" fontId="92" fillId="0" borderId="0" xfId="13" applyNumberFormat="1" applyFont="1">
      <alignment vertical="center"/>
    </xf>
    <xf numFmtId="0" fontId="87" fillId="5" borderId="0" xfId="13" applyFont="1" applyFill="1" applyProtection="1">
      <alignment vertical="center"/>
    </xf>
    <xf numFmtId="0" fontId="47" fillId="5" borderId="0" xfId="13" applyFont="1" applyFill="1" applyProtection="1">
      <alignment vertical="center"/>
      <protection locked="0"/>
    </xf>
    <xf numFmtId="0" fontId="47" fillId="0" borderId="0" xfId="13" applyFont="1" applyProtection="1">
      <alignment vertical="center"/>
      <protection locked="0"/>
    </xf>
    <xf numFmtId="0" fontId="48" fillId="5" borderId="1" xfId="13" applyFont="1" applyFill="1" applyBorder="1" applyAlignment="1" applyProtection="1">
      <alignment horizontal="center" vertical="center"/>
    </xf>
    <xf numFmtId="176" fontId="51" fillId="5" borderId="1" xfId="1" applyNumberFormat="1" applyFont="1" applyFill="1" applyBorder="1" applyAlignment="1" applyProtection="1">
      <alignment horizontal="center" vertical="center"/>
    </xf>
    <xf numFmtId="0" fontId="47" fillId="5" borderId="2" xfId="13" applyFont="1" applyFill="1" applyBorder="1" applyProtection="1">
      <alignment vertical="center"/>
    </xf>
    <xf numFmtId="0" fontId="47" fillId="5" borderId="50" xfId="13" applyFont="1" applyFill="1" applyBorder="1" applyProtection="1">
      <alignment vertical="center"/>
    </xf>
    <xf numFmtId="0" fontId="48" fillId="5" borderId="3" xfId="13" applyFont="1" applyFill="1" applyBorder="1" applyAlignment="1" applyProtection="1">
      <alignment horizontal="center" vertical="center"/>
    </xf>
    <xf numFmtId="0" fontId="47" fillId="5" borderId="0" xfId="13" applyFont="1" applyFill="1" applyAlignment="1" applyProtection="1">
      <alignment horizontal="center" vertical="center"/>
      <protection locked="0"/>
    </xf>
    <xf numFmtId="0" fontId="48" fillId="5" borderId="18" xfId="13" applyFont="1" applyFill="1" applyBorder="1" applyAlignment="1" applyProtection="1">
      <alignment vertical="center"/>
    </xf>
    <xf numFmtId="0" fontId="47" fillId="5" borderId="18" xfId="13" applyFont="1" applyFill="1" applyBorder="1" applyProtection="1">
      <alignment vertical="center"/>
    </xf>
    <xf numFmtId="0" fontId="47" fillId="5" borderId="1" xfId="13" applyFont="1" applyFill="1" applyBorder="1" applyProtection="1">
      <alignment vertical="center"/>
    </xf>
    <xf numFmtId="0" fontId="47" fillId="5" borderId="1" xfId="13" applyFont="1" applyFill="1" applyBorder="1" applyAlignment="1" applyProtection="1">
      <alignment horizontal="center" vertical="center"/>
    </xf>
    <xf numFmtId="0" fontId="48" fillId="5" borderId="11" xfId="13" applyFont="1" applyFill="1" applyBorder="1" applyAlignment="1" applyProtection="1">
      <alignment horizontal="center" vertical="center"/>
    </xf>
    <xf numFmtId="176" fontId="51" fillId="5" borderId="31" xfId="1" applyNumberFormat="1" applyFont="1" applyFill="1" applyBorder="1" applyAlignment="1" applyProtection="1">
      <alignment horizontal="center" vertical="center"/>
    </xf>
    <xf numFmtId="0" fontId="47" fillId="5" borderId="17" xfId="13" applyFont="1" applyFill="1" applyBorder="1" applyProtection="1">
      <alignment vertical="center"/>
    </xf>
    <xf numFmtId="0" fontId="47" fillId="5" borderId="16" xfId="13" applyFont="1" applyFill="1" applyBorder="1" applyAlignment="1" applyProtection="1">
      <alignment vertical="center"/>
    </xf>
    <xf numFmtId="0" fontId="47" fillId="5" borderId="1" xfId="13" applyFont="1" applyFill="1" applyBorder="1" applyAlignment="1" applyProtection="1">
      <alignment vertical="center"/>
    </xf>
    <xf numFmtId="176" fontId="47" fillId="5" borderId="6" xfId="13" applyNumberFormat="1" applyFont="1" applyFill="1" applyBorder="1" applyAlignment="1" applyProtection="1">
      <alignment vertical="center"/>
    </xf>
    <xf numFmtId="0" fontId="47" fillId="5" borderId="42" xfId="13" applyFont="1" applyFill="1" applyBorder="1" applyAlignment="1" applyProtection="1">
      <alignment vertical="center"/>
    </xf>
    <xf numFmtId="0" fontId="47" fillId="5" borderId="48" xfId="13" applyFont="1" applyFill="1" applyBorder="1" applyProtection="1">
      <alignment vertical="center"/>
    </xf>
    <xf numFmtId="0" fontId="47" fillId="5" borderId="18" xfId="13" applyFont="1" applyFill="1" applyBorder="1" applyAlignment="1" applyProtection="1">
      <alignment horizontal="center" vertical="center"/>
    </xf>
    <xf numFmtId="176" fontId="48" fillId="5" borderId="31" xfId="1" applyNumberFormat="1" applyFont="1" applyFill="1" applyBorder="1" applyAlignment="1" applyProtection="1">
      <alignment horizontal="center" vertical="center"/>
    </xf>
    <xf numFmtId="0" fontId="47" fillId="5" borderId="3" xfId="13" applyFont="1" applyFill="1" applyBorder="1" applyProtection="1">
      <alignment vertical="center"/>
    </xf>
    <xf numFmtId="0" fontId="47" fillId="0" borderId="1" xfId="13" applyFont="1" applyFill="1" applyBorder="1" applyAlignment="1" applyProtection="1">
      <alignment horizontal="center" vertical="center"/>
      <protection locked="0"/>
    </xf>
    <xf numFmtId="0" fontId="47" fillId="5" borderId="18" xfId="13" applyFont="1" applyFill="1" applyBorder="1" applyAlignment="1" applyProtection="1">
      <alignment vertical="center"/>
    </xf>
    <xf numFmtId="0" fontId="47" fillId="5" borderId="6" xfId="13" applyFont="1" applyFill="1" applyBorder="1" applyAlignment="1" applyProtection="1">
      <alignment vertical="center"/>
    </xf>
    <xf numFmtId="0" fontId="47" fillId="5" borderId="0" xfId="13" applyFont="1" applyFill="1" applyBorder="1" applyProtection="1">
      <alignment vertical="center"/>
      <protection locked="0"/>
    </xf>
    <xf numFmtId="0" fontId="47" fillId="5" borderId="26" xfId="13" applyFont="1" applyFill="1" applyBorder="1" applyAlignment="1" applyProtection="1">
      <alignment vertical="center"/>
    </xf>
    <xf numFmtId="0" fontId="47" fillId="5" borderId="48" xfId="13" applyFont="1" applyFill="1" applyBorder="1" applyAlignment="1" applyProtection="1">
      <alignment vertical="center"/>
    </xf>
    <xf numFmtId="0" fontId="47" fillId="0" borderId="6" xfId="13" applyFont="1" applyFill="1" applyBorder="1" applyAlignment="1" applyProtection="1">
      <alignment vertical="center"/>
      <protection locked="0"/>
    </xf>
    <xf numFmtId="0" fontId="47" fillId="5" borderId="56" xfId="13" applyFont="1" applyFill="1" applyBorder="1" applyAlignment="1" applyProtection="1">
      <alignment vertical="center"/>
    </xf>
    <xf numFmtId="0" fontId="48" fillId="5" borderId="45" xfId="13" applyFont="1" applyFill="1" applyBorder="1" applyProtection="1">
      <alignment vertical="center"/>
    </xf>
    <xf numFmtId="0" fontId="47" fillId="5" borderId="38" xfId="13" applyFont="1" applyFill="1" applyBorder="1" applyProtection="1">
      <alignment vertical="center"/>
    </xf>
    <xf numFmtId="0" fontId="47" fillId="5" borderId="5" xfId="13" applyFont="1" applyFill="1" applyBorder="1" applyAlignment="1" applyProtection="1">
      <alignment vertical="center"/>
    </xf>
    <xf numFmtId="0" fontId="47" fillId="5" borderId="55" xfId="13" applyFont="1" applyFill="1" applyBorder="1" applyProtection="1">
      <alignment vertical="center"/>
    </xf>
    <xf numFmtId="0" fontId="47" fillId="5" borderId="37" xfId="13" applyFont="1" applyFill="1" applyBorder="1" applyAlignment="1" applyProtection="1">
      <alignment vertical="center"/>
    </xf>
    <xf numFmtId="0" fontId="48" fillId="5" borderId="55" xfId="13" applyFont="1" applyFill="1" applyBorder="1" applyAlignment="1" applyProtection="1">
      <alignment horizontal="center" vertical="center"/>
    </xf>
    <xf numFmtId="176" fontId="51" fillId="5" borderId="12" xfId="1" applyNumberFormat="1" applyFont="1" applyFill="1" applyBorder="1" applyAlignment="1" applyProtection="1">
      <alignment horizontal="center" vertical="center"/>
    </xf>
    <xf numFmtId="176" fontId="51" fillId="5" borderId="46" xfId="1" applyNumberFormat="1" applyFont="1" applyFill="1" applyBorder="1" applyAlignment="1" applyProtection="1">
      <alignment horizontal="center" vertical="center"/>
    </xf>
    <xf numFmtId="176" fontId="51" fillId="5" borderId="38" xfId="1" applyNumberFormat="1" applyFont="1" applyFill="1" applyBorder="1" applyAlignment="1" applyProtection="1">
      <alignment horizontal="center" vertical="center"/>
    </xf>
    <xf numFmtId="0" fontId="48" fillId="5" borderId="95" xfId="13" applyFont="1" applyFill="1" applyBorder="1" applyAlignment="1" applyProtection="1">
      <alignment horizontal="right" vertical="center"/>
    </xf>
    <xf numFmtId="179" fontId="48" fillId="2" borderId="6" xfId="13" applyNumberFormat="1" applyFont="1" applyFill="1" applyBorder="1" applyAlignment="1" applyProtection="1">
      <alignment horizontal="center" vertical="center"/>
      <protection locked="0"/>
    </xf>
    <xf numFmtId="0" fontId="47" fillId="5" borderId="17" xfId="13" applyFont="1" applyFill="1" applyBorder="1" applyAlignment="1" applyProtection="1">
      <alignment vertical="center"/>
    </xf>
    <xf numFmtId="0" fontId="47" fillId="5" borderId="0" xfId="13" applyFont="1" applyFill="1" applyBorder="1" applyAlignment="1" applyProtection="1">
      <alignment vertical="center"/>
    </xf>
    <xf numFmtId="0" fontId="48" fillId="5" borderId="17" xfId="13" applyFont="1" applyFill="1" applyBorder="1" applyAlignment="1" applyProtection="1">
      <alignment horizontal="center" vertical="center"/>
    </xf>
    <xf numFmtId="176" fontId="52" fillId="5" borderId="17" xfId="1" applyNumberFormat="1" applyFont="1" applyFill="1" applyBorder="1" applyAlignment="1" applyProtection="1">
      <alignment horizontal="center" vertical="center"/>
    </xf>
    <xf numFmtId="0" fontId="47" fillId="5" borderId="24" xfId="13" applyFont="1" applyFill="1" applyBorder="1" applyAlignment="1" applyProtection="1">
      <alignment horizontal="center" vertical="center"/>
    </xf>
    <xf numFmtId="0" fontId="47" fillId="5" borderId="34" xfId="13" applyFont="1" applyFill="1" applyBorder="1" applyAlignment="1" applyProtection="1">
      <alignment horizontal="center" vertical="center"/>
    </xf>
    <xf numFmtId="0" fontId="47" fillId="5" borderId="7" xfId="13" applyFont="1" applyFill="1" applyBorder="1" applyAlignment="1" applyProtection="1">
      <alignment horizontal="center" vertical="center"/>
    </xf>
    <xf numFmtId="179" fontId="47" fillId="5" borderId="6" xfId="13" applyNumberFormat="1" applyFont="1" applyFill="1" applyBorder="1" applyAlignment="1" applyProtection="1">
      <alignment horizontal="center" vertical="center"/>
    </xf>
    <xf numFmtId="0" fontId="47" fillId="5" borderId="1" xfId="13" applyFont="1" applyFill="1" applyBorder="1" applyAlignment="1" applyProtection="1">
      <alignment horizontal="left" vertical="center"/>
    </xf>
    <xf numFmtId="0" fontId="47" fillId="5" borderId="6" xfId="13" applyFont="1" applyFill="1" applyBorder="1" applyAlignment="1" applyProtection="1">
      <alignment horizontal="center" vertical="center"/>
    </xf>
    <xf numFmtId="0" fontId="47" fillId="5" borderId="39" xfId="13" applyFont="1" applyFill="1" applyBorder="1" applyProtection="1">
      <alignment vertical="center"/>
    </xf>
    <xf numFmtId="177" fontId="68" fillId="0" borderId="1" xfId="1" applyNumberFormat="1" applyFont="1" applyFill="1" applyBorder="1" applyAlignment="1" applyProtection="1">
      <alignment vertical="center"/>
      <protection locked="0" hidden="1"/>
    </xf>
    <xf numFmtId="176" fontId="47" fillId="5" borderId="1" xfId="13" applyNumberFormat="1" applyFont="1" applyFill="1" applyBorder="1" applyAlignment="1" applyProtection="1">
      <alignment vertical="center"/>
    </xf>
    <xf numFmtId="0" fontId="49" fillId="3" borderId="3" xfId="13" applyFont="1" applyFill="1" applyBorder="1" applyProtection="1">
      <alignment vertical="center"/>
      <protection locked="0"/>
    </xf>
    <xf numFmtId="0" fontId="49" fillId="3" borderId="6" xfId="13" applyFont="1" applyFill="1" applyBorder="1" applyProtection="1">
      <alignment vertical="center"/>
      <protection locked="0"/>
    </xf>
    <xf numFmtId="0" fontId="47" fillId="5" borderId="7" xfId="13" applyFont="1" applyFill="1" applyBorder="1" applyAlignment="1" applyProtection="1">
      <alignment vertical="center"/>
    </xf>
    <xf numFmtId="0" fontId="47" fillId="5" borderId="7" xfId="13" applyFont="1" applyFill="1" applyBorder="1" applyProtection="1">
      <alignment vertical="center"/>
    </xf>
    <xf numFmtId="0" fontId="47" fillId="5" borderId="6" xfId="13" applyFont="1" applyFill="1" applyBorder="1" applyProtection="1">
      <alignment vertical="center"/>
    </xf>
    <xf numFmtId="0" fontId="47" fillId="0" borderId="7" xfId="13" applyFont="1" applyBorder="1" applyProtection="1">
      <alignment vertical="center"/>
      <protection locked="0"/>
    </xf>
    <xf numFmtId="0" fontId="47" fillId="0" borderId="1" xfId="13" applyFont="1" applyBorder="1" applyProtection="1">
      <alignment vertical="center"/>
      <protection locked="0"/>
    </xf>
    <xf numFmtId="176" fontId="47" fillId="5" borderId="1" xfId="13" applyNumberFormat="1" applyFont="1" applyFill="1" applyBorder="1" applyProtection="1">
      <alignment vertical="center"/>
    </xf>
    <xf numFmtId="0" fontId="47" fillId="5" borderId="39" xfId="13" applyFont="1" applyFill="1" applyBorder="1" applyAlignment="1" applyProtection="1">
      <alignment vertical="center"/>
    </xf>
    <xf numFmtId="177" fontId="139" fillId="0" borderId="1" xfId="1" applyNumberFormat="1" applyFont="1" applyFill="1" applyBorder="1" applyAlignment="1" applyProtection="1">
      <alignment vertical="center"/>
      <protection locked="0"/>
    </xf>
    <xf numFmtId="0" fontId="47" fillId="3" borderId="27" xfId="13" applyFont="1" applyFill="1" applyBorder="1" applyProtection="1">
      <alignment vertical="center"/>
      <protection locked="0"/>
    </xf>
    <xf numFmtId="0" fontId="47" fillId="3" borderId="56" xfId="13" applyFont="1" applyFill="1" applyBorder="1" applyProtection="1">
      <alignment vertical="center"/>
      <protection locked="0"/>
    </xf>
    <xf numFmtId="177" fontId="47" fillId="0" borderId="1" xfId="1" applyNumberFormat="1" applyFont="1" applyFill="1" applyBorder="1" applyAlignment="1" applyProtection="1">
      <alignment vertical="center"/>
      <protection locked="0"/>
    </xf>
    <xf numFmtId="177" fontId="47" fillId="0" borderId="3" xfId="1" applyNumberFormat="1" applyFont="1" applyFill="1" applyBorder="1" applyAlignment="1" applyProtection="1">
      <alignment vertical="center"/>
      <protection locked="0"/>
    </xf>
    <xf numFmtId="0" fontId="47" fillId="5" borderId="16" xfId="13" applyFont="1" applyFill="1" applyBorder="1" applyProtection="1">
      <alignment vertical="center"/>
    </xf>
    <xf numFmtId="0" fontId="47" fillId="5" borderId="56" xfId="13" applyFont="1" applyFill="1" applyBorder="1" applyProtection="1">
      <alignment vertical="center"/>
    </xf>
    <xf numFmtId="0" fontId="47" fillId="0" borderId="16" xfId="13" applyFont="1" applyBorder="1" applyProtection="1">
      <alignment vertical="center"/>
      <protection locked="0"/>
    </xf>
    <xf numFmtId="0" fontId="47" fillId="0" borderId="18" xfId="13" applyFont="1" applyBorder="1" applyProtection="1">
      <alignment vertical="center"/>
      <protection locked="0"/>
    </xf>
    <xf numFmtId="0" fontId="48" fillId="5" borderId="3" xfId="13" applyFont="1" applyFill="1" applyBorder="1" applyAlignment="1" applyProtection="1">
      <alignment horizontal="left" vertical="center"/>
    </xf>
    <xf numFmtId="176" fontId="48" fillId="5" borderId="1" xfId="13" applyNumberFormat="1" applyFont="1" applyFill="1" applyBorder="1" applyAlignment="1" applyProtection="1">
      <alignment vertical="center"/>
    </xf>
    <xf numFmtId="176" fontId="48" fillId="5" borderId="1" xfId="13" applyNumberFormat="1" applyFont="1" applyFill="1" applyBorder="1" applyAlignment="1" applyProtection="1">
      <alignment horizontal="center" vertical="center"/>
    </xf>
    <xf numFmtId="176" fontId="48" fillId="5" borderId="6" xfId="13" applyNumberFormat="1" applyFont="1" applyFill="1" applyBorder="1" applyAlignment="1" applyProtection="1">
      <alignment vertical="center"/>
    </xf>
    <xf numFmtId="176" fontId="48" fillId="5" borderId="8" xfId="13" applyNumberFormat="1" applyFont="1" applyFill="1" applyBorder="1" applyAlignment="1" applyProtection="1">
      <alignment vertical="center"/>
    </xf>
    <xf numFmtId="176" fontId="48" fillId="5" borderId="70" xfId="13" applyNumberFormat="1" applyFont="1" applyFill="1" applyBorder="1" applyAlignment="1" applyProtection="1">
      <alignment vertical="center"/>
    </xf>
    <xf numFmtId="0" fontId="48" fillId="5" borderId="8" xfId="13" applyFont="1" applyFill="1" applyBorder="1" applyProtection="1">
      <alignment vertical="center"/>
    </xf>
    <xf numFmtId="0" fontId="48" fillId="5" borderId="59" xfId="13" applyFont="1" applyFill="1" applyBorder="1" applyProtection="1">
      <alignment vertical="center"/>
    </xf>
    <xf numFmtId="0" fontId="48" fillId="5" borderId="43" xfId="13" applyFont="1" applyFill="1" applyBorder="1" applyProtection="1">
      <alignment vertical="center"/>
    </xf>
    <xf numFmtId="0" fontId="47" fillId="5" borderId="43" xfId="13" applyFont="1" applyFill="1" applyBorder="1" applyProtection="1">
      <alignment vertical="center"/>
    </xf>
    <xf numFmtId="0" fontId="47" fillId="5" borderId="1" xfId="13" applyFont="1" applyFill="1" applyBorder="1" applyAlignment="1" applyProtection="1">
      <alignment horizontal="right" vertical="center" wrapText="1"/>
    </xf>
    <xf numFmtId="0" fontId="47" fillId="5" borderId="3" xfId="13" applyFont="1" applyFill="1" applyBorder="1" applyAlignment="1" applyProtection="1">
      <alignment vertical="center"/>
    </xf>
    <xf numFmtId="0" fontId="47" fillId="5" borderId="41" xfId="13" applyFont="1" applyFill="1" applyBorder="1" applyProtection="1">
      <alignment vertical="center"/>
    </xf>
    <xf numFmtId="0" fontId="47" fillId="5" borderId="3" xfId="13" applyFont="1" applyFill="1" applyBorder="1" applyAlignment="1" applyProtection="1">
      <alignment horizontal="left" vertical="center"/>
    </xf>
    <xf numFmtId="0" fontId="47" fillId="5" borderId="27" xfId="13" applyFont="1" applyFill="1" applyBorder="1" applyProtection="1">
      <alignment vertical="center"/>
    </xf>
    <xf numFmtId="0" fontId="48" fillId="5" borderId="27" xfId="13" applyFont="1" applyFill="1" applyBorder="1" applyAlignment="1" applyProtection="1">
      <alignment horizontal="left" vertical="center"/>
    </xf>
    <xf numFmtId="0" fontId="47" fillId="5" borderId="29" xfId="13" applyFont="1" applyFill="1" applyBorder="1" applyAlignment="1" applyProtection="1">
      <alignment vertical="center"/>
    </xf>
    <xf numFmtId="0" fontId="47" fillId="5" borderId="44" xfId="13" applyFont="1" applyFill="1" applyBorder="1" applyProtection="1">
      <alignment vertical="center"/>
    </xf>
    <xf numFmtId="0" fontId="48" fillId="5" borderId="59" xfId="13" applyFont="1" applyFill="1" applyBorder="1" applyAlignment="1" applyProtection="1">
      <alignment vertical="center"/>
    </xf>
    <xf numFmtId="179" fontId="48" fillId="5" borderId="54" xfId="13" applyNumberFormat="1" applyFont="1" applyFill="1" applyBorder="1" applyAlignment="1" applyProtection="1">
      <alignment vertical="center"/>
    </xf>
    <xf numFmtId="179" fontId="48" fillId="5" borderId="59" xfId="13" applyNumberFormat="1" applyFont="1" applyFill="1" applyBorder="1" applyAlignment="1" applyProtection="1">
      <alignment vertical="center"/>
    </xf>
    <xf numFmtId="179" fontId="48" fillId="5" borderId="43" xfId="13" applyNumberFormat="1" applyFont="1" applyFill="1" applyBorder="1" applyAlignment="1" applyProtection="1">
      <alignment vertical="center"/>
    </xf>
    <xf numFmtId="179" fontId="47" fillId="5" borderId="17" xfId="13" applyNumberFormat="1" applyFont="1" applyFill="1" applyBorder="1" applyProtection="1">
      <alignment vertical="center"/>
    </xf>
    <xf numFmtId="176" fontId="47" fillId="0" borderId="0" xfId="13" applyNumberFormat="1" applyFont="1" applyProtection="1">
      <alignment vertical="center"/>
      <protection locked="0"/>
    </xf>
    <xf numFmtId="0" fontId="82" fillId="9" borderId="2" xfId="0" applyFont="1" applyFill="1" applyBorder="1" applyAlignment="1" applyProtection="1">
      <alignment horizontal="left" vertical="center"/>
    </xf>
    <xf numFmtId="0" fontId="82" fillId="6" borderId="35" xfId="0" applyFont="1" applyFill="1" applyBorder="1" applyAlignment="1" applyProtection="1">
      <alignment horizontal="left" vertical="center"/>
    </xf>
    <xf numFmtId="0" fontId="82" fillId="6" borderId="61" xfId="0" applyFont="1" applyFill="1" applyBorder="1" applyAlignment="1" applyProtection="1">
      <alignment horizontal="left" vertical="center"/>
    </xf>
    <xf numFmtId="0" fontId="48" fillId="5" borderId="22" xfId="13" applyFont="1" applyFill="1" applyBorder="1" applyAlignment="1" applyProtection="1">
      <alignment horizontal="center" vertical="center"/>
    </xf>
    <xf numFmtId="0" fontId="48" fillId="5" borderId="55" xfId="13" applyFont="1" applyFill="1" applyBorder="1" applyAlignment="1" applyProtection="1">
      <alignment horizontal="center" vertical="center"/>
    </xf>
    <xf numFmtId="0" fontId="48" fillId="5" borderId="57" xfId="13" applyFont="1" applyFill="1" applyBorder="1" applyAlignment="1" applyProtection="1">
      <alignment horizontal="center" vertical="center"/>
    </xf>
    <xf numFmtId="0" fontId="47" fillId="5" borderId="4" xfId="13" applyFont="1" applyFill="1" applyBorder="1" applyAlignment="1" applyProtection="1">
      <alignment horizontal="center" vertical="center"/>
    </xf>
    <xf numFmtId="0" fontId="47" fillId="5" borderId="11" xfId="13" applyFont="1" applyFill="1" applyBorder="1" applyAlignment="1" applyProtection="1">
      <alignment horizontal="center" vertical="center"/>
    </xf>
    <xf numFmtId="0" fontId="47" fillId="5" borderId="31" xfId="13" applyFont="1" applyFill="1" applyBorder="1" applyAlignment="1" applyProtection="1">
      <alignment horizontal="center" vertical="center"/>
    </xf>
    <xf numFmtId="0" fontId="48" fillId="5" borderId="1" xfId="13" applyFont="1" applyFill="1" applyBorder="1" applyAlignment="1" applyProtection="1">
      <alignment horizontal="center" vertical="center"/>
    </xf>
    <xf numFmtId="0" fontId="48" fillId="5" borderId="18" xfId="13" applyFont="1" applyFill="1" applyBorder="1" applyAlignment="1" applyProtection="1">
      <alignment horizontal="center" vertical="center"/>
    </xf>
    <xf numFmtId="0" fontId="48" fillId="5" borderId="45" xfId="13" applyFont="1" applyFill="1" applyBorder="1" applyAlignment="1" applyProtection="1">
      <alignment horizontal="center" vertical="center"/>
    </xf>
    <xf numFmtId="0" fontId="48" fillId="5" borderId="46" xfId="13" applyFont="1" applyFill="1" applyBorder="1" applyAlignment="1" applyProtection="1">
      <alignment horizontal="center" vertical="center"/>
    </xf>
    <xf numFmtId="0" fontId="48" fillId="5" borderId="28" xfId="13" applyFont="1" applyFill="1" applyBorder="1" applyAlignment="1" applyProtection="1">
      <alignment horizontal="center" vertical="center"/>
    </xf>
    <xf numFmtId="0" fontId="47" fillId="5" borderId="1" xfId="13" applyFont="1" applyFill="1" applyBorder="1" applyAlignment="1" applyProtection="1">
      <alignment horizontal="center" vertical="center"/>
    </xf>
    <xf numFmtId="0" fontId="47" fillId="5" borderId="45" xfId="13" applyFont="1" applyFill="1" applyBorder="1" applyAlignment="1" applyProtection="1">
      <alignment horizontal="center" vertical="center"/>
    </xf>
    <xf numFmtId="0" fontId="47" fillId="5" borderId="46" xfId="13" applyFont="1" applyFill="1" applyBorder="1" applyAlignment="1" applyProtection="1">
      <alignment horizontal="center" vertical="center"/>
    </xf>
    <xf numFmtId="0" fontId="47" fillId="5" borderId="28" xfId="13" applyFont="1" applyFill="1" applyBorder="1" applyAlignment="1" applyProtection="1">
      <alignment horizontal="center" vertical="center"/>
    </xf>
    <xf numFmtId="0" fontId="92" fillId="0" borderId="1" xfId="13" applyFont="1" applyBorder="1" applyAlignment="1">
      <alignment horizontal="center" vertical="center"/>
    </xf>
    <xf numFmtId="0" fontId="82" fillId="5" borderId="59" xfId="0" applyFont="1" applyFill="1" applyBorder="1" applyAlignment="1" applyProtection="1">
      <alignment horizontal="center" vertical="center" wrapText="1"/>
    </xf>
    <xf numFmtId="0" fontId="82" fillId="5" borderId="105" xfId="0" applyFont="1" applyFill="1" applyBorder="1" applyAlignment="1" applyProtection="1">
      <alignment horizontal="center" vertical="center" wrapText="1"/>
    </xf>
    <xf numFmtId="0" fontId="82" fillId="5" borderId="54" xfId="0" applyFont="1" applyFill="1" applyBorder="1" applyAlignment="1" applyProtection="1">
      <alignment horizontal="justify" vertical="center" wrapText="1"/>
    </xf>
    <xf numFmtId="0" fontId="82" fillId="5" borderId="59" xfId="0" applyFont="1" applyFill="1" applyBorder="1" applyAlignment="1" applyProtection="1">
      <alignment horizontal="justify" vertical="center" wrapText="1"/>
    </xf>
    <xf numFmtId="0" fontId="82" fillId="5" borderId="4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center" vertical="center" wrapText="1"/>
    </xf>
    <xf numFmtId="0" fontId="82" fillId="5" borderId="3" xfId="0" applyFont="1" applyFill="1" applyBorder="1" applyAlignment="1" applyProtection="1">
      <alignment horizontal="justify" vertical="center" wrapText="1"/>
    </xf>
    <xf numFmtId="0" fontId="82" fillId="5" borderId="1" xfId="0" applyFont="1" applyFill="1" applyBorder="1" applyAlignment="1" applyProtection="1">
      <alignment horizontal="justify" vertical="center" wrapText="1"/>
    </xf>
    <xf numFmtId="0" fontId="82" fillId="5" borderId="6" xfId="0" applyFont="1" applyFill="1" applyBorder="1" applyAlignment="1" applyProtection="1">
      <alignment horizontal="justify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</xf>
    <xf numFmtId="0" fontId="104" fillId="5" borderId="0" xfId="0" applyFont="1" applyFill="1" applyBorder="1" applyAlignment="1" applyProtection="1">
      <alignment horizontal="center"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03" xfId="0" applyFont="1" applyFill="1" applyBorder="1" applyAlignment="1" applyProtection="1">
      <alignment horizontal="center" vertical="center" wrapText="1"/>
    </xf>
    <xf numFmtId="0" fontId="123" fillId="5" borderId="28" xfId="0" applyFont="1" applyFill="1" applyBorder="1" applyAlignment="1" applyProtection="1">
      <alignment horizontal="center" vertical="center" wrapText="1"/>
    </xf>
    <xf numFmtId="0" fontId="123" fillId="5" borderId="31" xfId="0" applyFont="1" applyFill="1" applyBorder="1" applyAlignment="1" applyProtection="1">
      <alignment horizontal="center" vertical="center" wrapText="1"/>
    </xf>
    <xf numFmtId="0" fontId="123" fillId="5" borderId="106" xfId="0" applyFont="1" applyFill="1" applyBorder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82" fillId="5" borderId="104" xfId="0" applyFont="1" applyFill="1" applyBorder="1" applyAlignment="1" applyProtection="1">
      <alignment horizontal="left" vertical="center" wrapText="1"/>
    </xf>
    <xf numFmtId="0" fontId="82" fillId="5" borderId="3" xfId="0" applyFont="1" applyFill="1" applyBorder="1" applyAlignment="1" applyProtection="1">
      <alignment horizontal="center" vertical="center" wrapText="1"/>
    </xf>
    <xf numFmtId="0" fontId="131" fillId="5" borderId="39" xfId="1" applyFont="1" applyFill="1" applyBorder="1" applyAlignment="1" applyProtection="1">
      <alignment horizontal="left" vertical="center" wrapText="1"/>
    </xf>
    <xf numFmtId="49" fontId="111" fillId="5" borderId="13" xfId="1" applyNumberFormat="1" applyFont="1" applyFill="1" applyBorder="1" applyAlignment="1" applyProtection="1">
      <alignment horizontal="center" vertical="center" wrapText="1"/>
    </xf>
    <xf numFmtId="49" fontId="111" fillId="5" borderId="38" xfId="1" applyNumberFormat="1" applyFont="1" applyFill="1" applyBorder="1" applyAlignment="1" applyProtection="1">
      <alignment horizontal="center" vertical="center" wrapText="1"/>
    </xf>
    <xf numFmtId="49" fontId="111" fillId="5" borderId="44" xfId="1" applyNumberFormat="1" applyFont="1" applyFill="1" applyBorder="1" applyAlignment="1" applyProtection="1">
      <alignment horizontal="center" vertical="center" wrapText="1"/>
    </xf>
    <xf numFmtId="49" fontId="111" fillId="5" borderId="60" xfId="1" applyNumberFormat="1" applyFont="1" applyFill="1" applyBorder="1" applyAlignment="1" applyProtection="1">
      <alignment horizontal="center" vertical="center" wrapText="1"/>
    </xf>
    <xf numFmtId="0" fontId="100" fillId="5" borderId="29" xfId="1" applyFont="1" applyFill="1" applyBorder="1" applyAlignment="1" applyProtection="1">
      <alignment horizontal="center" vertical="center" wrapText="1"/>
    </xf>
    <xf numFmtId="0" fontId="100" fillId="5" borderId="40" xfId="1" applyFont="1" applyFill="1" applyBorder="1" applyAlignment="1" applyProtection="1">
      <alignment horizontal="center" vertical="center" wrapText="1"/>
    </xf>
    <xf numFmtId="0" fontId="100" fillId="5" borderId="30" xfId="1" applyFont="1" applyFill="1" applyBorder="1" applyAlignment="1" applyProtection="1">
      <alignment horizontal="center" vertical="center" wrapText="1"/>
    </xf>
    <xf numFmtId="0" fontId="100" fillId="5" borderId="53" xfId="1" applyFont="1" applyFill="1" applyBorder="1" applyAlignment="1" applyProtection="1">
      <alignment horizontal="center" vertical="center" wrapText="1"/>
    </xf>
    <xf numFmtId="0" fontId="100" fillId="5" borderId="63" xfId="1" applyFont="1" applyFill="1" applyBorder="1" applyAlignment="1" applyProtection="1">
      <alignment horizontal="center" vertical="center" wrapText="1"/>
    </xf>
    <xf numFmtId="0" fontId="100" fillId="5" borderId="78" xfId="1" applyFont="1" applyFill="1" applyBorder="1" applyAlignment="1" applyProtection="1">
      <alignment horizontal="center" vertical="center" wrapText="1"/>
    </xf>
    <xf numFmtId="0" fontId="92" fillId="0" borderId="0" xfId="0" applyFont="1" applyAlignment="1" applyProtection="1">
      <alignment horizontal="left" vertical="center"/>
    </xf>
    <xf numFmtId="0" fontId="92" fillId="5" borderId="1" xfId="0" applyFont="1" applyFill="1" applyBorder="1" applyAlignment="1" applyProtection="1">
      <alignment horizontal="center" vertical="center"/>
    </xf>
    <xf numFmtId="0" fontId="92" fillId="5" borderId="18" xfId="0" applyFont="1" applyFill="1" applyBorder="1" applyAlignment="1" applyProtection="1">
      <alignment horizontal="center" vertical="center"/>
    </xf>
    <xf numFmtId="0" fontId="92" fillId="5" borderId="48" xfId="0" applyFont="1" applyFill="1" applyBorder="1" applyAlignment="1" applyProtection="1">
      <alignment horizontal="center" vertical="center"/>
    </xf>
    <xf numFmtId="0" fontId="92" fillId="5" borderId="17" xfId="0" applyFont="1" applyFill="1" applyBorder="1" applyAlignment="1" applyProtection="1">
      <alignment horizontal="center" vertical="center"/>
    </xf>
    <xf numFmtId="0" fontId="85" fillId="5" borderId="18" xfId="0" applyFont="1" applyFill="1" applyBorder="1" applyAlignment="1" applyProtection="1">
      <alignment horizontal="center" vertical="center" wrapText="1"/>
    </xf>
    <xf numFmtId="0" fontId="85" fillId="5" borderId="17" xfId="0" applyFont="1" applyFill="1" applyBorder="1" applyAlignment="1" applyProtection="1">
      <alignment horizontal="center" vertical="center" wrapText="1"/>
    </xf>
    <xf numFmtId="0" fontId="111" fillId="5" borderId="22" xfId="0" applyFont="1" applyFill="1" applyBorder="1" applyAlignment="1" applyProtection="1">
      <alignment horizontal="center" vertical="center" wrapText="1"/>
    </xf>
    <xf numFmtId="0" fontId="111" fillId="5" borderId="26" xfId="0" applyFont="1" applyFill="1" applyBorder="1" applyAlignment="1" applyProtection="1">
      <alignment horizontal="center" vertical="center" wrapText="1"/>
    </xf>
    <xf numFmtId="0" fontId="76" fillId="5" borderId="39" xfId="0" applyFont="1" applyFill="1" applyBorder="1" applyAlignment="1" applyProtection="1">
      <alignment horizontal="center" vertical="center" wrapText="1"/>
    </xf>
    <xf numFmtId="0" fontId="76" fillId="5" borderId="42" xfId="0" applyFont="1" applyFill="1" applyBorder="1" applyAlignment="1" applyProtection="1">
      <alignment horizontal="center" vertical="center" wrapText="1"/>
    </xf>
    <xf numFmtId="0" fontId="111" fillId="5" borderId="42" xfId="0" applyFont="1" applyFill="1" applyBorder="1" applyAlignment="1" applyProtection="1">
      <alignment horizontal="center" vertical="center" wrapText="1"/>
    </xf>
    <xf numFmtId="0" fontId="100" fillId="5" borderId="0" xfId="0" applyFont="1" applyFill="1" applyAlignment="1" applyProtection="1">
      <alignment horizontal="center" vertical="center"/>
    </xf>
    <xf numFmtId="0" fontId="163" fillId="5" borderId="18" xfId="0" applyFont="1" applyFill="1" applyBorder="1" applyAlignment="1" applyProtection="1">
      <alignment vertical="center" wrapText="1"/>
    </xf>
    <xf numFmtId="0" fontId="163" fillId="5" borderId="48" xfId="0" applyFont="1" applyFill="1" applyBorder="1" applyAlignment="1" applyProtection="1">
      <alignment vertical="center" wrapText="1"/>
    </xf>
    <xf numFmtId="0" fontId="163" fillId="5" borderId="17" xfId="0" applyFont="1" applyFill="1" applyBorder="1" applyAlignment="1" applyProtection="1">
      <alignment vertical="center" wrapText="1"/>
    </xf>
    <xf numFmtId="0" fontId="111" fillId="5" borderId="156" xfId="0" applyFont="1" applyFill="1" applyBorder="1" applyAlignment="1" applyProtection="1">
      <alignment horizontal="center" vertical="center" wrapText="1"/>
    </xf>
    <xf numFmtId="0" fontId="111" fillId="5" borderId="157" xfId="0" applyFont="1" applyFill="1" applyBorder="1" applyAlignment="1" applyProtection="1">
      <alignment horizontal="center" vertical="center" wrapText="1"/>
    </xf>
    <xf numFmtId="0" fontId="111" fillId="5" borderId="21" xfId="0" applyFont="1" applyFill="1" applyBorder="1" applyAlignment="1" applyProtection="1">
      <alignment horizontal="center" vertical="center" wrapText="1"/>
    </xf>
    <xf numFmtId="0" fontId="106" fillId="5" borderId="0" xfId="0" applyFont="1" applyFill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left" vertical="center"/>
    </xf>
    <xf numFmtId="0" fontId="96" fillId="5" borderId="4" xfId="0" applyFont="1" applyFill="1" applyBorder="1" applyAlignment="1" applyProtection="1">
      <alignment horizontal="center" vertical="center" wrapText="1"/>
    </xf>
    <xf numFmtId="0" fontId="96" fillId="5" borderId="8" xfId="0" applyFont="1" applyFill="1" applyBorder="1" applyAlignment="1" applyProtection="1">
      <alignment horizontal="center"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23" xfId="0" applyFont="1" applyFill="1" applyBorder="1" applyAlignment="1" applyProtection="1">
      <alignment horizontal="center" vertical="center" wrapText="1"/>
    </xf>
    <xf numFmtId="0" fontId="128" fillId="5" borderId="26" xfId="0" applyFont="1" applyFill="1" applyBorder="1" applyAlignment="1" applyProtection="1">
      <alignment horizontal="center" vertical="center" wrapText="1"/>
    </xf>
    <xf numFmtId="0" fontId="117" fillId="5" borderId="4" xfId="0" applyFont="1" applyFill="1" applyBorder="1" applyAlignment="1">
      <alignment horizontal="center" vertical="center"/>
    </xf>
    <xf numFmtId="0" fontId="117" fillId="5" borderId="11" xfId="0" applyFont="1" applyFill="1" applyBorder="1" applyAlignment="1">
      <alignment horizontal="center" vertical="center"/>
    </xf>
    <xf numFmtId="0" fontId="117" fillId="5" borderId="31" xfId="0" applyFont="1" applyFill="1" applyBorder="1" applyAlignment="1">
      <alignment horizontal="center" vertical="center"/>
    </xf>
    <xf numFmtId="0" fontId="117" fillId="5" borderId="91" xfId="0" applyFont="1" applyFill="1" applyBorder="1" applyAlignment="1">
      <alignment horizontal="center" vertical="center"/>
    </xf>
    <xf numFmtId="0" fontId="117" fillId="5" borderId="92" xfId="0" applyFont="1" applyFill="1" applyBorder="1" applyAlignment="1">
      <alignment horizontal="center" vertical="center"/>
    </xf>
    <xf numFmtId="0" fontId="124" fillId="5" borderId="18" xfId="0" applyFont="1" applyFill="1" applyBorder="1" applyAlignment="1" applyProtection="1">
      <alignment horizontal="center" vertical="center" wrapText="1"/>
      <protection locked="0"/>
    </xf>
    <xf numFmtId="0" fontId="124" fillId="5" borderId="48" xfId="0" applyFont="1" applyFill="1" applyBorder="1" applyAlignment="1" applyProtection="1">
      <alignment horizontal="center" vertical="center" wrapText="1"/>
      <protection locked="0"/>
    </xf>
    <xf numFmtId="0" fontId="124" fillId="5" borderId="17" xfId="0" applyFont="1" applyFill="1" applyBorder="1" applyAlignment="1" applyProtection="1">
      <alignment horizontal="center" vertical="center" wrapText="1"/>
      <protection locked="0"/>
    </xf>
    <xf numFmtId="0" fontId="124" fillId="5" borderId="68" xfId="0" applyFont="1" applyFill="1" applyBorder="1" applyAlignment="1" applyProtection="1">
      <alignment horizontal="center" vertical="center" wrapText="1"/>
      <protection locked="0"/>
    </xf>
    <xf numFmtId="0" fontId="53" fillId="5" borderId="10" xfId="0" applyFont="1" applyFill="1" applyBorder="1" applyAlignment="1" applyProtection="1">
      <alignment horizontal="center" vertical="center" wrapText="1"/>
    </xf>
    <xf numFmtId="0" fontId="53" fillId="5" borderId="74" xfId="0" applyFont="1" applyFill="1" applyBorder="1" applyAlignment="1" applyProtection="1">
      <alignment horizontal="center" vertical="center" wrapText="1"/>
    </xf>
    <xf numFmtId="0" fontId="128" fillId="5" borderId="42" xfId="0" applyFont="1" applyFill="1" applyBorder="1" applyAlignment="1" applyProtection="1">
      <alignment horizontal="center" vertical="center" wrapText="1"/>
    </xf>
    <xf numFmtId="0" fontId="13" fillId="5" borderId="10" xfId="0" applyFont="1" applyFill="1" applyBorder="1" applyAlignment="1" applyProtection="1">
      <alignment horizontal="center" vertical="center" wrapText="1"/>
    </xf>
    <xf numFmtId="0" fontId="13" fillId="5" borderId="74" xfId="0" applyFont="1" applyFill="1" applyBorder="1" applyAlignment="1" applyProtection="1">
      <alignment horizontal="center" vertical="center" wrapText="1"/>
    </xf>
    <xf numFmtId="0" fontId="13" fillId="5" borderId="75" xfId="0" applyFont="1" applyFill="1" applyBorder="1" applyAlignment="1" applyProtection="1">
      <alignment horizontal="center"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26" xfId="0" applyFont="1" applyFill="1" applyBorder="1" applyAlignment="1" applyProtection="1">
      <alignment horizontal="center" vertical="center" wrapText="1"/>
    </xf>
    <xf numFmtId="0" fontId="124" fillId="5" borderId="23" xfId="0" applyFont="1" applyFill="1" applyBorder="1" applyAlignment="1" applyProtection="1">
      <alignment horizontal="center" vertical="center" wrapText="1"/>
    </xf>
    <xf numFmtId="0" fontId="124" fillId="5" borderId="42" xfId="0" applyFont="1" applyFill="1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horizontal="center" vertical="center" wrapText="1"/>
      <protection locked="0"/>
    </xf>
    <xf numFmtId="0" fontId="21" fillId="0" borderId="35" xfId="0" applyFont="1" applyFill="1" applyBorder="1" applyAlignment="1" applyProtection="1">
      <alignment horizontal="center" vertical="center" wrapText="1"/>
      <protection locked="0"/>
    </xf>
    <xf numFmtId="0" fontId="21" fillId="0" borderId="16" xfId="0" applyFont="1" applyFill="1" applyBorder="1" applyAlignment="1" applyProtection="1">
      <alignment horizontal="center" vertical="center" wrapText="1"/>
      <protection locked="0"/>
    </xf>
    <xf numFmtId="0" fontId="21" fillId="0" borderId="56" xfId="0" applyFont="1" applyFill="1" applyBorder="1" applyAlignment="1" applyProtection="1">
      <alignment horizontal="center" vertical="center" wrapText="1"/>
      <protection locked="0"/>
    </xf>
    <xf numFmtId="0" fontId="52" fillId="5" borderId="1" xfId="0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 wrapText="1"/>
      <protection locked="0"/>
    </xf>
    <xf numFmtId="0" fontId="21" fillId="0" borderId="6" xfId="0" applyFont="1" applyFill="1" applyBorder="1" applyAlignment="1" applyProtection="1">
      <alignment horizontal="center" vertical="center" wrapText="1"/>
      <protection locked="0"/>
    </xf>
    <xf numFmtId="0" fontId="47" fillId="5" borderId="2" xfId="0" applyFont="1" applyFill="1" applyBorder="1" applyAlignment="1" applyProtection="1">
      <alignment horizontal="center" vertical="center"/>
    </xf>
    <xf numFmtId="0" fontId="47" fillId="5" borderId="3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/>
    </xf>
    <xf numFmtId="0" fontId="52" fillId="5" borderId="48" xfId="0" applyFont="1" applyFill="1" applyBorder="1" applyAlignment="1" applyProtection="1">
      <alignment horizontal="center" vertical="center"/>
    </xf>
    <xf numFmtId="0" fontId="52" fillId="5" borderId="17" xfId="0" applyFont="1" applyFill="1" applyBorder="1" applyAlignment="1" applyProtection="1">
      <alignment horizontal="center" vertical="center"/>
    </xf>
    <xf numFmtId="0" fontId="52" fillId="5" borderId="4" xfId="0" applyFont="1" applyFill="1" applyBorder="1" applyAlignment="1" applyProtection="1">
      <alignment horizontal="center" vertical="center" wrapText="1"/>
    </xf>
    <xf numFmtId="0" fontId="52" fillId="5" borderId="31" xfId="0" applyFont="1" applyFill="1" applyBorder="1" applyAlignment="1" applyProtection="1">
      <alignment horizontal="center" vertical="center" wrapText="1"/>
    </xf>
    <xf numFmtId="0" fontId="52" fillId="5" borderId="28" xfId="0" applyFont="1" applyFill="1" applyBorder="1" applyAlignment="1" applyProtection="1">
      <alignment horizontal="center" vertical="center" wrapText="1"/>
    </xf>
    <xf numFmtId="0" fontId="52" fillId="5" borderId="13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 wrapText="1"/>
    </xf>
    <xf numFmtId="0" fontId="52" fillId="5" borderId="27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52" fillId="5" borderId="25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52" fillId="5" borderId="24" xfId="0" applyFont="1" applyFill="1" applyBorder="1" applyAlignment="1" applyProtection="1">
      <alignment horizontal="center" vertical="center" wrapText="1"/>
    </xf>
    <xf numFmtId="0" fontId="52" fillId="5" borderId="35" xfId="0" applyFont="1" applyFill="1" applyBorder="1" applyAlignment="1" applyProtection="1">
      <alignment horizontal="center" vertical="center"/>
    </xf>
    <xf numFmtId="0" fontId="52" fillId="5" borderId="27" xfId="0" applyFont="1" applyFill="1" applyBorder="1" applyAlignment="1" applyProtection="1">
      <alignment horizontal="center" vertical="center"/>
    </xf>
    <xf numFmtId="0" fontId="52" fillId="5" borderId="58" xfId="0" applyFont="1" applyFill="1" applyBorder="1" applyAlignment="1" applyProtection="1">
      <alignment horizontal="center" vertical="center"/>
    </xf>
    <xf numFmtId="0" fontId="52" fillId="5" borderId="25" xfId="0" applyFont="1" applyFill="1" applyBorder="1" applyAlignment="1" applyProtection="1">
      <alignment horizontal="center" vertical="center"/>
    </xf>
    <xf numFmtId="0" fontId="52" fillId="5" borderId="61" xfId="0" applyFont="1" applyFill="1" applyBorder="1" applyAlignment="1" applyProtection="1">
      <alignment horizontal="center" vertical="center"/>
    </xf>
    <xf numFmtId="0" fontId="52" fillId="5" borderId="24" xfId="0" applyFont="1" applyFill="1" applyBorder="1" applyAlignment="1" applyProtection="1">
      <alignment horizontal="center" vertical="center"/>
    </xf>
    <xf numFmtId="0" fontId="52" fillId="5" borderId="1" xfId="0" applyFont="1" applyFill="1" applyBorder="1" applyAlignment="1" applyProtection="1">
      <alignment horizontal="center" vertical="center"/>
    </xf>
    <xf numFmtId="0" fontId="21" fillId="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 applyProtection="1">
      <alignment horizontal="center" vertical="center" wrapText="1"/>
      <protection locked="0"/>
    </xf>
    <xf numFmtId="0" fontId="47" fillId="5" borderId="50" xfId="0" applyFont="1" applyFill="1" applyBorder="1" applyAlignment="1" applyProtection="1">
      <alignment horizontal="center" vertical="center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47" fillId="5" borderId="1" xfId="0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textRotation="255" wrapText="1"/>
    </xf>
    <xf numFmtId="0" fontId="52" fillId="5" borderId="48" xfId="0" applyFont="1" applyFill="1" applyBorder="1" applyAlignment="1" applyProtection="1">
      <alignment horizontal="center" vertical="center" textRotation="255" wrapText="1"/>
    </xf>
    <xf numFmtId="184" fontId="52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horizontal="center" vertical="center" wrapText="1"/>
    </xf>
    <xf numFmtId="0" fontId="52" fillId="5" borderId="3" xfId="0" applyFont="1" applyFill="1" applyBorder="1" applyAlignment="1" applyProtection="1">
      <alignment horizontal="center" vertical="center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86" fillId="0" borderId="0" xfId="8" applyFont="1" applyAlignment="1">
      <alignment horizontal="center" vertical="center"/>
    </xf>
    <xf numFmtId="0" fontId="152" fillId="12" borderId="148" xfId="8" applyFont="1" applyFill="1" applyBorder="1" applyAlignment="1" applyProtection="1">
      <alignment horizontal="center" vertical="center" wrapText="1"/>
    </xf>
    <xf numFmtId="0" fontId="152" fillId="12" borderId="146" xfId="8" applyFont="1" applyFill="1" applyBorder="1" applyAlignment="1" applyProtection="1">
      <alignment horizontal="center" vertical="center" wrapText="1"/>
    </xf>
    <xf numFmtId="0" fontId="152" fillId="12" borderId="147" xfId="8" applyFont="1" applyFill="1" applyBorder="1" applyAlignment="1" applyProtection="1">
      <alignment horizontal="center" vertical="center" wrapText="1"/>
    </xf>
    <xf numFmtId="0" fontId="152" fillId="12" borderId="145" xfId="8" applyFont="1" applyFill="1" applyBorder="1" applyAlignment="1" applyProtection="1">
      <alignment horizontal="center" vertical="center" wrapText="1"/>
    </xf>
    <xf numFmtId="0" fontId="85" fillId="12" borderId="148" xfId="8" applyFont="1" applyFill="1" applyBorder="1" applyAlignment="1" applyProtection="1">
      <alignment horizontal="center" vertical="center" wrapText="1"/>
    </xf>
    <xf numFmtId="0" fontId="85" fillId="12" borderId="146" xfId="8" applyFont="1" applyFill="1" applyBorder="1" applyAlignment="1" applyProtection="1">
      <alignment horizontal="center" vertical="center" wrapText="1"/>
    </xf>
    <xf numFmtId="0" fontId="85" fillId="12" borderId="147" xfId="8" applyFont="1" applyFill="1" applyBorder="1" applyAlignment="1" applyProtection="1">
      <alignment horizontal="center" vertical="center" wrapText="1"/>
    </xf>
    <xf numFmtId="0" fontId="86" fillId="0" borderId="130" xfId="8" applyFont="1" applyBorder="1" applyAlignment="1">
      <alignment horizontal="center" vertical="center"/>
    </xf>
    <xf numFmtId="0" fontId="152" fillId="12" borderId="155" xfId="8" applyFont="1" applyFill="1" applyBorder="1" applyAlignment="1" applyProtection="1">
      <alignment horizontal="center" vertical="center" wrapText="1"/>
    </xf>
    <xf numFmtId="0" fontId="7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6" fillId="0" borderId="1" xfId="0" applyFont="1" applyBorder="1" applyAlignment="1">
      <alignment horizontal="center" vertical="center"/>
    </xf>
  </cellXfs>
  <cellStyles count="19">
    <cellStyle name="百分比 2" xfId="6"/>
    <cellStyle name="常规" xfId="0" builtinId="0"/>
    <cellStyle name="常规 13 2" xfId="17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5 6 5" xfId="18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00;&#21147;&#25269;&#25276;&#29289;&#25104;&#26412;&#2786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-&#22303;&#22686;&#31246;-&#21150;&#2084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-&#22303;&#22686;&#31246;-&#36710;&#2421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-&#22303;&#22686;&#31246;-&#24037;&#1999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数据-汇总表"/>
      <sheetName val="面积新"/>
      <sheetName val="面积"/>
      <sheetName val="租金台账"/>
      <sheetName val="抵押物清单（分楼）"/>
      <sheetName val="数据-取费表"/>
      <sheetName val="估价对象房地状况"/>
      <sheetName val="系统读取表"/>
      <sheetName val="结果表111 "/>
      <sheetName val="结果表（酒店）"/>
      <sheetName val="成本法"/>
      <sheetName val="结果表 (办公)"/>
      <sheetName val="比较法-办公"/>
      <sheetName val="土地比较法-住宅、综合"/>
      <sheetName val="土地案例"/>
      <sheetName val="基准地价修正（商业）"/>
      <sheetName val="基准地价修正 (办公)"/>
      <sheetName val="收益法-商业"/>
      <sheetName val="租金"/>
      <sheetName val="收益法-办公"/>
      <sheetName val="成本法 (元)"/>
      <sheetName val="假设开发法"/>
      <sheetName val="收益法 (元)"/>
      <sheetName val="成本法-酒店"/>
      <sheetName val="比较法-住宅"/>
      <sheetName val="比较法-商业"/>
      <sheetName val="比较法-工业"/>
      <sheetName val="比较法-车位"/>
      <sheetName val="比较法-仓储"/>
      <sheetName val="土地比较法-工业"/>
      <sheetName val="结果表（库房）"/>
      <sheetName val="成本法-库房"/>
      <sheetName val="收益法-酒店"/>
      <sheetName val="酒店收入计算"/>
      <sheetName val="收益法-库房"/>
      <sheetName val="结果表（车库）"/>
      <sheetName val="收益法-车库"/>
      <sheetName val="收益法（汇总）"/>
      <sheetName val="成本法-车库"/>
      <sheetName val="修正"/>
      <sheetName val="容积率修正"/>
      <sheetName val="基准地价（汇总）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李立</v>
          </cell>
        </row>
        <row r="6">
          <cell r="A6" t="str">
            <v>叶凌</v>
          </cell>
        </row>
        <row r="7">
          <cell r="A7" t="str">
            <v>王鹏</v>
          </cell>
        </row>
        <row r="8">
          <cell r="A8" t="str">
            <v>欧红伟</v>
          </cell>
        </row>
        <row r="9">
          <cell r="A9" t="str">
            <v>吴薇</v>
          </cell>
        </row>
        <row r="10">
          <cell r="A10" t="str">
            <v>陈颖</v>
          </cell>
        </row>
        <row r="11">
          <cell r="A11" t="str">
            <v>崔锴</v>
          </cell>
        </row>
        <row r="12">
          <cell r="A12" t="str">
            <v>白景生</v>
          </cell>
        </row>
        <row r="13">
          <cell r="A13" t="str">
            <v>郑燚</v>
          </cell>
        </row>
        <row r="14">
          <cell r="A14" t="str">
            <v>马琳琳</v>
          </cell>
        </row>
        <row r="15">
          <cell r="A15" t="str">
            <v>杨红英</v>
          </cell>
        </row>
        <row r="16">
          <cell r="A16" t="str">
            <v>刘梅</v>
          </cell>
        </row>
        <row r="17">
          <cell r="A17"/>
        </row>
        <row r="18">
          <cell r="A18"/>
        </row>
        <row r="19">
          <cell r="A19"/>
        </row>
        <row r="20">
          <cell r="A20"/>
        </row>
        <row r="21">
          <cell r="A21"/>
        </row>
        <row r="22">
          <cell r="A22" t="str">
            <v>刘敬东</v>
          </cell>
        </row>
        <row r="23">
          <cell r="A23" t="str">
            <v>王萌</v>
          </cell>
        </row>
        <row r="24">
          <cell r="A24" t="str">
            <v>——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I1" t="str">
            <v>土地年限区间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40</v>
          </cell>
          <cell r="H2" t="str">
            <v>住宅</v>
          </cell>
          <cell r="I2" t="str">
            <v>60-70（含）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50</v>
          </cell>
          <cell r="H3" t="str">
            <v>商业</v>
          </cell>
          <cell r="I3" t="str">
            <v>50-60（含）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70</v>
          </cell>
          <cell r="H4" t="str">
            <v>办公</v>
          </cell>
          <cell r="I4" t="str">
            <v>40-50（含）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H5" t="str">
            <v>车库</v>
          </cell>
          <cell r="I5" t="str">
            <v>30-40（含）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I6" t="str">
            <v>20-30（含）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  <cell r="I7" t="str">
            <v>10-20（含）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/>
          <cell r="I8" t="str">
            <v>0-10（含）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  <cell r="H9"/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——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*</v>
          </cell>
        </row>
        <row r="18">
          <cell r="A18" t="str">
            <v>办公楼</v>
          </cell>
          <cell r="B18"/>
        </row>
        <row r="19">
          <cell r="A19" t="str">
            <v>宿舍</v>
          </cell>
          <cell r="B19"/>
        </row>
        <row r="20">
          <cell r="A20" t="str">
            <v>食堂</v>
          </cell>
          <cell r="B20" t="str">
            <v>收益法-办公</v>
          </cell>
        </row>
        <row r="21">
          <cell r="A21" t="str">
            <v>车库</v>
          </cell>
          <cell r="B21" t="str">
            <v>收益法-商业</v>
          </cell>
        </row>
        <row r="22">
          <cell r="A22" t="str">
            <v>戊类库房</v>
          </cell>
          <cell r="B22" t="str">
            <v>收益法-车库</v>
          </cell>
        </row>
        <row r="23">
          <cell r="A23" t="str">
            <v>燃品库房</v>
          </cell>
          <cell r="B23" t="str">
            <v>收益法-库房</v>
          </cell>
        </row>
        <row r="24">
          <cell r="A24" t="str">
            <v>非燃品库房</v>
          </cell>
          <cell r="B24" t="str">
            <v>收益法-酒店</v>
          </cell>
        </row>
        <row r="25">
          <cell r="A25" t="str">
            <v>限价商品房</v>
          </cell>
          <cell r="B25" t="str">
            <v>成本法-商业</v>
          </cell>
        </row>
        <row r="26">
          <cell r="A26" t="str">
            <v>自住商品房</v>
          </cell>
          <cell r="B26" t="str">
            <v>成本法-库房</v>
          </cell>
        </row>
        <row r="27">
          <cell r="A27" t="str">
            <v>*</v>
          </cell>
          <cell r="B27" t="str">
            <v>成本法-车库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>
        <row r="3">
          <cell r="A3">
            <v>11147.87</v>
          </cell>
          <cell r="B3">
            <v>98810.33</v>
          </cell>
        </row>
        <row r="5">
          <cell r="A5" t="str">
            <v>建筑面积合计</v>
          </cell>
          <cell r="B5"/>
          <cell r="C5"/>
          <cell r="D5"/>
          <cell r="E5" t="str">
            <v>——</v>
          </cell>
          <cell r="F5">
            <v>0</v>
          </cell>
          <cell r="G5">
            <v>98810.33</v>
          </cell>
          <cell r="H5">
            <v>98810.33</v>
          </cell>
          <cell r="I5">
            <v>10941.939999999999</v>
          </cell>
          <cell r="J5">
            <v>0</v>
          </cell>
          <cell r="K5">
            <v>3358.16</v>
          </cell>
          <cell r="L5">
            <v>0</v>
          </cell>
          <cell r="M5">
            <v>61608.09</v>
          </cell>
          <cell r="N5">
            <v>0</v>
          </cell>
          <cell r="O5">
            <v>6914.72</v>
          </cell>
          <cell r="P5">
            <v>0</v>
          </cell>
          <cell r="Q5">
            <v>15987.419999999998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/>
          <cell r="AV5" t="str">
            <v>建筑面积合计</v>
          </cell>
          <cell r="AW5"/>
          <cell r="AX5"/>
          <cell r="AY5" t="str">
            <v>——</v>
          </cell>
          <cell r="AZ5">
            <v>98810.33</v>
          </cell>
          <cell r="BA5">
            <v>98810.33</v>
          </cell>
          <cell r="BB5">
            <v>10941.939999999999</v>
          </cell>
          <cell r="BC5">
            <v>3358.16</v>
          </cell>
          <cell r="BD5">
            <v>61608.09</v>
          </cell>
          <cell r="BE5">
            <v>6914.72</v>
          </cell>
          <cell r="BF5">
            <v>15987.419999999998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</row>
        <row r="6">
          <cell r="AY6">
            <v>11147.87</v>
          </cell>
        </row>
        <row r="9">
          <cell r="I9" t="str">
            <v>地上</v>
          </cell>
          <cell r="J9"/>
          <cell r="K9" t="str">
            <v>地上</v>
          </cell>
          <cell r="L9"/>
          <cell r="M9" t="str">
            <v>地上</v>
          </cell>
          <cell r="N9"/>
          <cell r="O9" t="str">
            <v>地下</v>
          </cell>
          <cell r="P9"/>
          <cell r="Q9" t="str">
            <v>地下</v>
          </cell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 t="str">
            <v>小计</v>
          </cell>
          <cell r="AD9" t="str">
            <v>地上</v>
          </cell>
          <cell r="AE9"/>
          <cell r="AF9" t="str">
            <v>地下</v>
          </cell>
          <cell r="AG9"/>
          <cell r="AH9" t="str">
            <v>地上</v>
          </cell>
          <cell r="AI9"/>
          <cell r="AJ9" t="str">
            <v>地下</v>
          </cell>
          <cell r="AK9"/>
          <cell r="AL9" t="str">
            <v>地上</v>
          </cell>
          <cell r="AM9"/>
          <cell r="AN9" t="str">
            <v>地下</v>
          </cell>
          <cell r="AO9"/>
          <cell r="AP9" t="str">
            <v>地上</v>
          </cell>
          <cell r="AQ9"/>
          <cell r="AR9" t="str">
            <v>地下</v>
          </cell>
          <cell r="AS9"/>
        </row>
        <row r="10">
          <cell r="BB10" t="str">
            <v>地上</v>
          </cell>
          <cell r="BC10" t="str">
            <v>地上</v>
          </cell>
          <cell r="BD10" t="str">
            <v>地上</v>
          </cell>
          <cell r="BE10" t="str">
            <v>地下</v>
          </cell>
          <cell r="BF10" t="str">
            <v>地下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</row>
        <row r="11">
          <cell r="A11"/>
          <cell r="B11"/>
          <cell r="C11"/>
          <cell r="D11"/>
          <cell r="E11"/>
          <cell r="F11"/>
          <cell r="G11"/>
          <cell r="H11"/>
          <cell r="I11" t="str">
            <v>底商</v>
          </cell>
          <cell r="J11"/>
          <cell r="K11" t="str">
            <v>办公楼</v>
          </cell>
          <cell r="L11"/>
          <cell r="M11" t="str">
            <v>酒店</v>
          </cell>
          <cell r="N11"/>
          <cell r="O11" t="str">
            <v>戊类库房</v>
          </cell>
          <cell r="P11"/>
          <cell r="Q11" t="str">
            <v>车库</v>
          </cell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 t="str">
            <v>（住宅）</v>
          </cell>
          <cell r="AE11"/>
          <cell r="AF11" t="str">
            <v>（住宅）</v>
          </cell>
          <cell r="AG11"/>
          <cell r="AH11" t="str">
            <v>（住宅、计出让金）</v>
          </cell>
          <cell r="AI11"/>
          <cell r="AJ11" t="str">
            <v>（住宅、计出让金）</v>
          </cell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U11"/>
          <cell r="AV11"/>
          <cell r="AW11"/>
          <cell r="AX11"/>
          <cell r="AY11"/>
          <cell r="AZ11"/>
          <cell r="BA11"/>
          <cell r="BB11" t="str">
            <v>商业</v>
          </cell>
          <cell r="BC11" t="str">
            <v>办公</v>
          </cell>
          <cell r="BD11" t="str">
            <v>商业</v>
          </cell>
          <cell r="BE11" t="str">
            <v>仓储</v>
          </cell>
          <cell r="BF11" t="str">
            <v>车库—商业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/>
          <cell r="BM11" t="str">
            <v>公共配套设施</v>
          </cell>
          <cell r="BN11" t="str">
            <v>公共配套设施</v>
          </cell>
          <cell r="BO11" t="str">
            <v>物业管理用房</v>
          </cell>
          <cell r="BP11" t="str">
            <v>物业管理用房</v>
          </cell>
          <cell r="BQ11" t="str">
            <v>设备及其他</v>
          </cell>
          <cell r="BR11" t="str">
            <v>设备及其他</v>
          </cell>
          <cell r="BS11" t="str">
            <v>未注明</v>
          </cell>
          <cell r="BT11" t="str">
            <v>未注明</v>
          </cell>
        </row>
        <row r="13">
          <cell r="I13">
            <v>10941.939999999999</v>
          </cell>
          <cell r="K13">
            <v>3358.16</v>
          </cell>
          <cell r="M13">
            <v>61608.09</v>
          </cell>
          <cell r="O13">
            <v>6914.72</v>
          </cell>
          <cell r="Q13">
            <v>15987.419999999998</v>
          </cell>
        </row>
      </sheetData>
      <sheetData sheetId="12"/>
      <sheetData sheetId="13"/>
      <sheetData sheetId="14"/>
      <sheetData sheetId="15"/>
      <sheetData sheetId="16"/>
      <sheetData sheetId="17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8"/>
      <sheetData sheetId="19"/>
      <sheetData sheetId="20"/>
      <sheetData sheetId="21"/>
      <sheetData sheetId="22"/>
      <sheetData sheetId="23"/>
      <sheetData sheetId="24">
        <row r="62">
          <cell r="A62" t="str">
            <v>交易情况</v>
          </cell>
          <cell r="B62"/>
          <cell r="C62" t="str">
            <v>正常</v>
          </cell>
          <cell r="D62"/>
          <cell r="E62"/>
          <cell r="F62"/>
          <cell r="G62"/>
          <cell r="H62"/>
          <cell r="I62"/>
          <cell r="J62"/>
          <cell r="K62"/>
          <cell r="L62"/>
          <cell r="M62"/>
        </row>
        <row r="64">
          <cell r="B64" t="str">
            <v>用途</v>
          </cell>
          <cell r="C64">
            <v>0</v>
          </cell>
          <cell r="D64"/>
          <cell r="E64"/>
          <cell r="F64"/>
          <cell r="G64"/>
          <cell r="H64"/>
          <cell r="I64"/>
          <cell r="J64"/>
          <cell r="K64"/>
          <cell r="L64"/>
          <cell r="M64"/>
        </row>
        <row r="87">
          <cell r="B87" t="str">
            <v>毗邻道路的类型与等级</v>
          </cell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</row>
        <row r="89">
          <cell r="B89" t="str">
            <v>楼层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</row>
        <row r="91">
          <cell r="B91" t="str">
            <v>朝向</v>
          </cell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</row>
        <row r="101">
          <cell r="B101" t="str">
            <v>建筑类型</v>
          </cell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</row>
        <row r="106">
          <cell r="B106" t="str">
            <v>建筑结构</v>
          </cell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</row>
        <row r="108">
          <cell r="B108" t="str">
            <v>公共部分装修</v>
          </cell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</row>
        <row r="113">
          <cell r="B113" t="str">
            <v>写字楼等级</v>
          </cell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</row>
        <row r="115">
          <cell r="B115" t="str">
            <v>物业管理</v>
          </cell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</row>
        <row r="117">
          <cell r="B117" t="str">
            <v>市政基础设施</v>
          </cell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</row>
        <row r="119">
          <cell r="B119" t="str">
            <v>层高</v>
          </cell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</row>
        <row r="123">
          <cell r="B123" t="str">
            <v>内部装修</v>
          </cell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</row>
      </sheetData>
      <sheetData sheetId="25">
        <row r="73">
          <cell r="A73" t="str">
            <v>交易情况</v>
          </cell>
          <cell r="B73"/>
          <cell r="C73" t="str">
            <v>正常</v>
          </cell>
          <cell r="D73"/>
          <cell r="E73"/>
          <cell r="F73"/>
          <cell r="G73"/>
          <cell r="H73"/>
          <cell r="I73"/>
          <cell r="J73"/>
          <cell r="K73"/>
          <cell r="L73"/>
          <cell r="M73"/>
        </row>
        <row r="75">
          <cell r="B75" t="str">
            <v>用途</v>
          </cell>
          <cell r="C75" t="str">
            <v>商业</v>
          </cell>
          <cell r="D75"/>
          <cell r="E75"/>
          <cell r="F75"/>
          <cell r="G75"/>
          <cell r="H75"/>
          <cell r="I75"/>
          <cell r="J75"/>
          <cell r="K75"/>
          <cell r="L75"/>
          <cell r="M75"/>
        </row>
        <row r="106">
          <cell r="B106" t="str">
            <v>毗邻道路的类型与等级</v>
          </cell>
          <cell r="C106" t="str">
            <v>快速</v>
          </cell>
          <cell r="D106" t="str">
            <v>主干道</v>
          </cell>
          <cell r="E106" t="str">
            <v>次干道</v>
          </cell>
          <cell r="F106" t="str">
            <v>支路</v>
          </cell>
          <cell r="G106"/>
          <cell r="H106"/>
          <cell r="I106"/>
          <cell r="J106"/>
          <cell r="K106"/>
          <cell r="L106"/>
          <cell r="M106"/>
        </row>
        <row r="108">
          <cell r="B108" t="str">
            <v>土地级别</v>
          </cell>
          <cell r="C108" t="str">
            <v>一级</v>
          </cell>
          <cell r="D108" t="str">
            <v>二级</v>
          </cell>
          <cell r="E108" t="str">
            <v>三级</v>
          </cell>
          <cell r="F108" t="str">
            <v>四级</v>
          </cell>
          <cell r="G108" t="str">
            <v>五级</v>
          </cell>
          <cell r="H108" t="str">
            <v>六级</v>
          </cell>
          <cell r="I108" t="str">
            <v>七级</v>
          </cell>
          <cell r="J108"/>
          <cell r="K108"/>
          <cell r="L108"/>
          <cell r="M108"/>
        </row>
        <row r="119">
          <cell r="B119" t="str">
            <v>宗地形状</v>
          </cell>
          <cell r="C119" t="str">
            <v>规则</v>
          </cell>
          <cell r="D119" t="str">
            <v>较规则</v>
          </cell>
          <cell r="E119" t="str">
            <v>较不规则</v>
          </cell>
          <cell r="F119" t="str">
            <v>不规则</v>
          </cell>
          <cell r="G119"/>
          <cell r="H119"/>
          <cell r="I119"/>
          <cell r="J119"/>
          <cell r="K119"/>
          <cell r="L119"/>
          <cell r="M119"/>
        </row>
        <row r="121">
          <cell r="B121" t="str">
            <v>临街宽度及深度</v>
          </cell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</row>
        <row r="123">
          <cell r="B123" t="str">
            <v>宗地开发程度</v>
          </cell>
          <cell r="C123" t="str">
            <v>七通</v>
          </cell>
          <cell r="D123" t="str">
            <v>六通</v>
          </cell>
          <cell r="E123"/>
          <cell r="F123"/>
          <cell r="G123"/>
          <cell r="H123"/>
          <cell r="I123"/>
          <cell r="J123"/>
          <cell r="K123"/>
          <cell r="L123"/>
          <cell r="M123"/>
        </row>
        <row r="125">
          <cell r="B125" t="str">
            <v>工程地质条件</v>
          </cell>
          <cell r="C125" t="str">
            <v>良好</v>
          </cell>
          <cell r="D125" t="str">
            <v>一般</v>
          </cell>
          <cell r="E125"/>
          <cell r="F125"/>
          <cell r="G125"/>
          <cell r="H125"/>
          <cell r="I125"/>
          <cell r="J125"/>
          <cell r="K125"/>
          <cell r="L125"/>
          <cell r="M125"/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>
            <v>0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86">
          <cell r="B86" t="str">
            <v>楼层-1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88">
          <cell r="B88" t="str">
            <v>朝向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100">
          <cell r="B100" t="str">
            <v>建筑类型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5">
          <cell r="B105" t="str">
            <v>建筑结构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7">
          <cell r="B107" t="str">
            <v>建筑品质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09">
          <cell r="B109" t="str">
            <v>公共部分装修</v>
          </cell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</row>
        <row r="114">
          <cell r="B114" t="str">
            <v>物业管理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市政基础设施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18">
          <cell r="B118" t="str">
            <v>房型</v>
          </cell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</row>
        <row r="122">
          <cell r="B122" t="str">
            <v>内部装修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</sheetData>
      <sheetData sheetId="37">
        <row r="61">
          <cell r="A61" t="str">
            <v>交易情况</v>
          </cell>
          <cell r="B61"/>
          <cell r="C61" t="str">
            <v>正常</v>
          </cell>
          <cell r="D61"/>
          <cell r="E61"/>
          <cell r="F61"/>
          <cell r="G61"/>
          <cell r="H61"/>
          <cell r="I61"/>
          <cell r="J61"/>
          <cell r="K61"/>
          <cell r="L61"/>
          <cell r="M61"/>
        </row>
        <row r="63">
          <cell r="B63" t="str">
            <v>用途</v>
          </cell>
          <cell r="C63">
            <v>0</v>
          </cell>
          <cell r="D63"/>
          <cell r="E63"/>
          <cell r="F63"/>
          <cell r="G63"/>
          <cell r="H63"/>
          <cell r="I63"/>
          <cell r="J63"/>
          <cell r="K63"/>
          <cell r="L63"/>
          <cell r="M63"/>
        </row>
        <row r="86">
          <cell r="B86" t="str">
            <v>临街状况</v>
          </cell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</row>
        <row r="90">
          <cell r="B90" t="str">
            <v>人流量</v>
          </cell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</row>
        <row r="92">
          <cell r="B92" t="str">
            <v>楼层</v>
          </cell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</row>
        <row r="100">
          <cell r="B100" t="str">
            <v>商业类型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5">
          <cell r="B105" t="str">
            <v>建筑结构</v>
          </cell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</row>
        <row r="107">
          <cell r="B107" t="str">
            <v>公共部分装修</v>
          </cell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</row>
        <row r="112">
          <cell r="B112" t="str">
            <v>市政基础设施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</row>
        <row r="114">
          <cell r="B114" t="str">
            <v>业态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  <row r="116">
          <cell r="B116" t="str">
            <v>层高</v>
          </cell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</row>
        <row r="120">
          <cell r="B120" t="str">
            <v>进深比</v>
          </cell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</row>
        <row r="122">
          <cell r="B122" t="str">
            <v>内部装修</v>
          </cell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</row>
      </sheetData>
      <sheetData sheetId="38">
        <row r="55">
          <cell r="A55" t="str">
            <v>交易情况</v>
          </cell>
          <cell r="B55"/>
          <cell r="C55" t="str">
            <v>正常</v>
          </cell>
          <cell r="D55"/>
          <cell r="E55"/>
          <cell r="F55"/>
          <cell r="G55"/>
          <cell r="H55"/>
          <cell r="I55"/>
          <cell r="J55"/>
          <cell r="K55"/>
          <cell r="L55"/>
          <cell r="M55"/>
        </row>
        <row r="57">
          <cell r="B57" t="str">
            <v>用途</v>
          </cell>
          <cell r="C57">
            <v>0</v>
          </cell>
          <cell r="D57"/>
          <cell r="E57"/>
          <cell r="F57"/>
          <cell r="G57"/>
          <cell r="H57"/>
          <cell r="I57"/>
          <cell r="J57"/>
          <cell r="K57"/>
          <cell r="L57"/>
          <cell r="M57"/>
        </row>
        <row r="88">
          <cell r="B88" t="str">
            <v>建筑类型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93">
          <cell r="B93" t="str">
            <v>建筑结构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</row>
        <row r="95">
          <cell r="B95" t="str">
            <v>公共部分装修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  <row r="100">
          <cell r="B100" t="str">
            <v>物业管理</v>
          </cell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</row>
        <row r="102">
          <cell r="B102" t="str">
            <v>市政基础设施</v>
          </cell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</row>
        <row r="104">
          <cell r="B104" t="str">
            <v>内部装修</v>
          </cell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</row>
      </sheetData>
      <sheetData sheetId="39">
        <row r="51">
          <cell r="A51" t="str">
            <v>交易情况</v>
          </cell>
          <cell r="B51"/>
          <cell r="C51" t="str">
            <v>正常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53">
          <cell r="B53" t="str">
            <v>用途</v>
          </cell>
          <cell r="C53">
            <v>0</v>
          </cell>
          <cell r="D53"/>
          <cell r="E53"/>
          <cell r="F53"/>
          <cell r="G53"/>
          <cell r="H53"/>
          <cell r="I53"/>
          <cell r="J53"/>
          <cell r="K53"/>
          <cell r="L53"/>
          <cell r="M53"/>
        </row>
        <row r="71">
          <cell r="B71" t="str">
            <v>楼层</v>
          </cell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</row>
        <row r="79">
          <cell r="B79" t="str">
            <v>配套类型（地上主用途）</v>
          </cell>
          <cell r="C79">
            <v>0</v>
          </cell>
          <cell r="D79"/>
          <cell r="E79"/>
          <cell r="F79"/>
          <cell r="G79"/>
          <cell r="H79"/>
          <cell r="I79"/>
          <cell r="J79"/>
          <cell r="K79"/>
          <cell r="L79"/>
          <cell r="M79"/>
        </row>
        <row r="83">
          <cell r="B83" t="str">
            <v>公共部分装修</v>
          </cell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</row>
        <row r="88">
          <cell r="B88" t="str">
            <v>物业等级</v>
          </cell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</row>
        <row r="93">
          <cell r="B93" t="str">
            <v>车位类型</v>
          </cell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</row>
        <row r="95">
          <cell r="B95" t="str">
            <v>是否直接入户</v>
          </cell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</row>
      </sheetData>
      <sheetData sheetId="40">
        <row r="49">
          <cell r="A49" t="str">
            <v>交易情况</v>
          </cell>
          <cell r="B49"/>
          <cell r="C49" t="str">
            <v>正常</v>
          </cell>
          <cell r="D49"/>
          <cell r="E49"/>
          <cell r="F49"/>
          <cell r="G49"/>
          <cell r="H49"/>
          <cell r="I49"/>
          <cell r="J49"/>
          <cell r="K49"/>
          <cell r="L49"/>
          <cell r="M49"/>
        </row>
        <row r="51">
          <cell r="B51" t="str">
            <v>用途</v>
          </cell>
          <cell r="C51">
            <v>0</v>
          </cell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69">
          <cell r="B69" t="str">
            <v>楼层</v>
          </cell>
          <cell r="C69"/>
          <cell r="D69"/>
          <cell r="E69"/>
          <cell r="F69"/>
          <cell r="G69"/>
          <cell r="H69"/>
          <cell r="I69"/>
          <cell r="J69"/>
          <cell r="K69"/>
          <cell r="L69"/>
          <cell r="M69"/>
        </row>
        <row r="77">
          <cell r="B77" t="str">
            <v>公共部分装修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</row>
        <row r="82">
          <cell r="B82" t="str">
            <v>物业等级</v>
          </cell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</row>
        <row r="84">
          <cell r="B84" t="str">
            <v>有无电梯</v>
          </cell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</row>
        <row r="89">
          <cell r="B89" t="str">
            <v>是否封闭</v>
          </cell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</row>
      </sheetData>
      <sheetData sheetId="41">
        <row r="70">
          <cell r="B70" t="str">
            <v>用途</v>
          </cell>
          <cell r="C70"/>
          <cell r="D70"/>
          <cell r="E70"/>
          <cell r="F70"/>
          <cell r="G70"/>
          <cell r="H70"/>
          <cell r="I70"/>
          <cell r="J70"/>
          <cell r="K70"/>
          <cell r="L70"/>
          <cell r="M70"/>
        </row>
        <row r="97">
          <cell r="B97" t="str">
            <v>毗邻道路的类型与等级</v>
          </cell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</row>
        <row r="99">
          <cell r="B99" t="str">
            <v>土地级别</v>
          </cell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</row>
        <row r="110">
          <cell r="B110" t="str">
            <v>宗地形状</v>
          </cell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</row>
        <row r="112">
          <cell r="B112" t="str">
            <v>宗地开发程度</v>
          </cell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</row>
        <row r="114">
          <cell r="B114" t="str">
            <v>工程地质条件</v>
          </cell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6">
          <cell r="A6" t="str">
            <v>通路</v>
          </cell>
        </row>
        <row r="7">
          <cell r="A7" t="str">
            <v>通电</v>
          </cell>
        </row>
        <row r="8">
          <cell r="A8" t="str">
            <v>通讯</v>
          </cell>
        </row>
        <row r="9">
          <cell r="A9" t="str">
            <v>通上水</v>
          </cell>
        </row>
        <row r="10">
          <cell r="A10" t="str">
            <v>通下水</v>
          </cell>
        </row>
        <row r="11">
          <cell r="A11" t="str">
            <v>通热</v>
          </cell>
        </row>
        <row r="12">
          <cell r="A12" t="str">
            <v>燃气</v>
          </cell>
        </row>
        <row r="13">
          <cell r="A13" t="str">
            <v>平整</v>
          </cell>
        </row>
        <row r="14">
          <cell r="A14" t="str">
            <v>——</v>
          </cell>
        </row>
        <row r="17">
          <cell r="C17" t="str">
            <v>二级分类</v>
          </cell>
        </row>
        <row r="18">
          <cell r="C18" t="str">
            <v>批发零售用地</v>
          </cell>
        </row>
        <row r="19">
          <cell r="C19" t="str">
            <v>住宿餐饮用地</v>
          </cell>
        </row>
        <row r="20">
          <cell r="C20" t="str">
            <v>商务金融用地（商业类）</v>
          </cell>
        </row>
        <row r="21">
          <cell r="C21" t="str">
            <v>其他商服用地</v>
          </cell>
        </row>
        <row r="22">
          <cell r="C22" t="str">
            <v>殡葬用地等特殊用地</v>
          </cell>
        </row>
        <row r="23">
          <cell r="C23" t="str">
            <v>商务金融用地（办公类）</v>
          </cell>
        </row>
        <row r="24">
          <cell r="C24" t="str">
            <v>其他商服用地（停车场、停车楼等用地）</v>
          </cell>
        </row>
        <row r="25">
          <cell r="C25" t="str">
            <v>其他商服用地（指展览馆、会展中心等用地）</v>
          </cell>
        </row>
        <row r="26">
          <cell r="C26" t="str">
            <v>机场航站楼用地</v>
          </cell>
        </row>
        <row r="27">
          <cell r="C27" t="str">
            <v>科教用地</v>
          </cell>
        </row>
        <row r="28">
          <cell r="C28" t="str">
            <v>新闻出版用地</v>
          </cell>
        </row>
        <row r="29">
          <cell r="C29" t="str">
            <v>机关团体用地</v>
          </cell>
        </row>
        <row r="30">
          <cell r="C30" t="str">
            <v>医卫慈善用地</v>
          </cell>
        </row>
        <row r="31">
          <cell r="C31" t="str">
            <v>文体娱乐用地</v>
          </cell>
        </row>
        <row r="32">
          <cell r="C32" t="str">
            <v>产业用地</v>
          </cell>
        </row>
        <row r="33">
          <cell r="C33" t="str">
            <v>居住用地（指二类居住用地）</v>
          </cell>
        </row>
        <row r="34">
          <cell r="C34" t="str">
            <v>居住用地（指一类居住用地）</v>
          </cell>
        </row>
        <row r="35">
          <cell r="C35" t="str">
            <v>工业用地</v>
          </cell>
        </row>
        <row r="36">
          <cell r="C36" t="str">
            <v>采矿用地</v>
          </cell>
        </row>
        <row r="37">
          <cell r="C37" t="str">
            <v>仓储用地</v>
          </cell>
        </row>
        <row r="38">
          <cell r="C38" t="str">
            <v>公共设施用地</v>
          </cell>
        </row>
        <row r="39">
          <cell r="C39" t="str">
            <v>交通用地</v>
          </cell>
        </row>
        <row r="59">
          <cell r="C59" t="str">
            <v>商业街名称</v>
          </cell>
        </row>
        <row r="60">
          <cell r="C60" t="str">
            <v>不临58条商业街</v>
          </cell>
        </row>
        <row r="61">
          <cell r="C61" t="str">
            <v>东长安街</v>
          </cell>
        </row>
        <row r="62">
          <cell r="C62" t="str">
            <v>建国门内大街</v>
          </cell>
        </row>
        <row r="63">
          <cell r="C63" t="str">
            <v>王府井商业街</v>
          </cell>
        </row>
        <row r="64">
          <cell r="C64" t="str">
            <v>东单北大街</v>
          </cell>
        </row>
        <row r="65">
          <cell r="C65" t="str">
            <v>东四南大街</v>
          </cell>
        </row>
        <row r="66">
          <cell r="C66" t="str">
            <v>东直门内大街      （簋街）</v>
          </cell>
        </row>
        <row r="67">
          <cell r="C67" t="str">
            <v>北京站东街</v>
          </cell>
        </row>
        <row r="68">
          <cell r="C68" t="str">
            <v>北京站街</v>
          </cell>
        </row>
        <row r="69">
          <cell r="C69" t="str">
            <v>东四十条</v>
          </cell>
        </row>
        <row r="70">
          <cell r="C70" t="str">
            <v>张自忠路</v>
          </cell>
        </row>
        <row r="71">
          <cell r="C71" t="str">
            <v>地安门东大街</v>
          </cell>
        </row>
        <row r="72">
          <cell r="C72" t="str">
            <v>前门商业街</v>
          </cell>
        </row>
        <row r="73">
          <cell r="C73" t="str">
            <v>崇外商业街</v>
          </cell>
        </row>
        <row r="74">
          <cell r="C74" t="str">
            <v>广渠门内大街</v>
          </cell>
        </row>
        <row r="75">
          <cell r="C75" t="str">
            <v>珠市口东大街</v>
          </cell>
        </row>
        <row r="76">
          <cell r="C76" t="str">
            <v>西长安街</v>
          </cell>
        </row>
        <row r="77">
          <cell r="C77" t="str">
            <v>复兴门内大街</v>
          </cell>
        </row>
        <row r="78">
          <cell r="C78" t="str">
            <v>复兴门外大街</v>
          </cell>
        </row>
        <row r="79">
          <cell r="C79" t="str">
            <v>西单商业街</v>
          </cell>
        </row>
        <row r="80">
          <cell r="C80" t="str">
            <v>西四商业街</v>
          </cell>
        </row>
        <row r="81">
          <cell r="C81" t="str">
            <v>新街口商业街</v>
          </cell>
        </row>
        <row r="82">
          <cell r="C82" t="str">
            <v>双旗杆西街       （福利特商业街）</v>
          </cell>
        </row>
        <row r="83">
          <cell r="C83" t="str">
            <v>地安门西大街</v>
          </cell>
        </row>
        <row r="84">
          <cell r="C84" t="str">
            <v>平安里西大街</v>
          </cell>
        </row>
        <row r="85">
          <cell r="C85" t="str">
            <v>大栅栏商业街</v>
          </cell>
        </row>
        <row r="86">
          <cell r="C86" t="str">
            <v>珠市口西大街</v>
          </cell>
        </row>
        <row r="87">
          <cell r="C87" t="str">
            <v>骡马市大街</v>
          </cell>
        </row>
        <row r="88">
          <cell r="C88" t="str">
            <v>广安门内大街</v>
          </cell>
        </row>
        <row r="89">
          <cell r="C89" t="str">
            <v>宣武门外大街</v>
          </cell>
        </row>
        <row r="90">
          <cell r="C90" t="str">
            <v>菜市口大街</v>
          </cell>
        </row>
        <row r="91">
          <cell r="C91" t="str">
            <v>马连道路</v>
          </cell>
        </row>
        <row r="92">
          <cell r="C92" t="str">
            <v>朝外商业街</v>
          </cell>
        </row>
        <row r="93">
          <cell r="C93" t="str">
            <v>安立路</v>
          </cell>
        </row>
        <row r="94">
          <cell r="C94" t="str">
            <v>三里屯路</v>
          </cell>
        </row>
        <row r="95">
          <cell r="C95" t="str">
            <v>秀水街</v>
          </cell>
        </row>
        <row r="96">
          <cell r="C96" t="str">
            <v>大羊坊路         （十里河建材商业街）</v>
          </cell>
        </row>
        <row r="97">
          <cell r="C97" t="str">
            <v>建国门外大街</v>
          </cell>
        </row>
        <row r="98">
          <cell r="C98" t="str">
            <v>建国路</v>
          </cell>
        </row>
        <row r="99">
          <cell r="C99" t="str">
            <v>中关村大街</v>
          </cell>
        </row>
        <row r="100">
          <cell r="C100" t="str">
            <v>复兴路</v>
          </cell>
        </row>
        <row r="101">
          <cell r="C101" t="str">
            <v>海淀中路</v>
          </cell>
        </row>
        <row r="102">
          <cell r="C102" t="str">
            <v>蒲芳路、紫芳路    （方庄商业街）</v>
          </cell>
        </row>
        <row r="103">
          <cell r="C103" t="str">
            <v>石景山路</v>
          </cell>
        </row>
        <row r="104">
          <cell r="C104" t="str">
            <v>新桥大街</v>
          </cell>
        </row>
        <row r="105">
          <cell r="C105" t="str">
            <v>南关大街</v>
          </cell>
        </row>
        <row r="106">
          <cell r="C106" t="str">
            <v>拱辰大街</v>
          </cell>
        </row>
        <row r="107">
          <cell r="C107" t="str">
            <v>新华大街</v>
          </cell>
        </row>
        <row r="108">
          <cell r="C108" t="str">
            <v>云景东路</v>
          </cell>
        </row>
        <row r="109">
          <cell r="C109" t="str">
            <v>新顺大街</v>
          </cell>
        </row>
        <row r="110">
          <cell r="C110" t="str">
            <v>兴华大街</v>
          </cell>
        </row>
        <row r="111">
          <cell r="C111" t="str">
            <v>回龙观西大街</v>
          </cell>
        </row>
        <row r="112">
          <cell r="C112" t="str">
            <v>鼓楼东、西街</v>
          </cell>
        </row>
        <row r="113">
          <cell r="C113" t="str">
            <v>鼓楼南、北街</v>
          </cell>
        </row>
        <row r="114">
          <cell r="C114" t="str">
            <v>步行街</v>
          </cell>
        </row>
        <row r="115">
          <cell r="C115" t="str">
            <v>商业街</v>
          </cell>
        </row>
        <row r="116">
          <cell r="C116" t="str">
            <v>鼓楼东、西大街</v>
          </cell>
        </row>
        <row r="117">
          <cell r="C117" t="str">
            <v>鼓楼大街</v>
          </cell>
        </row>
        <row r="118">
          <cell r="C118" t="str">
            <v>东外大街</v>
          </cell>
        </row>
        <row r="119">
          <cell r="C119" t="str">
            <v>不临58条商业街</v>
          </cell>
        </row>
      </sheetData>
      <sheetData sheetId="52"/>
      <sheetData sheetId="53"/>
      <sheetData sheetId="54"/>
      <sheetData sheetId="55">
        <row r="5">
          <cell r="A5"/>
          <cell r="B5" t="str">
            <v>修正项2</v>
          </cell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</row>
        <row r="7">
          <cell r="A7"/>
          <cell r="B7" t="str">
            <v>修正项3</v>
          </cell>
          <cell r="C7"/>
          <cell r="D7"/>
          <cell r="E7"/>
          <cell r="F7"/>
          <cell r="G7"/>
          <cell r="H7"/>
          <cell r="I7"/>
          <cell r="J7"/>
          <cell r="K7"/>
          <cell r="L7"/>
          <cell r="M7"/>
          <cell r="N7"/>
          <cell r="O7"/>
          <cell r="P7"/>
          <cell r="Q7"/>
          <cell r="R7"/>
          <cell r="S7"/>
          <cell r="T7"/>
          <cell r="U7"/>
          <cell r="V7"/>
          <cell r="W7"/>
          <cell r="X7"/>
          <cell r="Y7"/>
          <cell r="Z7"/>
          <cell r="AA7"/>
          <cell r="AB7"/>
          <cell r="AC7"/>
          <cell r="AD7"/>
          <cell r="AE7"/>
          <cell r="AF7"/>
          <cell r="AG7"/>
          <cell r="AH7"/>
          <cell r="AI7"/>
          <cell r="AJ7"/>
          <cell r="AK7"/>
          <cell r="AL7"/>
          <cell r="AM7"/>
          <cell r="AN7"/>
          <cell r="AO7"/>
          <cell r="AP7"/>
          <cell r="AQ7"/>
          <cell r="AR7"/>
          <cell r="AS7"/>
        </row>
        <row r="9">
          <cell r="A9"/>
          <cell r="B9" t="str">
            <v>修正项4</v>
          </cell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</row>
        <row r="11">
          <cell r="A11"/>
          <cell r="B11" t="str">
            <v>修正项5</v>
          </cell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</row>
        <row r="13">
          <cell r="A13"/>
          <cell r="B13" t="str">
            <v>修正项6</v>
          </cell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</row>
        <row r="15">
          <cell r="A15"/>
          <cell r="B15" t="str">
            <v>修正项7</v>
          </cell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AR15"/>
          <cell r="AS15"/>
        </row>
        <row r="17">
          <cell r="A17" t="str">
            <v>修正系数</v>
          </cell>
          <cell r="B17" t="str">
            <v>楼层</v>
          </cell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/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</row>
      </sheetData>
      <sheetData sheetId="56"/>
      <sheetData sheetId="57"/>
      <sheetData sheetId="58"/>
      <sheetData sheetId="59"/>
      <sheetData sheetId="6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数据-汇总表"/>
      <sheetName val="面积新"/>
      <sheetName val="估价对象房地状况"/>
      <sheetName val="系统读取表"/>
      <sheetName val="结果表"/>
      <sheetName val="主表(办公）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地价（废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F35">
            <v>8751</v>
          </cell>
        </row>
        <row r="36">
          <cell r="F36">
            <v>2938.6687000000002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数据-汇总表"/>
      <sheetName val="面积新"/>
      <sheetName val="估价对象房地状况"/>
      <sheetName val="系统读取表"/>
      <sheetName val="结果表"/>
      <sheetName val="主表(车库）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地价（废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F35">
            <v>4658</v>
          </cell>
        </row>
        <row r="36">
          <cell r="F36">
            <v>7446.6844000000001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数据-汇总表"/>
      <sheetName val="面积新"/>
      <sheetName val="估价对象房地状况"/>
      <sheetName val="系统读取表"/>
      <sheetName val="结果表"/>
      <sheetName val="主表(仓储）"/>
      <sheetName val="2014基准地价"/>
      <sheetName val="2014因素修正幅度"/>
      <sheetName val="2014区片价"/>
      <sheetName val="2014修正"/>
      <sheetName val="2014容积率修正"/>
      <sheetName val="2002基准地价"/>
      <sheetName val="2002地价表"/>
      <sheetName val="2002容积率修正"/>
      <sheetName val="2002因素修正幅度"/>
      <sheetName val="1993基准地价"/>
      <sheetName val="比较法"/>
      <sheetName val="存贷款利率"/>
      <sheetName val="地价"/>
      <sheetName val="地价（废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5">
          <cell r="F35">
            <v>3299</v>
          </cell>
        </row>
        <row r="36">
          <cell r="F36">
            <v>2281.1938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C26" sqref="C26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868" t="s">
        <v>168</v>
      </c>
      <c r="B15" s="663" t="s">
        <v>253</v>
      </c>
    </row>
    <row r="16" spans="1:7" ht="13.5">
      <c r="A16" s="1869"/>
      <c r="B16" s="664" t="s">
        <v>169</v>
      </c>
    </row>
    <row r="17" spans="1:2" ht="13.5">
      <c r="A17" s="180" t="s">
        <v>170</v>
      </c>
      <c r="B17" s="665"/>
    </row>
    <row r="18" spans="1:2" ht="13.5">
      <c r="A18" s="1867" t="s">
        <v>171</v>
      </c>
      <c r="B18" s="663" t="s">
        <v>1400</v>
      </c>
    </row>
    <row r="19" spans="1:2" ht="13.5">
      <c r="A19" s="1867"/>
      <c r="B19" s="663" t="s">
        <v>1401</v>
      </c>
    </row>
    <row r="20" spans="1:2" ht="13.5">
      <c r="A20" s="1867"/>
      <c r="B20" s="663" t="s">
        <v>1402</v>
      </c>
    </row>
    <row r="21" spans="1:2" ht="13.5">
      <c r="A21" s="1867"/>
      <c r="B21" s="500" t="s">
        <v>172</v>
      </c>
    </row>
    <row r="22" spans="1:2" ht="13.5">
      <c r="A22" s="1867"/>
      <c r="B22" s="500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8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26" customWidth="1"/>
    <col min="2" max="2" width="19.25" style="794" customWidth="1"/>
    <col min="3" max="4" width="12" style="725" customWidth="1"/>
    <col min="5" max="5" width="14.625" style="725" customWidth="1"/>
    <col min="6" max="7" width="12" style="725" customWidth="1"/>
    <col min="8" max="8" width="15" style="725" customWidth="1"/>
    <col min="9" max="9" width="12.7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682" t="s">
        <v>1481</v>
      </c>
      <c r="B1" s="825"/>
      <c r="C1" s="723" t="s">
        <v>1184</v>
      </c>
      <c r="D1" s="523">
        <f>'主表(商业）'!B7</f>
        <v>72550.03</v>
      </c>
      <c r="E1" s="722" t="s">
        <v>1569</v>
      </c>
      <c r="F1" s="1338"/>
      <c r="G1" s="1514"/>
      <c r="H1" s="722"/>
      <c r="I1" s="722"/>
      <c r="J1" s="722"/>
      <c r="L1" s="826" t="s">
        <v>346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24"/>
      <c r="P1" s="724"/>
      <c r="Q1" s="724"/>
      <c r="R1" s="724"/>
      <c r="S1" s="724"/>
      <c r="T1" s="724"/>
      <c r="U1" s="724"/>
      <c r="V1" s="724"/>
      <c r="W1" s="724"/>
      <c r="X1" s="724"/>
      <c r="Y1" s="724"/>
      <c r="Z1" s="728"/>
      <c r="AA1" s="728"/>
      <c r="AB1" s="728"/>
      <c r="AC1" s="728"/>
      <c r="AD1" s="728"/>
      <c r="AE1" s="728"/>
      <c r="AF1" s="728"/>
    </row>
    <row r="2" spans="1:36" ht="24">
      <c r="A2" s="723" t="s">
        <v>913</v>
      </c>
      <c r="B2" s="32" t="e">
        <f ca="1">C26</f>
        <v>#DIV/0!</v>
      </c>
      <c r="C2" s="683" t="s">
        <v>984</v>
      </c>
      <c r="D2" s="730" t="s">
        <v>987</v>
      </c>
      <c r="E2" s="731" t="str">
        <f>'主表(商业）'!B12</f>
        <v>商业</v>
      </c>
      <c r="F2" s="730" t="s">
        <v>914</v>
      </c>
      <c r="G2" s="732" t="str">
        <f>'主表(商业）'!B10</f>
        <v>四级</v>
      </c>
      <c r="H2" s="827" t="s">
        <v>915</v>
      </c>
      <c r="I2" s="681">
        <f>'主表(商业）'!B11</f>
        <v>0</v>
      </c>
      <c r="J2" s="733"/>
      <c r="L2" s="828" t="s">
        <v>406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24"/>
      <c r="P2" s="724"/>
      <c r="Q2" s="724"/>
      <c r="R2" s="724"/>
      <c r="S2" s="724"/>
      <c r="T2" s="724"/>
      <c r="U2" s="724"/>
      <c r="V2" s="724"/>
      <c r="W2" s="724"/>
      <c r="X2" s="724"/>
      <c r="Y2" s="724"/>
      <c r="Z2" s="728"/>
      <c r="AA2" s="728"/>
      <c r="AB2" s="728"/>
      <c r="AC2" s="728"/>
      <c r="AD2" s="728"/>
      <c r="AE2" s="728"/>
      <c r="AF2" s="728"/>
    </row>
    <row r="3" spans="1:36" ht="15.75">
      <c r="A3" s="829" t="s">
        <v>916</v>
      </c>
      <c r="B3" s="32">
        <f>IF(F1="地上",C29,SUMIF(B33:B39,G1,C33:C39))</f>
        <v>0</v>
      </c>
      <c r="C3" s="683" t="s">
        <v>917</v>
      </c>
      <c r="D3" s="730" t="s">
        <v>256</v>
      </c>
      <c r="E3" s="734"/>
      <c r="F3" s="1486" t="s">
        <v>1227</v>
      </c>
      <c r="G3" s="238">
        <f>IF(F3="容积率",'主表(商业）'!B8,'主表(商业）'!B9)</f>
        <v>8.86</v>
      </c>
      <c r="H3" s="830" t="s">
        <v>257</v>
      </c>
      <c r="I3" s="398">
        <v>1</v>
      </c>
      <c r="J3" s="733" t="s">
        <v>258</v>
      </c>
      <c r="L3" s="828" t="s">
        <v>584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24"/>
      <c r="P3" s="724"/>
      <c r="Q3" s="724"/>
      <c r="R3" s="724"/>
      <c r="S3" s="724"/>
      <c r="T3" s="724"/>
      <c r="U3" s="724"/>
      <c r="V3" s="724"/>
      <c r="W3" s="724"/>
      <c r="X3" s="724"/>
      <c r="Y3" s="724"/>
      <c r="Z3" s="728"/>
      <c r="AA3" s="728"/>
      <c r="AB3" s="728"/>
      <c r="AC3" s="728"/>
      <c r="AD3" s="728"/>
      <c r="AE3" s="728"/>
      <c r="AF3" s="728"/>
    </row>
    <row r="4" spans="1:36" ht="14.25">
      <c r="A4" s="829" t="s">
        <v>1773</v>
      </c>
      <c r="B4" s="748">
        <f>IF(F1="地上",C30,SUMIF(B33:B39,G1,G33:G39))</f>
        <v>0</v>
      </c>
      <c r="C4" s="748"/>
      <c r="D4" s="748"/>
      <c r="E4" s="748"/>
      <c r="F4" s="748"/>
      <c r="G4" s="748"/>
      <c r="H4" s="748"/>
      <c r="I4" s="748"/>
      <c r="J4" s="1739"/>
      <c r="L4" s="828" t="s">
        <v>254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8"/>
      <c r="AA4" s="728"/>
      <c r="AB4" s="728"/>
      <c r="AC4" s="728"/>
      <c r="AD4" s="728"/>
      <c r="AE4" s="728"/>
      <c r="AF4" s="728"/>
    </row>
    <row r="5" spans="1:36" s="742" customFormat="1" ht="15.75" thickBot="1">
      <c r="A5" s="831" t="s">
        <v>918</v>
      </c>
      <c r="B5" s="832" t="s">
        <v>919</v>
      </c>
      <c r="C5" s="367" t="e">
        <f>ROUND(IF(E2="商业",C6*C7+C16,(IF(E2="住宅/居住",C6*C12+C16,C6+C16))),0)</f>
        <v>#DIV/0!</v>
      </c>
      <c r="D5" s="1695">
        <f>ROUND(C6+C16,0)</f>
        <v>-120</v>
      </c>
      <c r="E5" s="1695">
        <f>ROUND(IF(E2="住宅",IF(F17="增加",C6*C7+C16,C6*C7-C16)),0)</f>
        <v>0</v>
      </c>
      <c r="F5" s="833"/>
      <c r="G5" s="834"/>
      <c r="H5" s="834"/>
      <c r="I5" s="834"/>
      <c r="J5" s="835"/>
      <c r="K5" s="741"/>
      <c r="L5" s="828" t="s">
        <v>666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24"/>
      <c r="P5" s="724"/>
      <c r="Q5" s="724"/>
      <c r="R5" s="724"/>
      <c r="S5" s="724"/>
      <c r="T5" s="724"/>
      <c r="U5" s="724"/>
      <c r="V5" s="724"/>
      <c r="W5" s="724"/>
      <c r="X5" s="724"/>
      <c r="Y5" s="724"/>
      <c r="Z5" s="743"/>
      <c r="AA5" s="743"/>
      <c r="AB5" s="743"/>
      <c r="AC5" s="743"/>
      <c r="AD5" s="743"/>
      <c r="AE5" s="743"/>
      <c r="AF5" s="743"/>
      <c r="AG5" s="744"/>
      <c r="AH5" s="744"/>
      <c r="AI5" s="744"/>
      <c r="AJ5" s="744"/>
    </row>
    <row r="6" spans="1:36" ht="15" thickBot="1">
      <c r="A6" s="836">
        <v>1</v>
      </c>
      <c r="B6" s="837" t="s">
        <v>919</v>
      </c>
      <c r="C6" s="370">
        <f>SUMIF(L1:L12,G2,M1:M12)</f>
        <v>0</v>
      </c>
      <c r="D6" s="838" t="s">
        <v>1482</v>
      </c>
      <c r="E6" s="839"/>
      <c r="F6" s="839"/>
      <c r="G6" s="840"/>
      <c r="H6" s="840"/>
      <c r="I6" s="840"/>
      <c r="J6" s="841"/>
      <c r="K6" s="751"/>
      <c r="L6" s="828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24"/>
      <c r="P6" s="724"/>
      <c r="Q6" s="724"/>
      <c r="R6" s="724"/>
      <c r="S6" s="724"/>
      <c r="T6" s="724"/>
      <c r="U6" s="724"/>
      <c r="V6" s="724"/>
      <c r="W6" s="724"/>
      <c r="X6" s="724"/>
      <c r="Y6" s="724"/>
      <c r="Z6" s="728"/>
      <c r="AA6" s="728"/>
      <c r="AB6" s="728"/>
      <c r="AC6" s="728"/>
      <c r="AD6" s="728"/>
      <c r="AE6" s="728"/>
      <c r="AF6" s="728"/>
    </row>
    <row r="7" spans="1:36" ht="24">
      <c r="A7" s="1927">
        <f>IF(E2="商业",IF(C8="不临58条商业街","",2),"")</f>
        <v>2</v>
      </c>
      <c r="B7" s="842" t="s">
        <v>920</v>
      </c>
      <c r="C7" s="371" t="e">
        <f>IF(C8="不临58条商业街",1,ROUND(1+(1.6*E8+1.2*E9+0.8*E10+0.4*E11)*C9,4))</f>
        <v>#DIV/0!</v>
      </c>
      <c r="D7" s="799" t="s">
        <v>921</v>
      </c>
      <c r="E7" s="399"/>
      <c r="F7" s="843"/>
      <c r="G7" s="844"/>
      <c r="H7" s="844"/>
      <c r="I7" s="844"/>
      <c r="J7" s="845"/>
      <c r="K7" s="751"/>
      <c r="L7" s="828" t="s">
        <v>669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24"/>
      <c r="P7" s="724"/>
      <c r="Q7" s="724"/>
      <c r="R7" s="724"/>
      <c r="S7" s="724"/>
      <c r="T7" s="724"/>
      <c r="U7" s="724"/>
      <c r="V7" s="724"/>
      <c r="W7" s="724"/>
      <c r="X7" s="724"/>
      <c r="Y7" s="724"/>
      <c r="Z7" s="728"/>
      <c r="AA7" s="728"/>
      <c r="AB7" s="728"/>
      <c r="AC7" s="728"/>
      <c r="AD7" s="728"/>
      <c r="AE7" s="728"/>
      <c r="AF7" s="728"/>
    </row>
    <row r="8" spans="1:36" ht="14.25">
      <c r="A8" s="1928"/>
      <c r="B8" s="830" t="s">
        <v>922</v>
      </c>
      <c r="C8" s="949"/>
      <c r="D8" s="374" t="s">
        <v>259</v>
      </c>
      <c r="E8" s="375" t="e">
        <f>ROUND(C11/E7,4)</f>
        <v>#DIV/0!</v>
      </c>
      <c r="F8" s="961" t="s">
        <v>1498</v>
      </c>
      <c r="G8" s="847"/>
      <c r="H8" s="847"/>
      <c r="I8" s="847"/>
      <c r="J8" s="848"/>
      <c r="L8" s="828" t="s">
        <v>671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24"/>
      <c r="P8" s="724"/>
      <c r="Q8" s="724"/>
      <c r="R8" s="724"/>
      <c r="S8" s="724"/>
      <c r="T8" s="724"/>
      <c r="U8" s="724"/>
      <c r="V8" s="724"/>
      <c r="W8" s="724"/>
      <c r="X8" s="724"/>
      <c r="Y8" s="724"/>
      <c r="Z8" s="728"/>
      <c r="AA8" s="728"/>
      <c r="AB8" s="728"/>
      <c r="AC8" s="728"/>
      <c r="AD8" s="728"/>
      <c r="AE8" s="728"/>
      <c r="AF8" s="728"/>
    </row>
    <row r="9" spans="1:36" ht="14.25">
      <c r="A9" s="1928"/>
      <c r="B9" s="830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61" t="s">
        <v>1499</v>
      </c>
      <c r="G9" s="847"/>
      <c r="H9" s="847"/>
      <c r="I9" s="847"/>
      <c r="J9" s="848"/>
      <c r="L9" s="828" t="s">
        <v>673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24"/>
      <c r="P9" s="724"/>
      <c r="Q9" s="724"/>
      <c r="R9" s="724"/>
      <c r="S9" s="724"/>
      <c r="T9" s="724"/>
      <c r="U9" s="724"/>
      <c r="V9" s="724"/>
      <c r="W9" s="724"/>
      <c r="X9" s="724"/>
      <c r="Y9" s="724"/>
      <c r="Z9" s="728"/>
      <c r="AA9" s="728"/>
      <c r="AB9" s="728"/>
      <c r="AC9" s="728"/>
      <c r="AD9" s="728"/>
      <c r="AE9" s="728"/>
      <c r="AF9" s="728"/>
    </row>
    <row r="10" spans="1:36" ht="14.25">
      <c r="A10" s="1928"/>
      <c r="B10" s="830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61" t="s">
        <v>1500</v>
      </c>
      <c r="G10" s="847"/>
      <c r="H10" s="847"/>
      <c r="I10" s="847"/>
      <c r="J10" s="848"/>
      <c r="L10" s="828" t="s">
        <v>677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24"/>
      <c r="P10" s="724"/>
      <c r="Q10" s="724"/>
      <c r="R10" s="724"/>
      <c r="S10" s="724"/>
      <c r="T10" s="724"/>
      <c r="U10" s="724"/>
      <c r="V10" s="724"/>
      <c r="W10" s="724"/>
      <c r="X10" s="724"/>
      <c r="Y10" s="724"/>
      <c r="Z10" s="728"/>
      <c r="AA10" s="728"/>
      <c r="AB10" s="728"/>
      <c r="AC10" s="728"/>
      <c r="AD10" s="728"/>
      <c r="AE10" s="728"/>
      <c r="AF10" s="728"/>
    </row>
    <row r="11" spans="1:36" ht="15" thickBot="1">
      <c r="A11" s="1928"/>
      <c r="B11" s="849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62" t="s">
        <v>1501</v>
      </c>
      <c r="G11" s="850"/>
      <c r="H11" s="850"/>
      <c r="I11" s="850"/>
      <c r="J11" s="851"/>
      <c r="L11" s="828" t="s">
        <v>985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24"/>
      <c r="P11" s="724"/>
      <c r="Q11" s="724"/>
      <c r="R11" s="724"/>
      <c r="S11" s="724"/>
      <c r="T11" s="724"/>
      <c r="U11" s="724"/>
      <c r="V11" s="724"/>
      <c r="W11" s="724"/>
      <c r="X11" s="724"/>
      <c r="Y11" s="724"/>
      <c r="Z11" s="728"/>
      <c r="AA11" s="728"/>
      <c r="AB11" s="728"/>
      <c r="AC11" s="728"/>
      <c r="AD11" s="728"/>
      <c r="AE11" s="728"/>
      <c r="AF11" s="728"/>
    </row>
    <row r="12" spans="1:36" ht="24.75" thickBot="1">
      <c r="A12" s="1927" t="str">
        <f>IF(E2="住宅/居住",2,"")</f>
        <v/>
      </c>
      <c r="B12" s="852" t="s">
        <v>926</v>
      </c>
      <c r="C12" s="371">
        <f>ROUND(C15*D15*E15*F15*G15*H15*I15*J15,4)</f>
        <v>1.32</v>
      </c>
      <c r="D12" s="853" t="s">
        <v>927</v>
      </c>
      <c r="E12" s="854"/>
      <c r="F12" s="854"/>
      <c r="G12" s="855"/>
      <c r="H12" s="855"/>
      <c r="I12" s="855"/>
      <c r="J12" s="856"/>
      <c r="L12" s="857" t="s">
        <v>986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24"/>
      <c r="P12" s="724"/>
      <c r="Q12" s="724"/>
      <c r="R12" s="724"/>
      <c r="S12" s="724"/>
      <c r="T12" s="724"/>
      <c r="U12" s="724"/>
      <c r="V12" s="724"/>
      <c r="W12" s="724"/>
      <c r="X12" s="724"/>
      <c r="Y12" s="724"/>
      <c r="Z12" s="728"/>
      <c r="AA12" s="728"/>
      <c r="AB12" s="728"/>
      <c r="AC12" s="728"/>
      <c r="AD12" s="728"/>
      <c r="AE12" s="728"/>
      <c r="AF12" s="728"/>
    </row>
    <row r="13" spans="1:36" ht="24">
      <c r="A13" s="1929"/>
      <c r="B13" s="858" t="s">
        <v>1483</v>
      </c>
      <c r="C13" s="325" t="s">
        <v>1484</v>
      </c>
      <c r="D13" s="668" t="s">
        <v>1485</v>
      </c>
      <c r="E13" s="668" t="s">
        <v>1486</v>
      </c>
      <c r="F13" s="859" t="s">
        <v>263</v>
      </c>
      <c r="G13" s="860" t="s">
        <v>970</v>
      </c>
      <c r="H13" s="860" t="s">
        <v>970</v>
      </c>
      <c r="I13" s="860" t="s">
        <v>970</v>
      </c>
      <c r="J13" s="861" t="s">
        <v>970</v>
      </c>
      <c r="L13" s="724"/>
      <c r="M13" s="724"/>
      <c r="N13" s="724"/>
      <c r="O13" s="724"/>
      <c r="P13" s="724"/>
      <c r="Q13" s="724"/>
      <c r="R13" s="724"/>
      <c r="S13" s="724"/>
      <c r="T13" s="724"/>
      <c r="U13" s="724"/>
      <c r="V13" s="724"/>
      <c r="W13" s="724"/>
      <c r="X13" s="724"/>
      <c r="Y13" s="724"/>
      <c r="Z13" s="728"/>
      <c r="AA13" s="728"/>
      <c r="AB13" s="728"/>
      <c r="AC13" s="728"/>
      <c r="AD13" s="728"/>
      <c r="AE13" s="728"/>
      <c r="AF13" s="728"/>
    </row>
    <row r="14" spans="1:36">
      <c r="A14" s="1929"/>
      <c r="B14" s="862"/>
      <c r="C14" s="863" t="s">
        <v>26</v>
      </c>
      <c r="D14" s="811" t="s">
        <v>26</v>
      </c>
      <c r="E14" s="811" t="s">
        <v>25</v>
      </c>
      <c r="F14" s="864" t="s">
        <v>264</v>
      </c>
      <c r="G14" s="865" t="s">
        <v>954</v>
      </c>
      <c r="H14" s="866"/>
      <c r="I14" s="867"/>
      <c r="J14" s="868"/>
      <c r="L14" s="724"/>
      <c r="M14" s="724"/>
      <c r="N14" s="724"/>
      <c r="O14" s="724"/>
      <c r="P14" s="724"/>
      <c r="Q14" s="724"/>
      <c r="R14" s="724"/>
      <c r="S14" s="724"/>
      <c r="T14" s="724"/>
      <c r="U14" s="724"/>
      <c r="V14" s="724"/>
      <c r="W14" s="724"/>
      <c r="X14" s="724"/>
      <c r="Y14" s="724"/>
      <c r="Z14" s="728"/>
      <c r="AA14" s="728"/>
      <c r="AB14" s="728"/>
      <c r="AC14" s="728"/>
      <c r="AD14" s="728"/>
      <c r="AE14" s="728"/>
      <c r="AF14" s="728"/>
    </row>
    <row r="15" spans="1:36" ht="13.5" thickBot="1">
      <c r="A15" s="1930"/>
      <c r="B15" s="869" t="s">
        <v>1487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24"/>
      <c r="R15" s="724"/>
      <c r="S15" s="724"/>
      <c r="T15" s="724"/>
      <c r="U15" s="724"/>
      <c r="V15" s="724"/>
      <c r="W15" s="724"/>
      <c r="X15" s="724"/>
      <c r="Y15" s="724"/>
      <c r="Z15" s="728"/>
      <c r="AA15" s="728"/>
      <c r="AB15" s="728"/>
      <c r="AC15" s="728"/>
      <c r="AD15" s="728"/>
      <c r="AE15" s="728"/>
      <c r="AF15" s="728"/>
    </row>
    <row r="16" spans="1:36" ht="24.6" customHeight="1">
      <c r="A16" s="1927">
        <f>IF(E2="办公/综合",2,IF(E2="工业",2,IF(E2="住宅/居住",3,IF(E2="商业",IF(C8="不临58条商业街",2,3)))))</f>
        <v>3</v>
      </c>
      <c r="B16" s="842" t="s">
        <v>928</v>
      </c>
      <c r="C16" s="1499">
        <f>ROUND(IF(F17="与级别开发程度一致",0,(G17-E17)/C17),0)</f>
        <v>-120</v>
      </c>
      <c r="D16" s="1936" t="s">
        <v>931</v>
      </c>
      <c r="E16" s="1937"/>
      <c r="F16" s="1936" t="s">
        <v>929</v>
      </c>
      <c r="G16" s="1938"/>
      <c r="H16" s="798"/>
      <c r="I16" s="798"/>
      <c r="J16" s="872"/>
      <c r="K16" s="798"/>
      <c r="L16" s="798"/>
      <c r="M16" s="798"/>
      <c r="N16" s="798"/>
      <c r="O16" s="872"/>
      <c r="Q16" s="724"/>
      <c r="R16" s="724"/>
      <c r="S16" s="724"/>
      <c r="T16" s="724"/>
      <c r="U16" s="724"/>
      <c r="V16" s="724"/>
      <c r="W16" s="724"/>
      <c r="X16" s="724"/>
      <c r="Y16" s="724"/>
      <c r="Z16" s="728"/>
      <c r="AA16" s="728"/>
      <c r="AB16" s="728"/>
      <c r="AC16" s="728"/>
      <c r="AD16" s="728"/>
      <c r="AE16" s="728"/>
      <c r="AF16" s="728"/>
    </row>
    <row r="17" spans="1:37" ht="13.5" thickBot="1">
      <c r="A17" s="1931"/>
      <c r="B17" s="1749" t="s">
        <v>930</v>
      </c>
      <c r="C17" s="1750">
        <f>SUMPRODUCT(('2014修正'!A2:A5=E2)*('2014修正'!B1:M1=G2)*('2014修正'!B2:M5))</f>
        <v>2.5</v>
      </c>
      <c r="D17" s="1751" t="str">
        <f>IF(OR(G2="八级",G2="九级",G2="十级",G2="十一级",G2="十二级"),"五通一平","七通一平")</f>
        <v>七通一平</v>
      </c>
      <c r="E17" s="1754">
        <f>SUMPRODUCT(('2014修正'!B1:M1=G2)*('2014修正'!B15:M15))</f>
        <v>300</v>
      </c>
      <c r="F17" s="1755"/>
      <c r="G17" s="1756">
        <f>SUM(H17:O17)</f>
        <v>0</v>
      </c>
      <c r="H17" s="1752">
        <f>SUMPRODUCT((七通一平=H16)*('2014修正'!B1:M1=G2)*('2014修正'!B6:M14))</f>
        <v>0</v>
      </c>
      <c r="I17" s="1752">
        <f>SUMPRODUCT((七通一平=I16)*('2014修正'!B1:M1=G2)*('2014修正'!B6:M14))</f>
        <v>0</v>
      </c>
      <c r="J17" s="1753">
        <f>SUMPRODUCT((七通一平=J16)*('2014修正'!B1:M1=G2)*('2014修正'!B6:M14))</f>
        <v>0</v>
      </c>
      <c r="K17" s="1752">
        <f>SUMPRODUCT((七通一平=K16)*('2014修正'!B1:M1=G2)*('2014修正'!B6:M14))</f>
        <v>0</v>
      </c>
      <c r="L17" s="1752">
        <f>SUMPRODUCT((七通一平=L16)*('2014修正'!B1:M1=G2)*('2014修正'!B6:M14))</f>
        <v>0</v>
      </c>
      <c r="M17" s="1752">
        <f>SUMPRODUCT((七通一平=M16)*('2014修正'!B1:M1=G2)*('2014修正'!B6:M14))</f>
        <v>0</v>
      </c>
      <c r="N17" s="1752">
        <f>SUMPRODUCT((七通一平=N16)*('2014修正'!B1:M1=G2)*('2014修正'!B6:M14))</f>
        <v>0</v>
      </c>
      <c r="O17" s="1753">
        <f>SUMPRODUCT((七通一平=O16)*('2014修正'!B1:M1=G2)*('2014修正'!B6:M14))</f>
        <v>0</v>
      </c>
      <c r="Q17" s="724"/>
      <c r="R17" s="724"/>
      <c r="S17" s="724"/>
      <c r="T17" s="724"/>
      <c r="U17" s="724"/>
      <c r="V17" s="724"/>
      <c r="W17" s="724"/>
      <c r="X17" s="724"/>
      <c r="Y17" s="724"/>
      <c r="Z17" s="728"/>
      <c r="AA17" s="728"/>
      <c r="AB17" s="728"/>
      <c r="AC17" s="728"/>
      <c r="AD17" s="728"/>
      <c r="AE17" s="724"/>
      <c r="AF17" s="724"/>
      <c r="AG17" s="725"/>
      <c r="AH17" s="725"/>
      <c r="AI17" s="725"/>
      <c r="AJ17" s="725"/>
    </row>
    <row r="18" spans="1:37" s="742" customFormat="1" ht="15.75" thickBot="1">
      <c r="A18" s="1740" t="s">
        <v>932</v>
      </c>
      <c r="B18" s="1741" t="s">
        <v>933</v>
      </c>
      <c r="C18" s="1742">
        <f>SUMIF('2014修正'!C18:C39,E3,'2014修正'!E18:E39)</f>
        <v>0</v>
      </c>
      <c r="D18" s="1743"/>
      <c r="E18" s="1744"/>
      <c r="F18" s="1744"/>
      <c r="G18" s="1744"/>
      <c r="H18" s="1744"/>
      <c r="I18" s="1745"/>
      <c r="J18" s="1746"/>
      <c r="K18" s="781"/>
      <c r="L18" s="1747" t="s">
        <v>972</v>
      </c>
      <c r="M18" s="1748">
        <f>ROUNDDOWN(IF(H19&gt;=E19,DATEDIF(E19,H19,"M")/3,DATEDIF(H19,E19,"M")/3),0)</f>
        <v>9</v>
      </c>
      <c r="N18" s="672"/>
      <c r="O18" s="870" t="s">
        <v>947</v>
      </c>
      <c r="P18" s="846" t="s">
        <v>948</v>
      </c>
      <c r="Q18" s="846" t="s">
        <v>1315</v>
      </c>
      <c r="R18" s="846" t="s">
        <v>1314</v>
      </c>
      <c r="S18" s="871" t="s">
        <v>949</v>
      </c>
      <c r="T18" s="728"/>
      <c r="U18" s="728"/>
      <c r="V18" s="728"/>
      <c r="W18" s="728"/>
      <c r="X18" s="724"/>
      <c r="Y18" s="724"/>
      <c r="Z18" s="781"/>
      <c r="AA18" s="781"/>
      <c r="AB18" s="781"/>
      <c r="AC18" s="781"/>
      <c r="AD18" s="781"/>
      <c r="AE18" s="728"/>
      <c r="AF18" s="728"/>
      <c r="AG18" s="726"/>
      <c r="AH18" s="726"/>
      <c r="AI18" s="726"/>
    </row>
    <row r="19" spans="1:37" s="742" customFormat="1" ht="15.75" thickBot="1">
      <c r="A19" s="875" t="s">
        <v>934</v>
      </c>
      <c r="B19" s="876" t="s">
        <v>935</v>
      </c>
      <c r="C19" s="1491">
        <f>IF(H19&lt;DATE(2014,8,28),0,ROUND(I19/F19,4))</f>
        <v>0</v>
      </c>
      <c r="D19" s="1494" t="s">
        <v>265</v>
      </c>
      <c r="E19" s="1533">
        <v>41640</v>
      </c>
      <c r="F19" s="1615">
        <f>ROUND(SUMIF(地价!B3:F3,E2,地价!B29:F29),0)</f>
        <v>258</v>
      </c>
      <c r="G19" s="1494" t="s">
        <v>266</v>
      </c>
      <c r="H19" s="1335">
        <f>'主表(商业）'!B4</f>
        <v>40813</v>
      </c>
      <c r="I19" s="1616">
        <f>ROUND(SUMPRODUCT((地价!A6:A29=YEAR(H19)&amp;"-"&amp;ROUNDUP(MONTH(H19)/3,0))*(地价!B3:F3=E2)*(地价!B6:F29)),0)</f>
        <v>0</v>
      </c>
      <c r="J19" s="1617"/>
      <c r="K19" s="781"/>
      <c r="L19" s="796" t="s">
        <v>267</v>
      </c>
      <c r="M19" s="797" t="s">
        <v>268</v>
      </c>
      <c r="N19" s="620" t="s">
        <v>1753</v>
      </c>
      <c r="O19" s="873" t="s">
        <v>951</v>
      </c>
      <c r="P19" s="377">
        <v>0.25</v>
      </c>
      <c r="Q19" s="377">
        <v>0.2</v>
      </c>
      <c r="R19" s="377">
        <v>0.15</v>
      </c>
      <c r="S19" s="950">
        <v>0.1</v>
      </c>
      <c r="T19" s="728"/>
      <c r="U19" s="728"/>
      <c r="V19" s="728"/>
      <c r="W19" s="728"/>
      <c r="X19" s="724"/>
      <c r="Y19" s="724"/>
      <c r="Z19" s="781"/>
      <c r="AA19" s="781"/>
      <c r="AB19" s="781"/>
      <c r="AC19" s="781"/>
      <c r="AD19" s="781"/>
      <c r="AE19" s="781"/>
      <c r="AF19" s="789"/>
      <c r="AG19" s="790"/>
      <c r="AH19" s="726"/>
      <c r="AI19" s="744"/>
      <c r="AJ19" s="744"/>
      <c r="AK19" s="744"/>
    </row>
    <row r="20" spans="1:37" s="742" customFormat="1" ht="24.75" thickBot="1">
      <c r="A20" s="877" t="s">
        <v>936</v>
      </c>
      <c r="B20" s="878" t="s">
        <v>937</v>
      </c>
      <c r="C20" s="1492">
        <f ca="1">ROUND(POWER(1+G20,J20-I20)*(POWER(1+G20,I20)-1)/(POWER(1+G20,J20)-1),4)</f>
        <v>0.95089999999999997</v>
      </c>
      <c r="D20" s="1495" t="s">
        <v>938</v>
      </c>
      <c r="E20" s="1496">
        <f ca="1">INDIRECT("'存贷款利率'!e"&amp;存贷款利率!$K$4)/100</f>
        <v>6.5599999999999992E-2</v>
      </c>
      <c r="F20" s="1493" t="s">
        <v>939</v>
      </c>
      <c r="G20" s="1497">
        <f ca="1">SUMIF(P18:S18,E2,P20:S20)</f>
        <v>8.2000000000000003E-2</v>
      </c>
      <c r="H20" s="1498" t="s">
        <v>1651</v>
      </c>
      <c r="I20" s="1040">
        <f>IF(H20="剩余土地使用年限",'主表(商业）'!B15,'主表(商业）'!B16)</f>
        <v>30.59</v>
      </c>
      <c r="J20" s="387">
        <f>IF(E2="住宅/居住",70,IF(E2="商业",40,50))</f>
        <v>40</v>
      </c>
      <c r="K20" s="781"/>
      <c r="L20" s="800" t="s">
        <v>281</v>
      </c>
      <c r="M20" s="670"/>
      <c r="N20" s="28">
        <f ca="1">'地价（废）'!G2</f>
        <v>2.4E-2</v>
      </c>
      <c r="O20" s="874" t="s">
        <v>939</v>
      </c>
      <c r="P20" s="622">
        <f ca="1">ROUND($E$20*(1+P19),3)</f>
        <v>8.2000000000000003E-2</v>
      </c>
      <c r="Q20" s="622">
        <f ca="1">ROUND($E$20*(1+Q19),3)</f>
        <v>7.9000000000000001E-2</v>
      </c>
      <c r="R20" s="622">
        <f ca="1">ROUND($E$20*(1+R19),3)</f>
        <v>7.4999999999999997E-2</v>
      </c>
      <c r="S20" s="951">
        <f ca="1">ROUND($E$20*(1+S19),3)</f>
        <v>7.1999999999999995E-2</v>
      </c>
      <c r="T20" s="728"/>
      <c r="U20" s="728"/>
      <c r="V20" s="728"/>
      <c r="W20" s="728"/>
      <c r="X20" s="724"/>
      <c r="Y20" s="724"/>
      <c r="Z20" s="781"/>
      <c r="AA20" s="781"/>
      <c r="AB20" s="781"/>
      <c r="AC20" s="781"/>
      <c r="AD20" s="781"/>
      <c r="AE20" s="781"/>
      <c r="AF20" s="781"/>
    </row>
    <row r="21" spans="1:37" s="742" customFormat="1" ht="14.25">
      <c r="A21" s="879" t="s">
        <v>940</v>
      </c>
      <c r="B21" s="880" t="s">
        <v>282</v>
      </c>
      <c r="C21" s="388">
        <f>IF(B21="容积率修正",IF(G3&lt;=10,D22,J22),C23)</f>
        <v>0.73770000000000002</v>
      </c>
      <c r="D21" s="881"/>
      <c r="E21" s="881" t="s">
        <v>1775</v>
      </c>
      <c r="F21" s="881"/>
      <c r="G21" s="881"/>
      <c r="H21" s="881"/>
      <c r="I21" s="881"/>
      <c r="J21" s="882"/>
      <c r="K21" s="781"/>
      <c r="L21" s="800" t="s">
        <v>283</v>
      </c>
      <c r="M21" s="627"/>
      <c r="N21" s="28">
        <f ca="1">'地价（废）'!H2</f>
        <v>2.0299999999999999E-2</v>
      </c>
      <c r="O21" s="952"/>
      <c r="P21" s="952"/>
      <c r="Q21" s="789"/>
      <c r="R21" s="789"/>
      <c r="S21" s="789"/>
      <c r="T21" s="728"/>
      <c r="U21" s="728"/>
      <c r="V21" s="728"/>
      <c r="W21" s="728"/>
      <c r="X21" s="724"/>
      <c r="Y21" s="724"/>
      <c r="Z21" s="781"/>
      <c r="AA21" s="781"/>
      <c r="AB21" s="781"/>
      <c r="AC21" s="781"/>
      <c r="AD21" s="781"/>
      <c r="AE21" s="781"/>
      <c r="AF21" s="781"/>
    </row>
    <row r="22" spans="1:37" s="742" customFormat="1" ht="14.25">
      <c r="A22" s="883">
        <v>1</v>
      </c>
      <c r="B22" s="884" t="s">
        <v>941</v>
      </c>
      <c r="C22" s="1487" t="s">
        <v>1494</v>
      </c>
      <c r="D22" s="1487">
        <f>IF(E22=G22,F22,IF(G3&lt;=10,ROUND(F22+(H22-F22)*(G3-E22)/(G22-E22),4),"——"))</f>
        <v>0.73770000000000002</v>
      </c>
      <c r="E22" s="1502">
        <f>ROUNDDOWN(G3,1)</f>
        <v>8.8000000000000007</v>
      </c>
      <c r="F22" s="1503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0.73850000000000005</v>
      </c>
      <c r="G22" s="1501">
        <f>ROUNDUP(G3,1)</f>
        <v>8.9</v>
      </c>
      <c r="H22" s="1487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0.73719999999999997</v>
      </c>
      <c r="I22" s="1500" t="s">
        <v>284</v>
      </c>
      <c r="J22" s="389" t="str">
        <f>IF(G3&gt;10,D114,"——")</f>
        <v>——</v>
      </c>
      <c r="K22" s="781"/>
      <c r="L22" s="800" t="s">
        <v>1315</v>
      </c>
      <c r="M22" s="627"/>
      <c r="N22" s="28">
        <f ca="1">'地价（废）'!I2</f>
        <v>2.0299999999999999E-2</v>
      </c>
      <c r="O22" s="952"/>
      <c r="P22" s="952"/>
      <c r="Q22" s="789"/>
      <c r="R22" s="789"/>
      <c r="S22" s="789"/>
      <c r="T22" s="728"/>
      <c r="U22" s="728"/>
      <c r="V22" s="728"/>
      <c r="W22" s="728"/>
      <c r="X22" s="724"/>
      <c r="Y22" s="724"/>
      <c r="Z22" s="781"/>
      <c r="AA22" s="781"/>
      <c r="AB22" s="781"/>
      <c r="AC22" s="781"/>
      <c r="AD22" s="781"/>
      <c r="AE22" s="781"/>
      <c r="AF22" s="781"/>
    </row>
    <row r="23" spans="1:37" ht="27">
      <c r="A23" s="883">
        <v>2</v>
      </c>
      <c r="B23" s="884" t="s">
        <v>942</v>
      </c>
      <c r="C23" s="381">
        <f>ROUND(IF(G3&gt;1,IF(I3&lt;7,SUMPRODUCT((B94:B99=I3)*(C93:N93=G2)*(C94:N99)),SUMIF(C93:N93,G2,C101:N101)),IF(I3&lt;7,SUMPRODUCT((B103:B108=I3)*(C93:N93=G2)*(C103:N108)),SUMIF(C93:N93,G2,C110:N110))),4)</f>
        <v>1.8629</v>
      </c>
      <c r="D23" s="866"/>
      <c r="E23" s="866"/>
      <c r="F23" s="886"/>
      <c r="G23" s="887"/>
      <c r="H23" s="888"/>
      <c r="I23" s="889"/>
      <c r="J23" s="890"/>
      <c r="L23" s="800" t="s">
        <v>1360</v>
      </c>
      <c r="M23" s="627"/>
      <c r="N23" s="28">
        <f ca="1">'地价（废）'!J2</f>
        <v>2.5899999999999999E-2</v>
      </c>
      <c r="O23" s="952"/>
      <c r="P23" s="952"/>
      <c r="Q23" s="789"/>
      <c r="R23" s="789"/>
      <c r="S23" s="789"/>
      <c r="T23" s="728"/>
      <c r="U23" s="728"/>
      <c r="V23" s="728"/>
      <c r="W23" s="728"/>
      <c r="X23" s="724"/>
      <c r="Y23" s="724"/>
      <c r="Z23" s="781"/>
      <c r="AA23" s="781"/>
      <c r="AB23" s="781"/>
      <c r="AC23" s="781"/>
      <c r="AD23" s="781"/>
      <c r="AE23" s="728"/>
      <c r="AF23" s="728"/>
      <c r="AK23" s="726"/>
    </row>
    <row r="24" spans="1:37" s="742" customFormat="1" ht="15.75" thickBot="1">
      <c r="A24" s="891" t="s">
        <v>943</v>
      </c>
      <c r="B24" s="892" t="s">
        <v>944</v>
      </c>
      <c r="C24" s="390">
        <f>SUMIF(A46:A88,E2,B46:B88)</f>
        <v>1</v>
      </c>
      <c r="D24" s="893"/>
      <c r="E24" s="894"/>
      <c r="F24" s="894"/>
      <c r="G24" s="894"/>
      <c r="H24" s="894"/>
      <c r="I24" s="894"/>
      <c r="J24" s="895"/>
      <c r="K24" s="781"/>
      <c r="L24" s="801" t="s">
        <v>2</v>
      </c>
      <c r="M24" s="628"/>
      <c r="N24" s="622">
        <f ca="1">'地价（废）'!K2</f>
        <v>1.52E-2</v>
      </c>
      <c r="O24" s="952"/>
      <c r="P24" s="952"/>
      <c r="Q24" s="789"/>
      <c r="R24" s="789"/>
      <c r="S24" s="789"/>
      <c r="T24" s="728"/>
      <c r="U24" s="728"/>
      <c r="V24" s="728"/>
      <c r="W24" s="728"/>
      <c r="X24" s="724"/>
      <c r="Y24" s="724"/>
      <c r="Z24" s="781"/>
      <c r="AA24" s="781"/>
      <c r="AB24" s="781"/>
      <c r="AC24" s="781"/>
      <c r="AD24" s="781"/>
      <c r="AE24" s="781"/>
      <c r="AF24" s="781"/>
    </row>
    <row r="25" spans="1:37" ht="13.5">
      <c r="A25" s="877" t="s">
        <v>945</v>
      </c>
      <c r="B25" s="896" t="s">
        <v>946</v>
      </c>
      <c r="C25" s="897"/>
      <c r="D25" s="844"/>
      <c r="E25" s="844"/>
      <c r="F25" s="898"/>
      <c r="G25" s="844"/>
      <c r="H25" s="844"/>
      <c r="I25" s="844"/>
      <c r="J25" s="845"/>
      <c r="L25" s="952"/>
      <c r="M25" s="952"/>
      <c r="N25" s="952"/>
      <c r="O25" s="952"/>
      <c r="P25" s="952"/>
      <c r="Q25" s="789"/>
      <c r="R25" s="789"/>
      <c r="S25" s="789"/>
      <c r="T25" s="728"/>
      <c r="U25" s="728"/>
      <c r="V25" s="728"/>
      <c r="W25" s="728"/>
      <c r="X25" s="724"/>
      <c r="Y25" s="724"/>
      <c r="Z25" s="781"/>
      <c r="AA25" s="781"/>
      <c r="AB25" s="781"/>
      <c r="AC25" s="781"/>
      <c r="AD25" s="781"/>
      <c r="AE25" s="728"/>
      <c r="AF25" s="728"/>
    </row>
    <row r="26" spans="1:37" ht="13.5">
      <c r="A26" s="899"/>
      <c r="B26" s="884" t="s">
        <v>967</v>
      </c>
      <c r="C26" s="27" t="e">
        <f ca="1">E29+SUM(E33:E39)</f>
        <v>#DIV/0!</v>
      </c>
      <c r="D26" s="900"/>
      <c r="E26" s="866"/>
      <c r="F26" s="901"/>
      <c r="G26" s="866"/>
      <c r="H26" s="866"/>
      <c r="I26" s="866"/>
      <c r="J26" s="902"/>
      <c r="L26" s="952"/>
      <c r="M26" s="952"/>
      <c r="N26" s="952"/>
      <c r="O26" s="952"/>
      <c r="P26" s="952"/>
      <c r="Q26" s="789"/>
      <c r="R26" s="789"/>
      <c r="S26" s="789"/>
      <c r="T26" s="728"/>
      <c r="U26" s="728"/>
      <c r="V26" s="728"/>
      <c r="W26" s="728"/>
      <c r="X26" s="724"/>
      <c r="Y26" s="724"/>
      <c r="Z26" s="781"/>
      <c r="AA26" s="781"/>
      <c r="AB26" s="781"/>
      <c r="AC26" s="781"/>
      <c r="AD26" s="781"/>
      <c r="AE26" s="728"/>
      <c r="AF26" s="728"/>
    </row>
    <row r="27" spans="1:37" ht="14.25" thickBot="1">
      <c r="A27" s="899"/>
      <c r="B27" s="903" t="s">
        <v>968</v>
      </c>
      <c r="C27" s="382" t="e">
        <f ca="1">E30+SUM(I33:I39)</f>
        <v>#DIV/0!</v>
      </c>
      <c r="D27" s="904"/>
      <c r="E27" s="905"/>
      <c r="F27" s="906"/>
      <c r="G27" s="905"/>
      <c r="H27" s="905"/>
      <c r="I27" s="905"/>
      <c r="J27" s="907"/>
      <c r="L27" s="952"/>
      <c r="M27" s="952"/>
      <c r="N27" s="952"/>
      <c r="O27" s="952"/>
      <c r="P27" s="952"/>
      <c r="Q27" s="789"/>
      <c r="R27" s="789"/>
      <c r="S27" s="789"/>
      <c r="T27" s="728"/>
      <c r="U27" s="728"/>
      <c r="V27" s="728"/>
      <c r="W27" s="728"/>
      <c r="X27" s="724"/>
      <c r="Y27" s="724"/>
      <c r="Z27" s="781"/>
      <c r="AA27" s="781"/>
      <c r="AB27" s="781"/>
      <c r="AC27" s="781"/>
      <c r="AD27" s="781"/>
      <c r="AE27" s="728"/>
      <c r="AF27" s="728"/>
    </row>
    <row r="28" spans="1:37" ht="13.5">
      <c r="A28" s="877"/>
      <c r="B28" s="908" t="s">
        <v>966</v>
      </c>
      <c r="C28" s="909" t="s">
        <v>950</v>
      </c>
      <c r="D28" s="909" t="s">
        <v>958</v>
      </c>
      <c r="E28" s="910" t="s">
        <v>959</v>
      </c>
      <c r="F28" s="911"/>
      <c r="G28" s="855"/>
      <c r="H28" s="855"/>
      <c r="I28" s="855"/>
      <c r="J28" s="856"/>
      <c r="L28" s="952"/>
      <c r="M28" s="952"/>
      <c r="N28" s="952"/>
      <c r="O28" s="952"/>
      <c r="P28" s="952"/>
      <c r="Q28" s="789"/>
      <c r="R28" s="789"/>
      <c r="S28" s="789"/>
      <c r="T28" s="728"/>
      <c r="U28" s="728"/>
      <c r="V28" s="728"/>
      <c r="W28" s="728"/>
      <c r="X28" s="724"/>
      <c r="Y28" s="724"/>
      <c r="Z28" s="781"/>
      <c r="AA28" s="781"/>
      <c r="AB28" s="781"/>
      <c r="AC28" s="781"/>
      <c r="AD28" s="781"/>
      <c r="AE28" s="728"/>
      <c r="AF28" s="728"/>
    </row>
    <row r="29" spans="1:37" ht="13.5">
      <c r="A29" s="912"/>
      <c r="B29" s="913" t="s">
        <v>962</v>
      </c>
      <c r="C29" s="27" t="e">
        <f ca="1">ROUND(C5*C18*C19*C20*C21*C24,0)</f>
        <v>#DIV/0!</v>
      </c>
      <c r="D29" s="621"/>
      <c r="E29" s="397" t="e">
        <f ca="1">ROUND(C29*D29,0)</f>
        <v>#DIV/0!</v>
      </c>
      <c r="F29" s="341" t="s">
        <v>1488</v>
      </c>
      <c r="G29" s="342"/>
      <c r="H29" s="342"/>
      <c r="I29" s="342"/>
      <c r="J29" s="914"/>
      <c r="L29" s="952"/>
      <c r="M29" s="952"/>
      <c r="N29" s="952"/>
      <c r="O29" s="952"/>
      <c r="P29" s="952"/>
      <c r="Q29" s="789"/>
      <c r="R29" s="789"/>
      <c r="S29" s="789"/>
      <c r="T29" s="728"/>
      <c r="U29" s="728"/>
      <c r="V29" s="728"/>
      <c r="W29" s="728"/>
      <c r="X29" s="724"/>
      <c r="Y29" s="724"/>
      <c r="Z29" s="781"/>
      <c r="AA29" s="781"/>
      <c r="AB29" s="781"/>
      <c r="AC29" s="781"/>
      <c r="AD29" s="781"/>
      <c r="AE29" s="724"/>
      <c r="AF29" s="724"/>
      <c r="AG29" s="725"/>
      <c r="AH29" s="725"/>
      <c r="AI29" s="725"/>
      <c r="AJ29" s="725"/>
    </row>
    <row r="30" spans="1:37" ht="24.75" thickBot="1">
      <c r="A30" s="915"/>
      <c r="B30" s="916" t="s">
        <v>963</v>
      </c>
      <c r="C30" s="29" t="e">
        <f ca="1">ROUND(IF(E2="工业",C29*M39,C29*M38),0)</f>
        <v>#DIV/0!</v>
      </c>
      <c r="D30" s="623"/>
      <c r="E30" s="397" t="e">
        <f ca="1">ROUND(C30*D30,0)</f>
        <v>#DIV/0!</v>
      </c>
      <c r="F30" s="917" t="s">
        <v>960</v>
      </c>
      <c r="G30" s="918"/>
      <c r="H30" s="918"/>
      <c r="I30" s="918"/>
      <c r="J30" s="919"/>
      <c r="L30" s="724"/>
      <c r="M30" s="724"/>
      <c r="N30" s="724"/>
      <c r="O30" s="724"/>
      <c r="P30" s="724"/>
      <c r="Q30" s="724"/>
      <c r="R30" s="724"/>
      <c r="S30" s="724"/>
      <c r="T30" s="724"/>
      <c r="U30" s="724"/>
      <c r="V30" s="724"/>
      <c r="W30" s="724"/>
      <c r="X30" s="724"/>
      <c r="Y30" s="724"/>
      <c r="Z30" s="724"/>
      <c r="AA30" s="724"/>
      <c r="AB30" s="724"/>
      <c r="AC30" s="724"/>
      <c r="AD30" s="724"/>
      <c r="AE30" s="724"/>
      <c r="AF30" s="724"/>
      <c r="AG30" s="725"/>
      <c r="AH30" s="725"/>
      <c r="AI30" s="725"/>
      <c r="AJ30" s="725"/>
    </row>
    <row r="31" spans="1:37">
      <c r="A31" s="920"/>
      <c r="B31" s="1738" t="s">
        <v>1769</v>
      </c>
      <c r="C31" s="921" t="s">
        <v>964</v>
      </c>
      <c r="D31" s="855"/>
      <c r="E31" s="921"/>
      <c r="F31" s="921"/>
      <c r="G31" s="853" t="s">
        <v>965</v>
      </c>
      <c r="H31" s="855"/>
      <c r="I31" s="922"/>
      <c r="J31" s="856"/>
      <c r="L31" s="724"/>
      <c r="M31" s="724"/>
      <c r="N31" s="724"/>
      <c r="O31" s="724"/>
      <c r="P31" s="724"/>
      <c r="Q31" s="724"/>
      <c r="R31" s="724"/>
      <c r="S31" s="724"/>
      <c r="T31" s="724"/>
      <c r="U31" s="724"/>
      <c r="V31" s="724"/>
      <c r="W31" s="724"/>
      <c r="X31" s="724"/>
      <c r="Y31" s="724"/>
      <c r="Z31" s="724"/>
      <c r="AA31" s="724"/>
      <c r="AB31" s="724"/>
      <c r="AC31" s="724"/>
      <c r="AD31" s="724"/>
      <c r="AE31" s="724"/>
      <c r="AF31" s="724"/>
      <c r="AG31" s="725"/>
      <c r="AH31" s="725"/>
      <c r="AI31" s="725"/>
      <c r="AJ31" s="725"/>
    </row>
    <row r="32" spans="1:37" ht="24">
      <c r="A32" s="912"/>
      <c r="B32" s="923"/>
      <c r="C32" s="924" t="s">
        <v>950</v>
      </c>
      <c r="D32" s="925" t="s">
        <v>958</v>
      </c>
      <c r="E32" s="925" t="s">
        <v>959</v>
      </c>
      <c r="F32" s="731" t="s">
        <v>953</v>
      </c>
      <c r="G32" s="885" t="s">
        <v>950</v>
      </c>
      <c r="H32" s="885" t="s">
        <v>958</v>
      </c>
      <c r="I32" s="885" t="s">
        <v>959</v>
      </c>
      <c r="J32" s="926"/>
      <c r="L32" s="724"/>
      <c r="M32" s="724"/>
      <c r="N32" s="724"/>
      <c r="O32" s="724"/>
      <c r="P32" s="724"/>
      <c r="Q32" s="724"/>
      <c r="R32" s="724"/>
      <c r="S32" s="724"/>
      <c r="T32" s="724"/>
      <c r="U32" s="724"/>
      <c r="V32" s="724"/>
      <c r="W32" s="724"/>
      <c r="X32" s="724"/>
      <c r="Y32" s="724"/>
      <c r="Z32" s="724"/>
      <c r="AA32" s="724"/>
      <c r="AB32" s="724"/>
      <c r="AC32" s="724"/>
      <c r="AD32" s="724"/>
      <c r="AE32" s="724"/>
      <c r="AF32" s="724"/>
      <c r="AG32" s="725"/>
      <c r="AH32" s="725"/>
      <c r="AI32" s="725"/>
      <c r="AJ32" s="725"/>
    </row>
    <row r="33" spans="1:37" ht="12.75">
      <c r="A33" s="1933" t="s">
        <v>1757</v>
      </c>
      <c r="B33" s="928" t="s">
        <v>285</v>
      </c>
      <c r="C33" s="27">
        <f ca="1">ROUND(D5*C19*C20*C24*F33,0)</f>
        <v>0</v>
      </c>
      <c r="D33" s="621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29"/>
      <c r="L33" s="724"/>
      <c r="M33" s="724"/>
      <c r="N33" s="724"/>
      <c r="O33" s="724"/>
      <c r="P33" s="724"/>
      <c r="Q33" s="724"/>
      <c r="R33" s="724"/>
      <c r="S33" s="724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28"/>
      <c r="AF33" s="728"/>
    </row>
    <row r="34" spans="1:37" ht="12.75">
      <c r="A34" s="1934"/>
      <c r="B34" s="325" t="s">
        <v>286</v>
      </c>
      <c r="C34" s="27">
        <f ca="1">ROUND(D5*C19*C20*C24*F34,0)</f>
        <v>0</v>
      </c>
      <c r="D34" s="621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29"/>
      <c r="L34" s="724"/>
      <c r="M34" s="724"/>
      <c r="N34" s="724"/>
      <c r="O34" s="724"/>
      <c r="P34" s="724"/>
      <c r="Q34" s="724"/>
      <c r="R34" s="724"/>
      <c r="S34" s="724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28"/>
      <c r="AF34" s="728"/>
    </row>
    <row r="35" spans="1:37" ht="12.75">
      <c r="A35" s="1934"/>
      <c r="B35" s="325" t="s">
        <v>287</v>
      </c>
      <c r="C35" s="27">
        <f ca="1">ROUND(D5*C19*C20*C24*F35,0)</f>
        <v>0</v>
      </c>
      <c r="D35" s="621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29"/>
      <c r="L35" s="724"/>
      <c r="M35" s="724"/>
      <c r="N35" s="724"/>
      <c r="O35" s="724"/>
      <c r="P35" s="724"/>
      <c r="Q35" s="724"/>
      <c r="R35" s="724"/>
      <c r="S35" s="724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28"/>
      <c r="AF35" s="728"/>
    </row>
    <row r="36" spans="1:37" ht="13.5" thickBot="1">
      <c r="A36" s="1935"/>
      <c r="B36" s="325" t="s">
        <v>288</v>
      </c>
      <c r="C36" s="27">
        <f ca="1">ROUND(D5*C19*C20*C24*F36,0)</f>
        <v>0</v>
      </c>
      <c r="D36" s="621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29"/>
      <c r="L36" s="930"/>
      <c r="M36" s="930"/>
      <c r="N36" s="724"/>
      <c r="O36" s="724"/>
      <c r="P36" s="724"/>
      <c r="Q36" s="724"/>
      <c r="R36" s="724"/>
      <c r="S36" s="724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28"/>
      <c r="AF36" s="728"/>
    </row>
    <row r="37" spans="1:37" ht="12.75">
      <c r="A37" s="927"/>
      <c r="B37" s="325" t="s">
        <v>289</v>
      </c>
      <c r="C37" s="26">
        <f ca="1">ROUND(D5*C19*C20*C24*F37,0)</f>
        <v>0</v>
      </c>
      <c r="D37" s="621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29"/>
      <c r="L37" s="931" t="s">
        <v>961</v>
      </c>
      <c r="M37" s="845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</row>
    <row r="38" spans="1:37" ht="12.75">
      <c r="A38" s="927"/>
      <c r="B38" s="325" t="s">
        <v>290</v>
      </c>
      <c r="C38" s="26">
        <f ca="1">ROUND(E5*C19*C41*C24*F38,0)</f>
        <v>0</v>
      </c>
      <c r="D38" s="621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29"/>
      <c r="L38" s="932" t="s">
        <v>952</v>
      </c>
      <c r="M38" s="933">
        <v>0.25</v>
      </c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28"/>
      <c r="AF38" s="728"/>
    </row>
    <row r="39" spans="1:37" ht="13.5" thickBot="1">
      <c r="A39" s="915"/>
      <c r="B39" s="934" t="s">
        <v>291</v>
      </c>
      <c r="C39" s="29">
        <f ca="1">ROUND(D5*C19*C41*C24*F39,0)</f>
        <v>0</v>
      </c>
      <c r="D39" s="623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35"/>
      <c r="L39" s="936" t="s">
        <v>949</v>
      </c>
      <c r="M39" s="937">
        <v>0.15</v>
      </c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s="812" customFormat="1">
      <c r="A40" s="724"/>
      <c r="B40" s="724"/>
      <c r="C40" s="724"/>
      <c r="D40" s="724"/>
      <c r="E40" s="724"/>
      <c r="F40" s="724"/>
      <c r="G40" s="724"/>
      <c r="H40" s="724"/>
      <c r="I40" s="724"/>
      <c r="J40" s="724"/>
      <c r="K40" s="72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  <c r="AG40" s="727"/>
      <c r="AH40" s="727"/>
      <c r="AI40" s="727"/>
      <c r="AJ40" s="727"/>
    </row>
    <row r="41" spans="1:37" s="812" customFormat="1" ht="12.75">
      <c r="A41" s="728"/>
      <c r="B41" s="1735" t="s">
        <v>1770</v>
      </c>
      <c r="C41" s="1736">
        <f ca="1">ROUND(POWER(1+E41,H41-G41)*(POWER(1+E41,G41)-1)/(POWER(1+E41,H41)-1),4)</f>
        <v>0</v>
      </c>
      <c r="D41" s="26" t="s">
        <v>1767</v>
      </c>
      <c r="E41" s="1734">
        <f ca="1">G20</f>
        <v>8.2000000000000003E-2</v>
      </c>
      <c r="F41" s="26" t="s">
        <v>1768</v>
      </c>
      <c r="G41" s="1737"/>
      <c r="H41" s="26">
        <v>50</v>
      </c>
      <c r="I41" s="724"/>
      <c r="J41" s="724"/>
      <c r="K41" s="724"/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  <c r="AG41" s="727"/>
      <c r="AH41" s="727"/>
      <c r="AI41" s="727"/>
      <c r="AJ41" s="727"/>
    </row>
    <row r="42" spans="1:37" s="812" customFormat="1">
      <c r="A42" s="728"/>
      <c r="B42" s="802"/>
      <c r="C42" s="724"/>
      <c r="D42" s="724"/>
      <c r="E42" s="724"/>
      <c r="F42" s="724"/>
      <c r="G42" s="724"/>
      <c r="H42" s="724"/>
      <c r="I42" s="724"/>
      <c r="J42" s="724"/>
      <c r="K42" s="724"/>
      <c r="L42" s="724"/>
      <c r="M42" s="724"/>
      <c r="N42" s="724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  <c r="AG42" s="727"/>
      <c r="AH42" s="727"/>
      <c r="AI42" s="727"/>
      <c r="AJ42" s="727"/>
    </row>
    <row r="43" spans="1:37" s="812" customFormat="1">
      <c r="A43" s="728"/>
      <c r="B43" s="802"/>
      <c r="C43" s="724"/>
      <c r="D43" s="724"/>
      <c r="E43" s="724"/>
      <c r="F43" s="724"/>
      <c r="G43" s="724"/>
      <c r="H43" s="724"/>
      <c r="I43" s="724"/>
      <c r="J43" s="724"/>
      <c r="K43" s="724"/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4"/>
      <c r="Z43" s="728"/>
      <c r="AA43" s="728"/>
      <c r="AB43" s="728"/>
      <c r="AC43" s="728"/>
      <c r="AD43" s="728"/>
      <c r="AE43" s="728"/>
      <c r="AF43" s="728"/>
      <c r="AG43" s="727"/>
      <c r="AH43" s="727"/>
      <c r="AI43" s="727"/>
      <c r="AJ43" s="727"/>
    </row>
    <row r="44" spans="1:37" s="812" customFormat="1">
      <c r="A44" s="728"/>
      <c r="B44" s="802"/>
      <c r="C44" s="724"/>
      <c r="D44" s="724"/>
      <c r="E44" s="724"/>
      <c r="F44" s="724"/>
      <c r="G44" s="724"/>
      <c r="H44" s="724"/>
      <c r="I44" s="724"/>
      <c r="J44" s="724"/>
      <c r="K44" s="724"/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4"/>
      <c r="X44" s="724"/>
      <c r="Y44" s="724"/>
      <c r="Z44" s="728"/>
      <c r="AA44" s="728"/>
      <c r="AB44" s="728"/>
      <c r="AC44" s="728"/>
      <c r="AD44" s="728"/>
      <c r="AE44" s="728"/>
      <c r="AF44" s="728"/>
      <c r="AG44" s="727"/>
      <c r="AH44" s="727"/>
      <c r="AI44" s="727"/>
      <c r="AJ44" s="727"/>
    </row>
    <row r="45" spans="1:37" s="812" customFormat="1" ht="14.25" thickBot="1">
      <c r="A45" s="240" t="s">
        <v>894</v>
      </c>
      <c r="B45" s="803"/>
      <c r="C45" s="804"/>
      <c r="D45" s="804"/>
      <c r="E45" s="804"/>
      <c r="F45" s="805"/>
      <c r="G45" s="804"/>
      <c r="H45" s="805"/>
      <c r="I45" s="804"/>
      <c r="J45" s="804"/>
      <c r="K45" s="804"/>
      <c r="L45" s="804"/>
      <c r="M45" s="804"/>
      <c r="O45" s="724"/>
      <c r="P45" s="724"/>
      <c r="Q45" s="724"/>
      <c r="R45" s="724"/>
      <c r="S45" s="724"/>
      <c r="T45" s="724"/>
      <c r="U45" s="724"/>
      <c r="V45" s="724"/>
      <c r="W45" s="724"/>
      <c r="X45" s="724"/>
      <c r="Y45" s="724"/>
      <c r="Z45" s="728"/>
      <c r="AA45" s="728"/>
      <c r="AB45" s="728"/>
      <c r="AC45" s="728"/>
      <c r="AD45" s="728"/>
      <c r="AE45" s="728"/>
      <c r="AF45" s="728"/>
      <c r="AG45" s="727"/>
      <c r="AH45" s="727"/>
      <c r="AI45" s="727"/>
      <c r="AJ45" s="727"/>
    </row>
    <row r="46" spans="1:37" s="812" customFormat="1" ht="13.5">
      <c r="A46" s="242" t="s">
        <v>283</v>
      </c>
      <c r="B46" s="243">
        <f>1+E48</f>
        <v>1</v>
      </c>
      <c r="C46" s="806"/>
      <c r="D46" s="807"/>
      <c r="E46" s="808"/>
      <c r="F46" s="493"/>
      <c r="G46" s="805"/>
      <c r="H46" s="804"/>
      <c r="I46" s="804"/>
      <c r="J46" s="804"/>
      <c r="K46" s="804"/>
      <c r="L46" s="804"/>
      <c r="N46" s="724"/>
      <c r="O46" s="724"/>
      <c r="P46" s="724"/>
      <c r="Q46" s="724"/>
      <c r="R46" s="724"/>
      <c r="S46" s="724"/>
      <c r="T46" s="724"/>
      <c r="U46" s="724"/>
      <c r="V46" s="724"/>
      <c r="W46" s="724"/>
      <c r="X46" s="724"/>
      <c r="Y46" s="728"/>
      <c r="Z46" s="728"/>
      <c r="AA46" s="728"/>
      <c r="AB46" s="728"/>
      <c r="AC46" s="728"/>
      <c r="AD46" s="728"/>
      <c r="AE46" s="728"/>
      <c r="AF46" s="727"/>
      <c r="AG46" s="727"/>
      <c r="AH46" s="727"/>
      <c r="AI46" s="727"/>
    </row>
    <row r="47" spans="1:37" s="812" customFormat="1" ht="24">
      <c r="A47" s="247" t="s">
        <v>895</v>
      </c>
      <c r="B47" s="248" t="s">
        <v>896</v>
      </c>
      <c r="C47" s="248" t="s">
        <v>897</v>
      </c>
      <c r="D47" s="248" t="s">
        <v>1468</v>
      </c>
      <c r="E47" s="809" t="s">
        <v>1469</v>
      </c>
      <c r="F47" s="938" t="s">
        <v>1144</v>
      </c>
      <c r="G47" s="248" t="s">
        <v>1490</v>
      </c>
      <c r="H47" s="939" t="s">
        <v>1163</v>
      </c>
      <c r="I47" s="248" t="s">
        <v>1489</v>
      </c>
      <c r="J47" s="810" t="s">
        <v>1470</v>
      </c>
      <c r="K47" s="810" t="s">
        <v>1471</v>
      </c>
      <c r="L47" s="810" t="s">
        <v>1472</v>
      </c>
      <c r="M47" s="810" t="s">
        <v>1473</v>
      </c>
      <c r="N47" s="810" t="s">
        <v>1474</v>
      </c>
      <c r="O47" s="724"/>
      <c r="P47" s="724"/>
      <c r="Q47" s="724"/>
      <c r="R47" s="724"/>
      <c r="S47" s="724"/>
      <c r="T47" s="724"/>
      <c r="U47" s="724"/>
      <c r="V47" s="724"/>
      <c r="W47" s="724"/>
      <c r="X47" s="724"/>
      <c r="Y47" s="724"/>
      <c r="Z47" s="724"/>
      <c r="AA47" s="728"/>
      <c r="AB47" s="728"/>
      <c r="AC47" s="728"/>
      <c r="AD47" s="728"/>
      <c r="AE47" s="728"/>
      <c r="AF47" s="728"/>
      <c r="AG47" s="728"/>
      <c r="AH47" s="727"/>
      <c r="AI47" s="727"/>
      <c r="AJ47" s="727"/>
      <c r="AK47" s="727"/>
    </row>
    <row r="48" spans="1:37" s="812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1"/>
      <c r="D48" s="490">
        <f t="shared" ref="D48:D56" si="4">SUMIF($J$47:$N$47,C48,J48:N48)</f>
        <v>0</v>
      </c>
      <c r="E48" s="253">
        <f>ROUND(SUM(D48:D56),4)</f>
        <v>0</v>
      </c>
      <c r="F48" s="953">
        <f>IF(E2="商业",SUMIF(L1:L12,G2,N1:N12),"——")</f>
        <v>0</v>
      </c>
      <c r="G48" s="491"/>
      <c r="H48" s="494">
        <f t="shared" ref="H48:H56" si="5">IFERROR($F$48*I48/2,"——")</f>
        <v>0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24"/>
      <c r="P48" s="724"/>
      <c r="Q48" s="724"/>
      <c r="R48" s="724"/>
      <c r="S48" s="724"/>
      <c r="T48" s="724"/>
      <c r="U48" s="724"/>
      <c r="V48" s="724"/>
      <c r="W48" s="724"/>
      <c r="X48" s="724"/>
      <c r="Y48" s="724"/>
      <c r="Z48" s="724"/>
      <c r="AA48" s="728"/>
      <c r="AB48" s="728"/>
      <c r="AC48" s="728"/>
      <c r="AD48" s="728"/>
      <c r="AE48" s="728"/>
      <c r="AF48" s="728"/>
      <c r="AG48" s="728"/>
      <c r="AH48" s="727"/>
      <c r="AI48" s="727"/>
      <c r="AJ48" s="727"/>
      <c r="AK48" s="727"/>
    </row>
    <row r="49" spans="1:37" s="812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1"/>
      <c r="D49" s="490">
        <f t="shared" si="4"/>
        <v>0</v>
      </c>
      <c r="E49" s="255"/>
      <c r="F49" s="953"/>
      <c r="G49" s="491"/>
      <c r="H49" s="494">
        <f t="shared" si="5"/>
        <v>0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24"/>
      <c r="P49" s="724"/>
      <c r="Q49" s="724"/>
      <c r="R49" s="724"/>
      <c r="S49" s="724"/>
      <c r="T49" s="724"/>
      <c r="U49" s="724"/>
      <c r="V49" s="724"/>
      <c r="W49" s="724"/>
      <c r="X49" s="724"/>
      <c r="Y49" s="724"/>
      <c r="Z49" s="724"/>
      <c r="AA49" s="728"/>
      <c r="AB49" s="728"/>
      <c r="AC49" s="728"/>
      <c r="AD49" s="728"/>
      <c r="AE49" s="728"/>
      <c r="AF49" s="728"/>
      <c r="AG49" s="728"/>
      <c r="AH49" s="727"/>
      <c r="AI49" s="727"/>
      <c r="AJ49" s="727"/>
      <c r="AK49" s="727"/>
    </row>
    <row r="50" spans="1:37" s="812" customFormat="1" ht="24">
      <c r="A50" s="247" t="s">
        <v>900</v>
      </c>
      <c r="B50" s="254" t="str">
        <f>估价对象房地状况!C7</f>
        <v>零星有其他用地，基本不影响本宗地</v>
      </c>
      <c r="C50" s="811"/>
      <c r="D50" s="490">
        <f t="shared" si="4"/>
        <v>0</v>
      </c>
      <c r="E50" s="255"/>
      <c r="F50" s="953"/>
      <c r="G50" s="491"/>
      <c r="H50" s="494">
        <f t="shared" si="5"/>
        <v>0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24"/>
      <c r="P50" s="724"/>
      <c r="Q50" s="724"/>
      <c r="R50" s="724"/>
      <c r="S50" s="724"/>
      <c r="T50" s="724"/>
      <c r="U50" s="724"/>
      <c r="V50" s="724"/>
      <c r="W50" s="724"/>
      <c r="X50" s="724"/>
      <c r="Y50" s="724"/>
      <c r="Z50" s="724"/>
      <c r="AA50" s="728"/>
      <c r="AB50" s="728"/>
      <c r="AC50" s="728"/>
      <c r="AD50" s="728"/>
      <c r="AE50" s="728"/>
      <c r="AF50" s="728"/>
      <c r="AG50" s="728"/>
      <c r="AH50" s="727"/>
      <c r="AI50" s="727"/>
      <c r="AJ50" s="727"/>
      <c r="AK50" s="727"/>
    </row>
    <row r="51" spans="1:37" s="812" customFormat="1" ht="36">
      <c r="A51" s="247" t="s">
        <v>901</v>
      </c>
      <c r="B51" s="1689" t="s">
        <v>1754</v>
      </c>
      <c r="C51" s="811"/>
      <c r="D51" s="490">
        <f t="shared" si="4"/>
        <v>0</v>
      </c>
      <c r="E51" s="255"/>
      <c r="F51" s="953"/>
      <c r="G51" s="491"/>
      <c r="H51" s="494">
        <f t="shared" si="5"/>
        <v>0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24"/>
      <c r="P51" s="724"/>
      <c r="Q51" s="724"/>
      <c r="R51" s="724"/>
      <c r="S51" s="724"/>
      <c r="T51" s="724"/>
      <c r="U51" s="724"/>
      <c r="V51" s="724"/>
      <c r="W51" s="724"/>
      <c r="X51" s="724"/>
      <c r="Y51" s="724"/>
      <c r="Z51" s="724"/>
      <c r="AA51" s="728"/>
      <c r="AB51" s="728"/>
      <c r="AC51" s="728"/>
      <c r="AD51" s="728"/>
      <c r="AE51" s="728"/>
      <c r="AF51" s="728"/>
      <c r="AG51" s="728"/>
      <c r="AH51" s="727"/>
      <c r="AI51" s="727"/>
      <c r="AJ51" s="727"/>
      <c r="AK51" s="727"/>
    </row>
    <row r="52" spans="1:37" s="812" customFormat="1" ht="24">
      <c r="A52" s="247" t="s">
        <v>902</v>
      </c>
      <c r="B52" s="254">
        <f>估价对象房地状况!C12</f>
        <v>0</v>
      </c>
      <c r="C52" s="811"/>
      <c r="D52" s="490">
        <f t="shared" si="4"/>
        <v>0</v>
      </c>
      <c r="E52" s="255"/>
      <c r="F52" s="953"/>
      <c r="G52" s="491"/>
      <c r="H52" s="494">
        <f t="shared" si="5"/>
        <v>0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24"/>
      <c r="P52" s="724"/>
      <c r="Q52" s="724"/>
      <c r="R52" s="724"/>
      <c r="S52" s="724"/>
      <c r="T52" s="724"/>
      <c r="U52" s="724"/>
      <c r="V52" s="724"/>
      <c r="W52" s="724"/>
      <c r="X52" s="724"/>
      <c r="Y52" s="724"/>
      <c r="Z52" s="724"/>
      <c r="AA52" s="728"/>
      <c r="AB52" s="728"/>
      <c r="AC52" s="728"/>
      <c r="AD52" s="728"/>
      <c r="AE52" s="728"/>
      <c r="AF52" s="728"/>
      <c r="AG52" s="728"/>
      <c r="AH52" s="727"/>
      <c r="AI52" s="727"/>
      <c r="AJ52" s="727"/>
      <c r="AK52" s="727"/>
    </row>
    <row r="53" spans="1:37" s="812" customFormat="1" ht="24">
      <c r="A53" s="247" t="s">
        <v>903</v>
      </c>
      <c r="B53" s="1690" t="s">
        <v>1755</v>
      </c>
      <c r="C53" s="811"/>
      <c r="D53" s="490">
        <f t="shared" si="4"/>
        <v>0</v>
      </c>
      <c r="E53" s="255"/>
      <c r="F53" s="953"/>
      <c r="G53" s="491"/>
      <c r="H53" s="494">
        <f t="shared" si="5"/>
        <v>0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24"/>
      <c r="P53" s="724"/>
      <c r="Q53" s="724"/>
      <c r="R53" s="724"/>
      <c r="S53" s="724"/>
      <c r="T53" s="724"/>
      <c r="U53" s="724"/>
      <c r="V53" s="724"/>
      <c r="W53" s="724"/>
      <c r="X53" s="724"/>
      <c r="Y53" s="724"/>
      <c r="Z53" s="724"/>
      <c r="AA53" s="728"/>
      <c r="AB53" s="728"/>
      <c r="AC53" s="728"/>
      <c r="AD53" s="728"/>
      <c r="AE53" s="728"/>
      <c r="AF53" s="728"/>
      <c r="AG53" s="728"/>
      <c r="AH53" s="727"/>
      <c r="AI53" s="727"/>
      <c r="AJ53" s="727"/>
      <c r="AK53" s="727"/>
    </row>
    <row r="54" spans="1:37" s="812" customFormat="1" ht="24">
      <c r="A54" s="256" t="s">
        <v>904</v>
      </c>
      <c r="B54" s="486" t="str">
        <f>估价对象房地状况!C9</f>
        <v>估价对象所在区域公共配套设施齐备情况</v>
      </c>
      <c r="C54" s="811"/>
      <c r="D54" s="490">
        <f t="shared" si="4"/>
        <v>0</v>
      </c>
      <c r="E54" s="255"/>
      <c r="F54" s="953"/>
      <c r="G54" s="491"/>
      <c r="H54" s="494">
        <f t="shared" si="5"/>
        <v>0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24"/>
      <c r="P54" s="724"/>
      <c r="Q54" s="724"/>
      <c r="R54" s="724"/>
      <c r="S54" s="724"/>
      <c r="T54" s="724"/>
      <c r="U54" s="724"/>
      <c r="V54" s="724"/>
      <c r="W54" s="724"/>
      <c r="X54" s="724"/>
      <c r="Y54" s="724"/>
      <c r="Z54" s="724"/>
      <c r="AA54" s="728"/>
      <c r="AB54" s="728"/>
      <c r="AC54" s="728"/>
      <c r="AD54" s="728"/>
      <c r="AE54" s="728"/>
      <c r="AF54" s="728"/>
      <c r="AG54" s="728"/>
      <c r="AH54" s="727"/>
      <c r="AI54" s="727"/>
      <c r="AJ54" s="727"/>
      <c r="AK54" s="727"/>
    </row>
    <row r="55" spans="1:37" s="812" customFormat="1" ht="24">
      <c r="A55" s="256" t="s">
        <v>905</v>
      </c>
      <c r="B55" s="254" t="str">
        <f>估价对象房地状况!C10</f>
        <v>估价对象所在区域基础设施水平</v>
      </c>
      <c r="C55" s="811"/>
      <c r="D55" s="490">
        <f t="shared" si="4"/>
        <v>0</v>
      </c>
      <c r="E55" s="255"/>
      <c r="F55" s="953"/>
      <c r="G55" s="491"/>
      <c r="H55" s="494">
        <f t="shared" si="5"/>
        <v>0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24"/>
      <c r="P55" s="724"/>
      <c r="Q55" s="724"/>
      <c r="R55" s="724"/>
      <c r="S55" s="724"/>
      <c r="T55" s="724"/>
      <c r="U55" s="724"/>
      <c r="V55" s="724"/>
      <c r="W55" s="724"/>
      <c r="X55" s="724"/>
      <c r="Y55" s="724"/>
      <c r="Z55" s="724"/>
      <c r="AA55" s="728"/>
      <c r="AB55" s="728"/>
      <c r="AC55" s="728"/>
      <c r="AD55" s="728"/>
      <c r="AE55" s="728"/>
      <c r="AF55" s="728"/>
      <c r="AG55" s="728"/>
      <c r="AH55" s="727"/>
      <c r="AI55" s="727"/>
      <c r="AJ55" s="727"/>
      <c r="AK55" s="727"/>
    </row>
    <row r="56" spans="1:37" s="812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1"/>
      <c r="D56" s="490">
        <f t="shared" si="4"/>
        <v>0</v>
      </c>
      <c r="E56" s="261"/>
      <c r="F56" s="953"/>
      <c r="G56" s="491"/>
      <c r="H56" s="494">
        <f t="shared" si="5"/>
        <v>0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24"/>
      <c r="P56" s="724"/>
      <c r="Q56" s="724"/>
      <c r="R56" s="724"/>
      <c r="S56" s="724"/>
      <c r="T56" s="724"/>
      <c r="U56" s="724"/>
      <c r="V56" s="724"/>
      <c r="W56" s="724"/>
      <c r="X56" s="724"/>
      <c r="Y56" s="724"/>
      <c r="Z56" s="724"/>
      <c r="AA56" s="728"/>
      <c r="AB56" s="728"/>
      <c r="AC56" s="728"/>
      <c r="AD56" s="728"/>
      <c r="AE56" s="728"/>
      <c r="AF56" s="728"/>
      <c r="AG56" s="728"/>
      <c r="AH56" s="727"/>
      <c r="AI56" s="727"/>
      <c r="AJ56" s="727"/>
      <c r="AK56" s="727"/>
    </row>
    <row r="57" spans="1:37" s="812" customFormat="1" ht="13.5">
      <c r="A57" s="242" t="s">
        <v>1315</v>
      </c>
      <c r="B57" s="487">
        <f>1+E59</f>
        <v>1</v>
      </c>
      <c r="C57" s="807"/>
      <c r="D57" s="807"/>
      <c r="E57" s="808"/>
      <c r="F57" s="493"/>
      <c r="G57" s="805"/>
      <c r="H57" s="805"/>
      <c r="I57" s="807"/>
      <c r="J57" s="804"/>
      <c r="K57" s="804"/>
      <c r="L57" s="804"/>
      <c r="M57" s="804"/>
      <c r="N57" s="804"/>
      <c r="O57" s="724"/>
      <c r="P57" s="724"/>
      <c r="Q57" s="724"/>
      <c r="R57" s="724"/>
      <c r="S57" s="724"/>
      <c r="T57" s="724"/>
      <c r="U57" s="724"/>
      <c r="V57" s="724"/>
      <c r="W57" s="724"/>
      <c r="X57" s="724"/>
      <c r="Y57" s="724"/>
      <c r="Z57" s="724"/>
      <c r="AA57" s="728"/>
      <c r="AB57" s="728"/>
      <c r="AC57" s="728"/>
      <c r="AD57" s="728"/>
      <c r="AE57" s="728"/>
      <c r="AF57" s="728"/>
      <c r="AG57" s="728"/>
      <c r="AH57" s="727"/>
      <c r="AI57" s="727"/>
      <c r="AJ57" s="727"/>
      <c r="AK57" s="727"/>
    </row>
    <row r="58" spans="1:37" s="812" customFormat="1" ht="24">
      <c r="A58" s="247" t="s">
        <v>895</v>
      </c>
      <c r="B58" s="254"/>
      <c r="C58" s="248" t="s">
        <v>897</v>
      </c>
      <c r="D58" s="248" t="s">
        <v>1468</v>
      </c>
      <c r="E58" s="809" t="s">
        <v>1475</v>
      </c>
      <c r="F58" s="938" t="s">
        <v>1144</v>
      </c>
      <c r="G58" s="248" t="s">
        <v>1491</v>
      </c>
      <c r="H58" s="939" t="s">
        <v>1164</v>
      </c>
      <c r="I58" s="248" t="s">
        <v>1489</v>
      </c>
      <c r="J58" s="810" t="s">
        <v>14</v>
      </c>
      <c r="K58" s="810" t="s">
        <v>13</v>
      </c>
      <c r="L58" s="810" t="s">
        <v>1476</v>
      </c>
      <c r="M58" s="810" t="s">
        <v>1477</v>
      </c>
      <c r="N58" s="810" t="s">
        <v>1478</v>
      </c>
      <c r="O58" s="724"/>
      <c r="P58" s="724"/>
      <c r="Q58" s="724"/>
      <c r="R58" s="724"/>
      <c r="S58" s="724"/>
      <c r="T58" s="724"/>
      <c r="U58" s="724"/>
      <c r="V58" s="724"/>
      <c r="W58" s="724"/>
      <c r="X58" s="724"/>
      <c r="Y58" s="724"/>
      <c r="Z58" s="724"/>
      <c r="AA58" s="728"/>
      <c r="AB58" s="728"/>
      <c r="AC58" s="728"/>
      <c r="AD58" s="728"/>
      <c r="AE58" s="728"/>
      <c r="AF58" s="728"/>
      <c r="AG58" s="728"/>
      <c r="AH58" s="727"/>
      <c r="AI58" s="727"/>
      <c r="AJ58" s="727"/>
      <c r="AK58" s="727"/>
    </row>
    <row r="59" spans="1:37" s="812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1"/>
      <c r="D59" s="490">
        <f t="shared" ref="D59:D67" si="9">SUMIF($J$58:$N$58,C59,J59:N59)</f>
        <v>0</v>
      </c>
      <c r="E59" s="253">
        <f>ROUND(SUM(D59:D67),4)</f>
        <v>0</v>
      </c>
      <c r="F59" s="953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24"/>
      <c r="P59" s="724"/>
      <c r="Q59" s="724"/>
      <c r="R59" s="724"/>
      <c r="S59" s="724"/>
      <c r="T59" s="724"/>
      <c r="U59" s="724"/>
      <c r="V59" s="724"/>
      <c r="W59" s="724"/>
      <c r="X59" s="724"/>
      <c r="Y59" s="724"/>
      <c r="Z59" s="724"/>
      <c r="AA59" s="728"/>
      <c r="AB59" s="728"/>
      <c r="AC59" s="728"/>
      <c r="AD59" s="728"/>
      <c r="AE59" s="728"/>
      <c r="AF59" s="728"/>
      <c r="AG59" s="728"/>
      <c r="AH59" s="727"/>
      <c r="AI59" s="727"/>
      <c r="AJ59" s="727"/>
      <c r="AK59" s="727"/>
    </row>
    <row r="60" spans="1:37" s="812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1"/>
      <c r="D60" s="490">
        <f t="shared" si="9"/>
        <v>0</v>
      </c>
      <c r="E60" s="255"/>
      <c r="F60" s="953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24"/>
      <c r="P60" s="724"/>
      <c r="Q60" s="724"/>
      <c r="R60" s="724"/>
      <c r="S60" s="724"/>
      <c r="T60" s="724"/>
      <c r="U60" s="724"/>
      <c r="V60" s="724"/>
      <c r="W60" s="724"/>
      <c r="X60" s="724"/>
      <c r="Y60" s="724"/>
      <c r="Z60" s="724"/>
      <c r="AA60" s="728"/>
      <c r="AB60" s="728"/>
      <c r="AC60" s="728"/>
      <c r="AD60" s="728"/>
      <c r="AE60" s="728"/>
      <c r="AF60" s="728"/>
      <c r="AG60" s="728"/>
      <c r="AH60" s="727"/>
      <c r="AI60" s="727"/>
      <c r="AJ60" s="727"/>
      <c r="AK60" s="727"/>
    </row>
    <row r="61" spans="1:37" s="812" customFormat="1" ht="24">
      <c r="A61" s="247" t="s">
        <v>900</v>
      </c>
      <c r="B61" s="254" t="str">
        <f>估价对象房地状况!C7</f>
        <v>零星有其他用地，基本不影响本宗地</v>
      </c>
      <c r="C61" s="811"/>
      <c r="D61" s="490">
        <f t="shared" si="9"/>
        <v>0</v>
      </c>
      <c r="E61" s="255"/>
      <c r="F61" s="953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24"/>
      <c r="P61" s="724"/>
      <c r="Q61" s="724"/>
      <c r="R61" s="724"/>
      <c r="S61" s="724"/>
      <c r="T61" s="724"/>
      <c r="U61" s="724"/>
      <c r="V61" s="724"/>
      <c r="W61" s="724"/>
      <c r="X61" s="724"/>
      <c r="Y61" s="724"/>
      <c r="Z61" s="724"/>
      <c r="AA61" s="728"/>
      <c r="AB61" s="728"/>
      <c r="AC61" s="728"/>
      <c r="AD61" s="728"/>
      <c r="AE61" s="728"/>
      <c r="AF61" s="728"/>
      <c r="AG61" s="728"/>
      <c r="AH61" s="727"/>
      <c r="AI61" s="727"/>
      <c r="AJ61" s="727"/>
      <c r="AK61" s="727"/>
    </row>
    <row r="62" spans="1:37" s="812" customFormat="1" ht="36">
      <c r="A62" s="247" t="s">
        <v>901</v>
      </c>
      <c r="B62" s="1689" t="s">
        <v>1754</v>
      </c>
      <c r="C62" s="811"/>
      <c r="D62" s="490">
        <f t="shared" si="9"/>
        <v>0</v>
      </c>
      <c r="E62" s="255"/>
      <c r="F62" s="953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24"/>
      <c r="P62" s="724"/>
      <c r="Q62" s="724"/>
      <c r="R62" s="724"/>
      <c r="S62" s="724"/>
      <c r="T62" s="724"/>
      <c r="U62" s="724"/>
      <c r="V62" s="724"/>
      <c r="W62" s="724"/>
      <c r="X62" s="724"/>
      <c r="Y62" s="724"/>
      <c r="Z62" s="724"/>
      <c r="AA62" s="728"/>
      <c r="AB62" s="728"/>
      <c r="AC62" s="728"/>
      <c r="AD62" s="728"/>
      <c r="AE62" s="728"/>
      <c r="AF62" s="728"/>
      <c r="AG62" s="728"/>
      <c r="AH62" s="727"/>
      <c r="AI62" s="727"/>
      <c r="AJ62" s="727"/>
      <c r="AK62" s="727"/>
    </row>
    <row r="63" spans="1:37" s="812" customFormat="1" ht="24">
      <c r="A63" s="247" t="s">
        <v>902</v>
      </c>
      <c r="B63" s="254">
        <f>估价对象房地状况!C12</f>
        <v>0</v>
      </c>
      <c r="C63" s="811"/>
      <c r="D63" s="490">
        <f t="shared" si="9"/>
        <v>0</v>
      </c>
      <c r="E63" s="255"/>
      <c r="F63" s="953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24"/>
      <c r="P63" s="724"/>
      <c r="Q63" s="724"/>
      <c r="R63" s="724"/>
      <c r="S63" s="724"/>
      <c r="T63" s="724"/>
      <c r="U63" s="724"/>
      <c r="V63" s="724"/>
      <c r="W63" s="724"/>
      <c r="X63" s="724"/>
      <c r="Y63" s="724"/>
      <c r="Z63" s="724"/>
      <c r="AA63" s="728"/>
      <c r="AB63" s="728"/>
      <c r="AC63" s="728"/>
      <c r="AD63" s="728"/>
      <c r="AE63" s="728"/>
      <c r="AF63" s="728"/>
      <c r="AG63" s="728"/>
      <c r="AH63" s="727"/>
      <c r="AI63" s="727"/>
      <c r="AJ63" s="727"/>
      <c r="AK63" s="727"/>
    </row>
    <row r="64" spans="1:37" s="812" customFormat="1" ht="24">
      <c r="A64" s="247" t="s">
        <v>903</v>
      </c>
      <c r="B64" s="1690" t="s">
        <v>1755</v>
      </c>
      <c r="C64" s="811"/>
      <c r="D64" s="490">
        <f t="shared" si="9"/>
        <v>0</v>
      </c>
      <c r="E64" s="255"/>
      <c r="F64" s="953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24"/>
      <c r="P64" s="724"/>
      <c r="Q64" s="724"/>
      <c r="R64" s="724"/>
      <c r="S64" s="724"/>
      <c r="T64" s="724"/>
      <c r="U64" s="724"/>
      <c r="V64" s="724"/>
      <c r="W64" s="724"/>
      <c r="X64" s="724"/>
      <c r="Y64" s="724"/>
      <c r="Z64" s="724"/>
      <c r="AA64" s="728"/>
      <c r="AB64" s="728"/>
      <c r="AC64" s="728"/>
      <c r="AD64" s="728"/>
      <c r="AE64" s="728"/>
      <c r="AF64" s="728"/>
      <c r="AG64" s="728"/>
      <c r="AH64" s="727"/>
      <c r="AI64" s="727"/>
      <c r="AJ64" s="727"/>
      <c r="AK64" s="727"/>
    </row>
    <row r="65" spans="1:37" s="812" customFormat="1" ht="24">
      <c r="A65" s="247" t="s">
        <v>904</v>
      </c>
      <c r="B65" s="486" t="str">
        <f>估价对象房地状况!C9</f>
        <v>估价对象所在区域公共配套设施齐备情况</v>
      </c>
      <c r="C65" s="811"/>
      <c r="D65" s="490">
        <f t="shared" si="9"/>
        <v>0</v>
      </c>
      <c r="E65" s="255"/>
      <c r="F65" s="953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24"/>
      <c r="P65" s="724"/>
      <c r="Q65" s="724"/>
      <c r="R65" s="724"/>
      <c r="S65" s="724"/>
      <c r="T65" s="724"/>
      <c r="U65" s="724"/>
      <c r="V65" s="724"/>
      <c r="W65" s="724"/>
      <c r="X65" s="724"/>
      <c r="Y65" s="724"/>
      <c r="Z65" s="724"/>
      <c r="AA65" s="728"/>
      <c r="AB65" s="728"/>
      <c r="AC65" s="728"/>
      <c r="AD65" s="728"/>
      <c r="AE65" s="728"/>
      <c r="AF65" s="728"/>
      <c r="AG65" s="728"/>
      <c r="AH65" s="727"/>
      <c r="AI65" s="727"/>
      <c r="AJ65" s="727"/>
      <c r="AK65" s="727"/>
    </row>
    <row r="66" spans="1:37" s="812" customFormat="1" ht="24">
      <c r="A66" s="247" t="s">
        <v>905</v>
      </c>
      <c r="B66" s="486" t="str">
        <f>估价对象房地状况!C10</f>
        <v>估价对象所在区域基础设施水平</v>
      </c>
      <c r="C66" s="811"/>
      <c r="D66" s="490">
        <f t="shared" si="9"/>
        <v>0</v>
      </c>
      <c r="E66" s="255"/>
      <c r="F66" s="953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24"/>
      <c r="P66" s="724"/>
      <c r="Q66" s="724"/>
      <c r="R66" s="724"/>
      <c r="S66" s="724"/>
      <c r="T66" s="724"/>
      <c r="U66" s="724"/>
      <c r="V66" s="724"/>
      <c r="W66" s="724"/>
      <c r="X66" s="724"/>
      <c r="Y66" s="724"/>
      <c r="Z66" s="724"/>
      <c r="AA66" s="728"/>
      <c r="AB66" s="728"/>
      <c r="AC66" s="728"/>
      <c r="AD66" s="728"/>
      <c r="AE66" s="728"/>
      <c r="AF66" s="728"/>
      <c r="AG66" s="728"/>
      <c r="AH66" s="727"/>
      <c r="AI66" s="727"/>
      <c r="AJ66" s="727"/>
      <c r="AK66" s="727"/>
    </row>
    <row r="67" spans="1:37" s="812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1"/>
      <c r="D67" s="490">
        <f t="shared" si="9"/>
        <v>0</v>
      </c>
      <c r="E67" s="261"/>
      <c r="F67" s="953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24"/>
      <c r="P67" s="724"/>
      <c r="Q67" s="724"/>
      <c r="R67" s="724"/>
      <c r="S67" s="724"/>
      <c r="T67" s="724"/>
      <c r="U67" s="724"/>
      <c r="V67" s="724"/>
      <c r="W67" s="724"/>
      <c r="X67" s="724"/>
      <c r="Y67" s="724"/>
      <c r="Z67" s="724"/>
      <c r="AA67" s="728"/>
      <c r="AB67" s="728"/>
      <c r="AC67" s="728"/>
      <c r="AD67" s="728"/>
      <c r="AE67" s="728"/>
      <c r="AF67" s="728"/>
      <c r="AG67" s="728"/>
      <c r="AH67" s="727"/>
      <c r="AI67" s="727"/>
      <c r="AJ67" s="727"/>
      <c r="AK67" s="727"/>
    </row>
    <row r="68" spans="1:37" s="812" customFormat="1" ht="13.5">
      <c r="A68" s="242" t="s">
        <v>1316</v>
      </c>
      <c r="B68" s="487">
        <f>1+E70</f>
        <v>1</v>
      </c>
      <c r="C68" s="807"/>
      <c r="D68" s="807"/>
      <c r="E68" s="808"/>
      <c r="F68" s="493"/>
      <c r="G68" s="805"/>
      <c r="H68" s="805"/>
      <c r="I68" s="807"/>
      <c r="J68" s="804"/>
      <c r="K68" s="804"/>
      <c r="L68" s="804"/>
      <c r="M68" s="804"/>
      <c r="N68" s="804"/>
      <c r="O68" s="724"/>
      <c r="P68" s="724"/>
      <c r="Q68" s="724"/>
      <c r="R68" s="724"/>
      <c r="S68" s="724"/>
      <c r="T68" s="724"/>
      <c r="U68" s="724"/>
      <c r="V68" s="724"/>
      <c r="W68" s="724"/>
      <c r="X68" s="724"/>
      <c r="Y68" s="724"/>
      <c r="Z68" s="724"/>
      <c r="AA68" s="728"/>
      <c r="AB68" s="728"/>
      <c r="AC68" s="728"/>
      <c r="AD68" s="728"/>
      <c r="AE68" s="728"/>
      <c r="AF68" s="728"/>
      <c r="AG68" s="728"/>
      <c r="AH68" s="727"/>
      <c r="AI68" s="727"/>
      <c r="AJ68" s="727"/>
      <c r="AK68" s="727"/>
    </row>
    <row r="69" spans="1:37" s="812" customFormat="1" ht="24">
      <c r="A69" s="247" t="s">
        <v>895</v>
      </c>
      <c r="B69" s="254"/>
      <c r="C69" s="248" t="s">
        <v>897</v>
      </c>
      <c r="D69" s="248" t="s">
        <v>1468</v>
      </c>
      <c r="E69" s="809" t="s">
        <v>1475</v>
      </c>
      <c r="F69" s="938" t="s">
        <v>1144</v>
      </c>
      <c r="G69" s="248" t="s">
        <v>1491</v>
      </c>
      <c r="H69" s="939" t="s">
        <v>1164</v>
      </c>
      <c r="I69" s="248" t="s">
        <v>1489</v>
      </c>
      <c r="J69" s="810" t="s">
        <v>14</v>
      </c>
      <c r="K69" s="810" t="s">
        <v>13</v>
      </c>
      <c r="L69" s="810" t="s">
        <v>1476</v>
      </c>
      <c r="M69" s="810" t="s">
        <v>1477</v>
      </c>
      <c r="N69" s="810" t="s">
        <v>1478</v>
      </c>
      <c r="O69" s="724"/>
      <c r="P69" s="724"/>
      <c r="Q69" s="724"/>
      <c r="R69" s="724"/>
      <c r="S69" s="724"/>
      <c r="T69" s="724"/>
      <c r="U69" s="724"/>
      <c r="V69" s="724"/>
      <c r="W69" s="724"/>
      <c r="X69" s="724"/>
      <c r="Y69" s="724"/>
      <c r="Z69" s="724"/>
      <c r="AA69" s="728"/>
      <c r="AB69" s="728"/>
      <c r="AC69" s="728"/>
      <c r="AD69" s="728"/>
      <c r="AE69" s="728"/>
      <c r="AF69" s="728"/>
      <c r="AG69" s="728"/>
      <c r="AH69" s="727"/>
      <c r="AI69" s="727"/>
      <c r="AJ69" s="727"/>
      <c r="AK69" s="727"/>
    </row>
    <row r="70" spans="1:37" s="812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1"/>
      <c r="D70" s="490">
        <f t="shared" ref="D70:D78" si="14">SUMIF($J$69:$N$69,C70,J70:N70)</f>
        <v>0</v>
      </c>
      <c r="E70" s="253">
        <f>ROUND(SUM(D70:D78),4)</f>
        <v>0</v>
      </c>
      <c r="F70" s="953" t="str">
        <f>IF(E2="住宅/居住",SUMIF(L1:L12,G2,N1:N12),"——")</f>
        <v>——</v>
      </c>
      <c r="G70" s="491"/>
      <c r="H70" s="494" t="str">
        <f t="shared" ref="H70:H78" si="15">IFERROR($F$70*I70/2,"——")</f>
        <v>——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24"/>
      <c r="P70" s="724"/>
      <c r="Q70" s="724"/>
      <c r="R70" s="724"/>
      <c r="S70" s="724"/>
      <c r="T70" s="724"/>
      <c r="U70" s="724"/>
      <c r="V70" s="724"/>
      <c r="W70" s="724"/>
      <c r="X70" s="724"/>
      <c r="Y70" s="724"/>
      <c r="Z70" s="724"/>
      <c r="AA70" s="728"/>
      <c r="AB70" s="728"/>
      <c r="AC70" s="728"/>
      <c r="AD70" s="728"/>
      <c r="AE70" s="728"/>
      <c r="AF70" s="728"/>
      <c r="AG70" s="728"/>
      <c r="AH70" s="727"/>
      <c r="AI70" s="727"/>
      <c r="AJ70" s="727"/>
      <c r="AK70" s="727"/>
    </row>
    <row r="71" spans="1:37" s="812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1"/>
      <c r="D71" s="490">
        <f t="shared" si="14"/>
        <v>0</v>
      </c>
      <c r="E71" s="263"/>
      <c r="F71" s="954"/>
      <c r="G71" s="491"/>
      <c r="H71" s="494" t="str">
        <f t="shared" si="15"/>
        <v>——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24"/>
      <c r="P71" s="724"/>
      <c r="Q71" s="724"/>
      <c r="R71" s="724"/>
      <c r="S71" s="724"/>
      <c r="T71" s="724"/>
      <c r="U71" s="724"/>
      <c r="V71" s="724"/>
      <c r="W71" s="724"/>
      <c r="X71" s="724"/>
      <c r="Y71" s="724"/>
      <c r="Z71" s="724"/>
      <c r="AA71" s="728"/>
      <c r="AB71" s="728"/>
      <c r="AC71" s="728"/>
      <c r="AD71" s="728"/>
      <c r="AE71" s="728"/>
      <c r="AF71" s="728"/>
      <c r="AG71" s="728"/>
      <c r="AH71" s="727"/>
      <c r="AI71" s="727"/>
      <c r="AJ71" s="727"/>
      <c r="AK71" s="727"/>
    </row>
    <row r="72" spans="1:37" s="812" customFormat="1" ht="24">
      <c r="A72" s="247" t="s">
        <v>900</v>
      </c>
      <c r="B72" s="254" t="str">
        <f>估价对象房地状况!C7</f>
        <v>零星有其他用地，基本不影响本宗地</v>
      </c>
      <c r="C72" s="811"/>
      <c r="D72" s="490">
        <f t="shared" si="14"/>
        <v>0</v>
      </c>
      <c r="E72" s="263"/>
      <c r="F72" s="954"/>
      <c r="G72" s="491"/>
      <c r="H72" s="494" t="str">
        <f t="shared" si="15"/>
        <v>——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24"/>
      <c r="P72" s="724"/>
      <c r="Q72" s="724"/>
      <c r="R72" s="724"/>
      <c r="S72" s="724"/>
      <c r="T72" s="724"/>
      <c r="U72" s="724"/>
      <c r="V72" s="724"/>
      <c r="W72" s="724"/>
      <c r="X72" s="724"/>
      <c r="Y72" s="724"/>
      <c r="Z72" s="724"/>
      <c r="AA72" s="728"/>
      <c r="AB72" s="728"/>
      <c r="AC72" s="728"/>
      <c r="AD72" s="728"/>
      <c r="AE72" s="728"/>
      <c r="AF72" s="728"/>
      <c r="AG72" s="728"/>
      <c r="AH72" s="727"/>
      <c r="AI72" s="727"/>
      <c r="AJ72" s="727"/>
      <c r="AK72" s="727"/>
    </row>
    <row r="73" spans="1:37" s="812" customFormat="1" ht="14.25">
      <c r="A73" s="247" t="s">
        <v>909</v>
      </c>
      <c r="B73" s="254">
        <f>估价对象房地状况!C12</f>
        <v>0</v>
      </c>
      <c r="C73" s="811"/>
      <c r="D73" s="490">
        <f t="shared" si="14"/>
        <v>0</v>
      </c>
      <c r="E73" s="263"/>
      <c r="F73" s="954"/>
      <c r="G73" s="491"/>
      <c r="H73" s="494" t="str">
        <f t="shared" si="15"/>
        <v>——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24"/>
      <c r="P73" s="724"/>
      <c r="Q73" s="724"/>
      <c r="R73" s="724"/>
      <c r="S73" s="724"/>
      <c r="T73" s="724"/>
      <c r="U73" s="724"/>
      <c r="V73" s="724"/>
      <c r="W73" s="724"/>
      <c r="X73" s="724"/>
      <c r="Y73" s="724"/>
      <c r="Z73" s="724"/>
      <c r="AA73" s="728"/>
      <c r="AB73" s="728"/>
      <c r="AC73" s="728"/>
      <c r="AD73" s="728"/>
      <c r="AE73" s="728"/>
      <c r="AF73" s="728"/>
      <c r="AG73" s="728"/>
      <c r="AH73" s="727"/>
      <c r="AI73" s="727"/>
      <c r="AJ73" s="727"/>
      <c r="AK73" s="727"/>
    </row>
    <row r="74" spans="1:37" s="812" customFormat="1" ht="24">
      <c r="A74" s="247" t="s">
        <v>904</v>
      </c>
      <c r="B74" s="486" t="str">
        <f>估价对象房地状况!C9</f>
        <v>估价对象所在区域公共配套设施齐备情况</v>
      </c>
      <c r="C74" s="811"/>
      <c r="D74" s="490">
        <f t="shared" si="14"/>
        <v>0</v>
      </c>
      <c r="E74" s="263"/>
      <c r="F74" s="954"/>
      <c r="G74" s="491"/>
      <c r="H74" s="494" t="str">
        <f t="shared" si="15"/>
        <v>——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24"/>
      <c r="P74" s="724"/>
      <c r="Q74" s="724"/>
      <c r="R74" s="724"/>
      <c r="S74" s="724"/>
      <c r="T74" s="724"/>
      <c r="U74" s="724"/>
      <c r="V74" s="724"/>
      <c r="W74" s="724"/>
      <c r="X74" s="724"/>
      <c r="Y74" s="724"/>
      <c r="Z74" s="724"/>
      <c r="AA74" s="728"/>
      <c r="AB74" s="728"/>
      <c r="AC74" s="728"/>
      <c r="AD74" s="728"/>
      <c r="AE74" s="728"/>
      <c r="AF74" s="728"/>
      <c r="AG74" s="728"/>
      <c r="AH74" s="727"/>
      <c r="AI74" s="727"/>
      <c r="AJ74" s="727"/>
      <c r="AK74" s="727"/>
    </row>
    <row r="75" spans="1:37" s="812" customFormat="1" ht="24">
      <c r="A75" s="247" t="s">
        <v>905</v>
      </c>
      <c r="B75" s="486" t="str">
        <f>估价对象房地状况!C10</f>
        <v>估价对象所在区域基础设施水平</v>
      </c>
      <c r="C75" s="811"/>
      <c r="D75" s="490">
        <f t="shared" si="14"/>
        <v>0</v>
      </c>
      <c r="E75" s="263"/>
      <c r="F75" s="954"/>
      <c r="G75" s="491"/>
      <c r="H75" s="494" t="str">
        <f t="shared" si="15"/>
        <v>——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24"/>
      <c r="P75" s="724"/>
      <c r="Q75" s="724"/>
      <c r="R75" s="724"/>
      <c r="S75" s="724"/>
      <c r="T75" s="724"/>
      <c r="U75" s="724"/>
      <c r="V75" s="724"/>
      <c r="W75" s="724"/>
      <c r="X75" s="724"/>
      <c r="Y75" s="724"/>
      <c r="Z75" s="724"/>
      <c r="AA75" s="728"/>
      <c r="AB75" s="728"/>
      <c r="AC75" s="728"/>
      <c r="AD75" s="728"/>
      <c r="AE75" s="728"/>
      <c r="AF75" s="728"/>
      <c r="AG75" s="728"/>
      <c r="AH75" s="727"/>
      <c r="AI75" s="727"/>
      <c r="AJ75" s="727"/>
      <c r="AK75" s="727"/>
    </row>
    <row r="76" spans="1:37" ht="24">
      <c r="A76" s="247" t="s">
        <v>903</v>
      </c>
      <c r="B76" s="1690" t="s">
        <v>1755</v>
      </c>
      <c r="C76" s="811"/>
      <c r="D76" s="490">
        <f t="shared" si="14"/>
        <v>0</v>
      </c>
      <c r="E76" s="263"/>
      <c r="F76" s="954"/>
      <c r="G76" s="491"/>
      <c r="H76" s="494" t="str">
        <f t="shared" si="15"/>
        <v>——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25"/>
      <c r="AA76" s="726"/>
      <c r="AG76" s="727"/>
      <c r="AK76" s="726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1"/>
      <c r="D77" s="490">
        <f t="shared" si="14"/>
        <v>0</v>
      </c>
      <c r="E77" s="263"/>
      <c r="F77" s="954"/>
      <c r="G77" s="491"/>
      <c r="H77" s="494" t="str">
        <f t="shared" si="15"/>
        <v>——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25"/>
      <c r="AA77" s="726"/>
      <c r="AG77" s="727"/>
      <c r="AK77" s="726"/>
    </row>
    <row r="78" spans="1:37" ht="24.75" thickBot="1">
      <c r="A78" s="258" t="s">
        <v>910</v>
      </c>
      <c r="B78" s="489"/>
      <c r="C78" s="811"/>
      <c r="D78" s="490">
        <f t="shared" si="14"/>
        <v>0</v>
      </c>
      <c r="E78" s="264"/>
      <c r="F78" s="954"/>
      <c r="G78" s="491"/>
      <c r="H78" s="494" t="str">
        <f t="shared" si="15"/>
        <v>——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25"/>
      <c r="AA78" s="726"/>
      <c r="AG78" s="727"/>
      <c r="AK78" s="726"/>
    </row>
    <row r="79" spans="1:37" ht="13.5">
      <c r="A79" s="242" t="s">
        <v>320</v>
      </c>
      <c r="B79" s="487">
        <f>1+E81</f>
        <v>1</v>
      </c>
      <c r="C79" s="807"/>
      <c r="D79" s="807"/>
      <c r="E79" s="808"/>
      <c r="F79" s="493"/>
      <c r="G79" s="805"/>
      <c r="H79" s="805"/>
      <c r="I79" s="807"/>
      <c r="J79" s="804"/>
      <c r="K79" s="804"/>
      <c r="L79" s="804"/>
      <c r="M79" s="804"/>
      <c r="N79" s="804"/>
      <c r="Z79" s="725"/>
      <c r="AA79" s="726"/>
      <c r="AG79" s="727"/>
      <c r="AK79" s="726"/>
    </row>
    <row r="80" spans="1:37" ht="24">
      <c r="A80" s="247" t="s">
        <v>895</v>
      </c>
      <c r="B80" s="254"/>
      <c r="C80" s="248" t="s">
        <v>897</v>
      </c>
      <c r="D80" s="248" t="s">
        <v>1468</v>
      </c>
      <c r="E80" s="809" t="s">
        <v>1475</v>
      </c>
      <c r="F80" s="938" t="s">
        <v>1144</v>
      </c>
      <c r="G80" s="248" t="s">
        <v>1491</v>
      </c>
      <c r="H80" s="939" t="s">
        <v>1164</v>
      </c>
      <c r="I80" s="248" t="s">
        <v>1489</v>
      </c>
      <c r="J80" s="810" t="s">
        <v>14</v>
      </c>
      <c r="K80" s="810" t="s">
        <v>13</v>
      </c>
      <c r="L80" s="810" t="s">
        <v>1476</v>
      </c>
      <c r="M80" s="810" t="s">
        <v>1477</v>
      </c>
      <c r="N80" s="810" t="s">
        <v>1478</v>
      </c>
      <c r="Z80" s="725"/>
      <c r="AA80" s="726"/>
      <c r="AG80" s="727"/>
      <c r="AK80" s="726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1"/>
      <c r="D81" s="490">
        <f t="shared" ref="D81:D88" si="19">SUMIF($J$80:$N$80,C81,J81:N81)</f>
        <v>0</v>
      </c>
      <c r="E81" s="253">
        <f>ROUND(SUM(D81:D88),4)</f>
        <v>0</v>
      </c>
      <c r="F81" s="953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25"/>
      <c r="AA81" s="726"/>
      <c r="AG81" s="727"/>
      <c r="AK81" s="726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1"/>
      <c r="D82" s="490">
        <f t="shared" si="19"/>
        <v>0</v>
      </c>
      <c r="E82" s="263"/>
      <c r="F82" s="954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25"/>
      <c r="AA82" s="726"/>
      <c r="AG82" s="727"/>
      <c r="AK82" s="726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1"/>
      <c r="D83" s="490">
        <f t="shared" si="19"/>
        <v>0</v>
      </c>
      <c r="E83" s="263"/>
      <c r="F83" s="954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25"/>
      <c r="AA83" s="726"/>
      <c r="AG83" s="727"/>
      <c r="AK83" s="726"/>
    </row>
    <row r="84" spans="1:37" ht="14.25">
      <c r="A84" s="247" t="s">
        <v>909</v>
      </c>
      <c r="B84" s="254">
        <f>估价对象房地状况!G10</f>
        <v>0</v>
      </c>
      <c r="C84" s="811"/>
      <c r="D84" s="490">
        <f t="shared" si="19"/>
        <v>0</v>
      </c>
      <c r="E84" s="263"/>
      <c r="F84" s="954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25"/>
      <c r="AA84" s="726"/>
      <c r="AG84" s="727"/>
      <c r="AK84" s="726"/>
    </row>
    <row r="85" spans="1:37" ht="24">
      <c r="A85" s="247" t="s">
        <v>904</v>
      </c>
      <c r="B85" s="486" t="str">
        <f>估价对象房地状况!G7</f>
        <v>估价对象所在区域公共配套设施齐备情况</v>
      </c>
      <c r="C85" s="811"/>
      <c r="D85" s="490">
        <f t="shared" si="19"/>
        <v>0</v>
      </c>
      <c r="E85" s="263"/>
      <c r="F85" s="954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25"/>
      <c r="AA85" s="726"/>
      <c r="AG85" s="727"/>
      <c r="AK85" s="726"/>
    </row>
    <row r="86" spans="1:37" ht="24">
      <c r="A86" s="247" t="s">
        <v>905</v>
      </c>
      <c r="B86" s="486" t="str">
        <f>估价对象房地状况!G8</f>
        <v>估价对象所在区域基础设施水平</v>
      </c>
      <c r="C86" s="811"/>
      <c r="D86" s="490">
        <f t="shared" si="19"/>
        <v>0</v>
      </c>
      <c r="E86" s="263"/>
      <c r="F86" s="954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25"/>
      <c r="AA86" s="726"/>
      <c r="AG86" s="727"/>
      <c r="AK86" s="726"/>
    </row>
    <row r="87" spans="1:37" ht="24">
      <c r="A87" s="247" t="s">
        <v>903</v>
      </c>
      <c r="B87" s="1690" t="s">
        <v>1755</v>
      </c>
      <c r="C87" s="811"/>
      <c r="D87" s="490">
        <f t="shared" si="19"/>
        <v>0</v>
      </c>
      <c r="E87" s="263"/>
      <c r="F87" s="954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25"/>
      <c r="AA87" s="726"/>
      <c r="AG87" s="727"/>
      <c r="AK87" s="726"/>
    </row>
    <row r="88" spans="1:37" ht="36.75" thickBot="1">
      <c r="A88" s="258" t="s">
        <v>912</v>
      </c>
      <c r="B88" s="488" t="str">
        <f>估价对象房地状况!G6</f>
        <v>该园区内无污染型企业，绿化较好，卫生条件良好，整体环境状况较好</v>
      </c>
      <c r="C88" s="811"/>
      <c r="D88" s="490">
        <f t="shared" si="19"/>
        <v>0</v>
      </c>
      <c r="E88" s="264"/>
      <c r="F88" s="954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25"/>
      <c r="AA88" s="726"/>
      <c r="AG88" s="727"/>
      <c r="AK88" s="726"/>
    </row>
    <row r="91" spans="1:37">
      <c r="A91" s="1932" t="s">
        <v>1165</v>
      </c>
      <c r="B91" s="1932"/>
      <c r="C91" s="1932"/>
      <c r="D91" s="1932"/>
      <c r="E91" s="1932"/>
      <c r="F91" s="1932"/>
      <c r="G91" s="1932"/>
      <c r="H91" s="1932"/>
      <c r="I91" s="1932"/>
      <c r="J91" s="1932"/>
      <c r="K91" s="669"/>
      <c r="L91" s="669"/>
      <c r="M91" s="669"/>
      <c r="N91" s="669"/>
    </row>
    <row r="92" spans="1:37">
      <c r="A92" s="1921" t="s">
        <v>1166</v>
      </c>
      <c r="B92" s="1921" t="s">
        <v>1167</v>
      </c>
      <c r="C92" s="341" t="s">
        <v>1168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921"/>
      <c r="B93" s="1921"/>
      <c r="C93" s="667" t="s">
        <v>1169</v>
      </c>
      <c r="D93" s="667" t="s">
        <v>1170</v>
      </c>
      <c r="E93" s="667" t="s">
        <v>1171</v>
      </c>
      <c r="F93" s="667" t="s">
        <v>1172</v>
      </c>
      <c r="G93" s="667" t="s">
        <v>1173</v>
      </c>
      <c r="H93" s="667" t="s">
        <v>1174</v>
      </c>
      <c r="I93" s="667" t="s">
        <v>1175</v>
      </c>
      <c r="J93" s="667" t="s">
        <v>1176</v>
      </c>
      <c r="K93" s="667" t="s">
        <v>1177</v>
      </c>
      <c r="L93" s="667" t="s">
        <v>1178</v>
      </c>
      <c r="M93" s="667" t="s">
        <v>1179</v>
      </c>
      <c r="N93" s="667" t="s">
        <v>1180</v>
      </c>
    </row>
    <row r="94" spans="1:37" ht="12.75">
      <c r="A94" s="1922" t="s">
        <v>1492</v>
      </c>
      <c r="B94" s="955">
        <v>1</v>
      </c>
      <c r="C94" s="956">
        <v>1.9361999999999999</v>
      </c>
      <c r="D94" s="956">
        <v>1.9361999999999999</v>
      </c>
      <c r="E94" s="956">
        <v>1.8629</v>
      </c>
      <c r="F94" s="956">
        <v>1.8629</v>
      </c>
      <c r="G94" s="956">
        <v>1.8629</v>
      </c>
      <c r="H94" s="956">
        <v>1.8629</v>
      </c>
      <c r="I94" s="956">
        <v>1.8629</v>
      </c>
      <c r="J94" s="956">
        <v>1.9419999999999999</v>
      </c>
      <c r="K94" s="956">
        <v>1.9419999999999999</v>
      </c>
      <c r="L94" s="956">
        <v>1.9419999999999999</v>
      </c>
      <c r="M94" s="956">
        <v>1.9419999999999999</v>
      </c>
      <c r="N94" s="956">
        <v>1.9419999999999999</v>
      </c>
    </row>
    <row r="95" spans="1:37" ht="12.75">
      <c r="A95" s="1923"/>
      <c r="B95" s="955">
        <v>2</v>
      </c>
      <c r="C95" s="956">
        <v>1.4198</v>
      </c>
      <c r="D95" s="956">
        <v>1.4198</v>
      </c>
      <c r="E95" s="956">
        <v>1.3371999999999999</v>
      </c>
      <c r="F95" s="956">
        <v>1.3371999999999999</v>
      </c>
      <c r="G95" s="956">
        <v>1.3371999999999999</v>
      </c>
      <c r="H95" s="956">
        <v>1.3371999999999999</v>
      </c>
      <c r="I95" s="956">
        <v>1.3371999999999999</v>
      </c>
      <c r="J95" s="956">
        <v>1.2799</v>
      </c>
      <c r="K95" s="956">
        <v>1.2799</v>
      </c>
      <c r="L95" s="956">
        <v>1.2799</v>
      </c>
      <c r="M95" s="956">
        <v>1.2799</v>
      </c>
      <c r="N95" s="956">
        <v>1.2799</v>
      </c>
    </row>
    <row r="96" spans="1:37" ht="12.75">
      <c r="A96" s="1923"/>
      <c r="B96" s="955">
        <v>3</v>
      </c>
      <c r="C96" s="956">
        <v>1.1594</v>
      </c>
      <c r="D96" s="956">
        <v>1.1594</v>
      </c>
      <c r="E96" s="956">
        <v>1.0788</v>
      </c>
      <c r="F96" s="956">
        <v>1.0788</v>
      </c>
      <c r="G96" s="956">
        <v>1.0788</v>
      </c>
      <c r="H96" s="956">
        <v>1.0788</v>
      </c>
      <c r="I96" s="956">
        <v>1.0788</v>
      </c>
      <c r="J96" s="956">
        <v>1.0072000000000001</v>
      </c>
      <c r="K96" s="956">
        <v>1.0072000000000001</v>
      </c>
      <c r="L96" s="956">
        <v>1.0072000000000001</v>
      </c>
      <c r="M96" s="956">
        <v>1.0072000000000001</v>
      </c>
      <c r="N96" s="956">
        <v>1.0072000000000001</v>
      </c>
    </row>
    <row r="97" spans="1:14" ht="12.75">
      <c r="A97" s="1923"/>
      <c r="B97" s="955">
        <v>4</v>
      </c>
      <c r="C97" s="956">
        <v>0.96220000000000006</v>
      </c>
      <c r="D97" s="956">
        <v>0.96220000000000006</v>
      </c>
      <c r="E97" s="956">
        <v>0.86560000000000004</v>
      </c>
      <c r="F97" s="956">
        <v>0.86560000000000004</v>
      </c>
      <c r="G97" s="956">
        <v>0.86560000000000004</v>
      </c>
      <c r="H97" s="956">
        <v>0.86560000000000004</v>
      </c>
      <c r="I97" s="956">
        <v>0.86560000000000004</v>
      </c>
      <c r="J97" s="956">
        <v>0.75249999999999995</v>
      </c>
      <c r="K97" s="956">
        <v>0.75249999999999995</v>
      </c>
      <c r="L97" s="956">
        <v>0.75249999999999995</v>
      </c>
      <c r="M97" s="956">
        <v>0.75249999999999995</v>
      </c>
      <c r="N97" s="956">
        <v>0.75249999999999995</v>
      </c>
    </row>
    <row r="98" spans="1:14" ht="12.75">
      <c r="A98" s="1923"/>
      <c r="B98" s="955">
        <v>5</v>
      </c>
      <c r="C98" s="956">
        <v>0.8417</v>
      </c>
      <c r="D98" s="956">
        <v>0.8417</v>
      </c>
      <c r="E98" s="956">
        <v>0.73709999999999998</v>
      </c>
      <c r="F98" s="956">
        <v>0.73709999999999998</v>
      </c>
      <c r="G98" s="956">
        <v>0.73709999999999998</v>
      </c>
      <c r="H98" s="956">
        <v>0.73709999999999998</v>
      </c>
      <c r="I98" s="956">
        <v>0.73709999999999998</v>
      </c>
      <c r="J98" s="956">
        <v>0.56589999999999996</v>
      </c>
      <c r="K98" s="956">
        <v>0.56589999999999996</v>
      </c>
      <c r="L98" s="956">
        <v>0.56589999999999996</v>
      </c>
      <c r="M98" s="956">
        <v>0.56589999999999996</v>
      </c>
      <c r="N98" s="956">
        <v>0.56589999999999996</v>
      </c>
    </row>
    <row r="99" spans="1:14" ht="12.75">
      <c r="A99" s="1923"/>
      <c r="B99" s="955">
        <v>6</v>
      </c>
      <c r="C99" s="956">
        <v>0.76080000000000003</v>
      </c>
      <c r="D99" s="956">
        <v>0.76080000000000003</v>
      </c>
      <c r="E99" s="956">
        <v>0.6482</v>
      </c>
      <c r="F99" s="956">
        <v>0.6482</v>
      </c>
      <c r="G99" s="956">
        <v>0.6482</v>
      </c>
      <c r="H99" s="956">
        <v>0.6482</v>
      </c>
      <c r="I99" s="956">
        <v>0.6482</v>
      </c>
      <c r="J99" s="956">
        <v>0.45250000000000001</v>
      </c>
      <c r="K99" s="956">
        <v>0.45250000000000001</v>
      </c>
      <c r="L99" s="956">
        <v>0.45250000000000001</v>
      </c>
      <c r="M99" s="956">
        <v>0.45250000000000001</v>
      </c>
      <c r="N99" s="956">
        <v>0.45250000000000001</v>
      </c>
    </row>
    <row r="100" spans="1:14" ht="12.75">
      <c r="A100" s="1923"/>
      <c r="B100" s="955" t="s">
        <v>1495</v>
      </c>
      <c r="C100" s="957">
        <f>$I$3</f>
        <v>1</v>
      </c>
      <c r="D100" s="957">
        <f t="shared" ref="D100:M100" si="24">$I$3</f>
        <v>1</v>
      </c>
      <c r="E100" s="957">
        <f t="shared" si="24"/>
        <v>1</v>
      </c>
      <c r="F100" s="957">
        <f t="shared" si="24"/>
        <v>1</v>
      </c>
      <c r="G100" s="957">
        <f t="shared" si="24"/>
        <v>1</v>
      </c>
      <c r="H100" s="957">
        <f t="shared" si="24"/>
        <v>1</v>
      </c>
      <c r="I100" s="957">
        <f t="shared" si="24"/>
        <v>1</v>
      </c>
      <c r="J100" s="957">
        <f t="shared" si="24"/>
        <v>1</v>
      </c>
      <c r="K100" s="957">
        <f t="shared" si="24"/>
        <v>1</v>
      </c>
      <c r="L100" s="957">
        <f t="shared" si="24"/>
        <v>1</v>
      </c>
      <c r="M100" s="957">
        <f t="shared" si="24"/>
        <v>1</v>
      </c>
      <c r="N100" s="957">
        <f>$I$3</f>
        <v>1</v>
      </c>
    </row>
    <row r="101" spans="1:14" ht="12.75">
      <c r="A101" s="1924"/>
      <c r="B101" s="955">
        <v>7</v>
      </c>
      <c r="C101" s="958">
        <f>(-0.163*(C100^2)-0.59*C100+7617)*(10^(-4))</f>
        <v>0.76162470000000004</v>
      </c>
      <c r="D101" s="958">
        <f>(-0.163*(D100^2)-0.59*D100+7617)*(10^(-4))</f>
        <v>0.76162470000000004</v>
      </c>
      <c r="E101" s="958">
        <f>(-0.161*(E100^2)-7.509*E100+6533)*(10^(-4))</f>
        <v>0.65253300000000003</v>
      </c>
      <c r="F101" s="958">
        <f>(-0.161*(F100^2)-7.509*F100+6533)*(10^(-4))</f>
        <v>0.65253300000000003</v>
      </c>
      <c r="G101" s="958">
        <f>(-0.161*(G100^2)-7.509*G100+6533)*(10^(-4))</f>
        <v>0.65253300000000003</v>
      </c>
      <c r="H101" s="958">
        <f>(-0.161*(H100^2)-7.509*H100+6533)*(10^(-4))</f>
        <v>0.65253300000000003</v>
      </c>
      <c r="I101" s="958">
        <f>(-0.161*(I100^2)-7.509*I100+6533)*(10^(-4))</f>
        <v>0.65253300000000003</v>
      </c>
      <c r="J101" s="958">
        <f>(-0.214*(J100^2)-21.991*J100+4665)*(10^(-4))</f>
        <v>0.46427950000000001</v>
      </c>
      <c r="K101" s="958">
        <f>(-0.214*(K100^2)-21.991*K100+4665)*(10^(-4))</f>
        <v>0.46427950000000001</v>
      </c>
      <c r="L101" s="958">
        <f>(-0.214*(L100^2)-21.991*L100+4665)*(10^(-4))</f>
        <v>0.46427950000000001</v>
      </c>
      <c r="M101" s="958">
        <f>(-0.214*(M100^2)-21.991*M100+4665)*(10^(-4))</f>
        <v>0.46427950000000001</v>
      </c>
      <c r="N101" s="958">
        <f>(-0.214*(N100^2)-21.991*N100+4665)*(10^(-4))</f>
        <v>0.46427950000000001</v>
      </c>
    </row>
    <row r="102" spans="1:14" ht="12.75">
      <c r="A102" s="1922" t="s">
        <v>1493</v>
      </c>
      <c r="B102" s="959" t="s">
        <v>1496</v>
      </c>
      <c r="C102" s="960">
        <f>$G$3</f>
        <v>8.86</v>
      </c>
      <c r="D102" s="960">
        <f t="shared" ref="D102:N102" si="25">$G$3</f>
        <v>8.86</v>
      </c>
      <c r="E102" s="960">
        <f t="shared" si="25"/>
        <v>8.86</v>
      </c>
      <c r="F102" s="960">
        <f t="shared" si="25"/>
        <v>8.86</v>
      </c>
      <c r="G102" s="960">
        <f t="shared" si="25"/>
        <v>8.86</v>
      </c>
      <c r="H102" s="960">
        <f t="shared" si="25"/>
        <v>8.86</v>
      </c>
      <c r="I102" s="960">
        <f t="shared" si="25"/>
        <v>8.86</v>
      </c>
      <c r="J102" s="960">
        <f t="shared" si="25"/>
        <v>8.86</v>
      </c>
      <c r="K102" s="960">
        <f t="shared" si="25"/>
        <v>8.86</v>
      </c>
      <c r="L102" s="960">
        <f t="shared" si="25"/>
        <v>8.86</v>
      </c>
      <c r="M102" s="960">
        <f t="shared" si="25"/>
        <v>8.86</v>
      </c>
      <c r="N102" s="960">
        <f t="shared" si="25"/>
        <v>8.86</v>
      </c>
    </row>
    <row r="103" spans="1:14" ht="12.75">
      <c r="A103" s="1923"/>
      <c r="B103" s="955">
        <v>1</v>
      </c>
      <c r="C103" s="956">
        <f>1.9362/C102</f>
        <v>0.21853273137697518</v>
      </c>
      <c r="D103" s="956">
        <f>1.9362/D102</f>
        <v>0.21853273137697518</v>
      </c>
      <c r="E103" s="956">
        <f>1.8629/E102</f>
        <v>0.21025959367945826</v>
      </c>
      <c r="F103" s="956">
        <f>1.8629/F102</f>
        <v>0.21025959367945826</v>
      </c>
      <c r="G103" s="956">
        <f>1.8629/G102</f>
        <v>0.21025959367945826</v>
      </c>
      <c r="H103" s="956">
        <f>1.8629/H102</f>
        <v>0.21025959367945826</v>
      </c>
      <c r="I103" s="956">
        <f>1.8629/I102</f>
        <v>0.21025959367945826</v>
      </c>
      <c r="J103" s="956">
        <f>1.942/J102</f>
        <v>0.21918735891647856</v>
      </c>
      <c r="K103" s="956">
        <f>1.942/K102</f>
        <v>0.21918735891647856</v>
      </c>
      <c r="L103" s="956">
        <f>1.942/L102</f>
        <v>0.21918735891647856</v>
      </c>
      <c r="M103" s="956">
        <f>1.942/M102</f>
        <v>0.21918735891647856</v>
      </c>
      <c r="N103" s="956">
        <f>1.942/N102</f>
        <v>0.21918735891647856</v>
      </c>
    </row>
    <row r="104" spans="1:14" ht="12.75">
      <c r="A104" s="1923"/>
      <c r="B104" s="955">
        <v>2</v>
      </c>
      <c r="C104" s="956">
        <f>1.4198/C102</f>
        <v>0.16024830699774267</v>
      </c>
      <c r="D104" s="956">
        <f>1.4198/D102</f>
        <v>0.16024830699774267</v>
      </c>
      <c r="E104" s="956">
        <f>1.3372/E102</f>
        <v>0.15092550790067721</v>
      </c>
      <c r="F104" s="956">
        <f>1.3372/F102</f>
        <v>0.15092550790067721</v>
      </c>
      <c r="G104" s="956">
        <f>1.3372/G102</f>
        <v>0.15092550790067721</v>
      </c>
      <c r="H104" s="956">
        <f>1.3372/H102</f>
        <v>0.15092550790067721</v>
      </c>
      <c r="I104" s="956">
        <f>1.3372/I102</f>
        <v>0.15092550790067721</v>
      </c>
      <c r="J104" s="956">
        <f>1.2799/J102</f>
        <v>0.14445823927765239</v>
      </c>
      <c r="K104" s="956">
        <f>1.2799/K102</f>
        <v>0.14445823927765239</v>
      </c>
      <c r="L104" s="956">
        <f>1.2799/L102</f>
        <v>0.14445823927765239</v>
      </c>
      <c r="M104" s="956">
        <f>1.2799/M102</f>
        <v>0.14445823927765239</v>
      </c>
      <c r="N104" s="956">
        <f>1.2799/N102</f>
        <v>0.14445823927765239</v>
      </c>
    </row>
    <row r="105" spans="1:14" ht="12.75">
      <c r="A105" s="1923"/>
      <c r="B105" s="955">
        <v>3</v>
      </c>
      <c r="C105" s="956">
        <f>1.1594/C102</f>
        <v>0.13085778781038376</v>
      </c>
      <c r="D105" s="956">
        <f>1.1594/D102</f>
        <v>0.13085778781038376</v>
      </c>
      <c r="E105" s="956">
        <f>1.0788/E102</f>
        <v>0.1217607223476298</v>
      </c>
      <c r="F105" s="956">
        <f>1.0788/F102</f>
        <v>0.1217607223476298</v>
      </c>
      <c r="G105" s="956">
        <f>1.0788/G102</f>
        <v>0.1217607223476298</v>
      </c>
      <c r="H105" s="956">
        <f>1.0788/H102</f>
        <v>0.1217607223476298</v>
      </c>
      <c r="I105" s="956">
        <f>1.0788/I102</f>
        <v>0.1217607223476298</v>
      </c>
      <c r="J105" s="956">
        <f>1.0072/J102</f>
        <v>0.11367945823927766</v>
      </c>
      <c r="K105" s="956">
        <f>1.0072/K102</f>
        <v>0.11367945823927766</v>
      </c>
      <c r="L105" s="956">
        <f>1.0072/L102</f>
        <v>0.11367945823927766</v>
      </c>
      <c r="M105" s="956">
        <f>1.0072/M102</f>
        <v>0.11367945823927766</v>
      </c>
      <c r="N105" s="956">
        <f>1.0072/N102</f>
        <v>0.11367945823927766</v>
      </c>
    </row>
    <row r="106" spans="1:14" ht="12.75">
      <c r="A106" s="1923"/>
      <c r="B106" s="955">
        <v>4</v>
      </c>
      <c r="C106" s="956">
        <f>0.9622/C102</f>
        <v>0.10860045146726864</v>
      </c>
      <c r="D106" s="956">
        <f>0.9622/D102</f>
        <v>0.10860045146726864</v>
      </c>
      <c r="E106" s="956">
        <f>0.8656/E102</f>
        <v>9.7697516930022585E-2</v>
      </c>
      <c r="F106" s="956">
        <f>0.8656/F102</f>
        <v>9.7697516930022585E-2</v>
      </c>
      <c r="G106" s="956">
        <f>0.8656/G102</f>
        <v>9.7697516930022585E-2</v>
      </c>
      <c r="H106" s="956">
        <f>0.8656/H102</f>
        <v>9.7697516930022585E-2</v>
      </c>
      <c r="I106" s="956">
        <f>0.8656/I102</f>
        <v>9.7697516930022585E-2</v>
      </c>
      <c r="J106" s="956">
        <f>0.7525/J102</f>
        <v>8.4932279909706546E-2</v>
      </c>
      <c r="K106" s="956">
        <f>0.7525/K102</f>
        <v>8.4932279909706546E-2</v>
      </c>
      <c r="L106" s="956">
        <f>0.7525/L102</f>
        <v>8.4932279909706546E-2</v>
      </c>
      <c r="M106" s="956">
        <f>0.7525/M102</f>
        <v>8.4932279909706546E-2</v>
      </c>
      <c r="N106" s="956">
        <f>0.7525/N102</f>
        <v>8.4932279909706546E-2</v>
      </c>
    </row>
    <row r="107" spans="1:14" ht="12.75">
      <c r="A107" s="1923"/>
      <c r="B107" s="955">
        <v>5</v>
      </c>
      <c r="C107" s="956">
        <f>0.8417/C102</f>
        <v>9.5000000000000001E-2</v>
      </c>
      <c r="D107" s="956">
        <f>0.8417/D102</f>
        <v>9.5000000000000001E-2</v>
      </c>
      <c r="E107" s="956">
        <f>0.7371/E102</f>
        <v>8.3194130925507898E-2</v>
      </c>
      <c r="F107" s="956">
        <f>0.7371/F102</f>
        <v>8.3194130925507898E-2</v>
      </c>
      <c r="G107" s="956">
        <f>0.7371/G102</f>
        <v>8.3194130925507898E-2</v>
      </c>
      <c r="H107" s="956">
        <f>0.7371/H102</f>
        <v>8.3194130925507898E-2</v>
      </c>
      <c r="I107" s="956">
        <f>0.7371/I102</f>
        <v>8.3194130925507898E-2</v>
      </c>
      <c r="J107" s="956">
        <f>0.5659/J102</f>
        <v>6.3871331828442443E-2</v>
      </c>
      <c r="K107" s="956">
        <f>0.5659/K102</f>
        <v>6.3871331828442443E-2</v>
      </c>
      <c r="L107" s="956">
        <f>0.5659/L102</f>
        <v>6.3871331828442443E-2</v>
      </c>
      <c r="M107" s="956">
        <f>0.5659/M102</f>
        <v>6.3871331828442443E-2</v>
      </c>
      <c r="N107" s="956">
        <f>0.5659/N102</f>
        <v>6.3871331828442443E-2</v>
      </c>
    </row>
    <row r="108" spans="1:14" ht="12.75">
      <c r="A108" s="1923"/>
      <c r="B108" s="955">
        <v>6</v>
      </c>
      <c r="C108" s="956">
        <f>0.7608/C102</f>
        <v>8.5869074492099337E-2</v>
      </c>
      <c r="D108" s="956">
        <f>0.7608/D102</f>
        <v>8.5869074492099337E-2</v>
      </c>
      <c r="E108" s="956">
        <f>0.6482/E102</f>
        <v>7.3160270880361172E-2</v>
      </c>
      <c r="F108" s="956">
        <f>0.6482/F102</f>
        <v>7.3160270880361172E-2</v>
      </c>
      <c r="G108" s="956">
        <f>0.6482/G102</f>
        <v>7.3160270880361172E-2</v>
      </c>
      <c r="H108" s="956">
        <f>0.6482/H102</f>
        <v>7.3160270880361172E-2</v>
      </c>
      <c r="I108" s="956">
        <f>0.6482/I102</f>
        <v>7.3160270880361172E-2</v>
      </c>
      <c r="J108" s="956">
        <f>0.4525/J102</f>
        <v>5.1072234762979687E-2</v>
      </c>
      <c r="K108" s="956">
        <f>0.4525/K102</f>
        <v>5.1072234762979687E-2</v>
      </c>
      <c r="L108" s="956">
        <f>0.4525/L102</f>
        <v>5.1072234762979687E-2</v>
      </c>
      <c r="M108" s="956">
        <f>0.4525/M102</f>
        <v>5.1072234762979687E-2</v>
      </c>
      <c r="N108" s="956">
        <f>0.4525/N102</f>
        <v>5.1072234762979687E-2</v>
      </c>
    </row>
    <row r="109" spans="1:14" ht="12.75">
      <c r="A109" s="1923"/>
      <c r="B109" s="1925" t="s">
        <v>1497</v>
      </c>
      <c r="C109" s="957">
        <f>C100</f>
        <v>1</v>
      </c>
      <c r="D109" s="957">
        <f t="shared" ref="D109:N109" si="26">D100</f>
        <v>1</v>
      </c>
      <c r="E109" s="957">
        <f t="shared" si="26"/>
        <v>1</v>
      </c>
      <c r="F109" s="957">
        <f t="shared" si="26"/>
        <v>1</v>
      </c>
      <c r="G109" s="957">
        <f t="shared" si="26"/>
        <v>1</v>
      </c>
      <c r="H109" s="957">
        <f t="shared" si="26"/>
        <v>1</v>
      </c>
      <c r="I109" s="957">
        <f t="shared" si="26"/>
        <v>1</v>
      </c>
      <c r="J109" s="957">
        <f t="shared" si="26"/>
        <v>1</v>
      </c>
      <c r="K109" s="957">
        <f t="shared" si="26"/>
        <v>1</v>
      </c>
      <c r="L109" s="957">
        <f t="shared" si="26"/>
        <v>1</v>
      </c>
      <c r="M109" s="957">
        <f t="shared" si="26"/>
        <v>1</v>
      </c>
      <c r="N109" s="957">
        <f t="shared" si="26"/>
        <v>1</v>
      </c>
    </row>
    <row r="110" spans="1:14" ht="12.75">
      <c r="A110" s="1924"/>
      <c r="B110" s="1926"/>
      <c r="C110" s="958">
        <f>(-0.163*(C109^2)-0.59*C109+7617)*(10^(-4))/C102</f>
        <v>8.5962155756207692E-2</v>
      </c>
      <c r="D110" s="958">
        <f>(-0.163*(D109^2)-0.59*D109+7617)*(10^(-4))/D102</f>
        <v>8.5962155756207692E-2</v>
      </c>
      <c r="E110" s="958">
        <f>(-0.161*(E109^2)-7.509*E109+6533)*(10^(-4))/E102</f>
        <v>7.3649322799097069E-2</v>
      </c>
      <c r="F110" s="958">
        <f>(-0.161*(F109^2)-7.509*F109+6533)*(10^(-4))/F102</f>
        <v>7.3649322799097069E-2</v>
      </c>
      <c r="G110" s="958">
        <f>(-0.161*(G109^2)-7.509*G109+6533)*(10^(-4))/G102</f>
        <v>7.3649322799097069E-2</v>
      </c>
      <c r="H110" s="958">
        <f>(-0.161*(H109^2)-7.509*H109+6533)*(10^(-4))/H102</f>
        <v>7.3649322799097069E-2</v>
      </c>
      <c r="I110" s="958">
        <f>(-0.161*(I109^2)-7.509*I109+6533)*(10^(-4))/I102</f>
        <v>7.3649322799097069E-2</v>
      </c>
      <c r="J110" s="958">
        <f>(-0.214*(J109^2)-21.991*J109+4665)*(10^(-4))/J102</f>
        <v>5.2401749435665917E-2</v>
      </c>
      <c r="K110" s="958">
        <f>(-0.214*(K109^2)-21.991*K109+4665)*(10^(-4))/K102</f>
        <v>5.2401749435665917E-2</v>
      </c>
      <c r="L110" s="958">
        <f>(-0.214*(L109^2)-21.991*L109+4665)*(10^(-4))/L102</f>
        <v>5.2401749435665917E-2</v>
      </c>
      <c r="M110" s="958">
        <f>(-0.214*(M109^2)-21.991*M109+4665)*(10^(-4))/M102</f>
        <v>5.2401749435665917E-2</v>
      </c>
      <c r="N110" s="958">
        <f>(-0.214*(N109^2)-21.991*N109+4665)*(10^(-4))/N102</f>
        <v>5.2401749435665917E-2</v>
      </c>
    </row>
    <row r="111" spans="1:14">
      <c r="A111" s="1920" t="s">
        <v>1181</v>
      </c>
      <c r="B111" s="1920"/>
      <c r="C111" s="1920"/>
      <c r="D111" s="1920"/>
      <c r="E111" s="1920"/>
      <c r="F111" s="1920"/>
      <c r="G111" s="1920"/>
      <c r="H111" s="1920"/>
      <c r="I111" s="1920"/>
      <c r="J111" s="1920"/>
      <c r="K111" s="666"/>
      <c r="L111" s="666"/>
      <c r="M111" s="666"/>
      <c r="N111" s="666"/>
    </row>
    <row r="113" spans="1:13" ht="12.75" thickBot="1"/>
    <row r="114" spans="1:13" ht="15" thickBot="1">
      <c r="A114" s="940" t="s">
        <v>1479</v>
      </c>
      <c r="B114" s="495">
        <f>G3</f>
        <v>8.86</v>
      </c>
      <c r="C114" s="941" t="s">
        <v>1480</v>
      </c>
      <c r="D114" s="351">
        <f>SUMPRODUCT((A116:A119=F114)*(B115:M115=H114)*B116:M119)</f>
        <v>0.73650000000000004</v>
      </c>
      <c r="E114" s="732" t="s">
        <v>1166</v>
      </c>
      <c r="F114" s="942" t="str">
        <f>E2</f>
        <v>商业</v>
      </c>
      <c r="G114" s="732" t="s">
        <v>1183</v>
      </c>
      <c r="H114" s="942" t="str">
        <f>G2</f>
        <v>四级</v>
      </c>
      <c r="I114" s="732"/>
      <c r="J114" s="813"/>
      <c r="K114" s="813"/>
      <c r="L114" s="813"/>
      <c r="M114" s="813"/>
    </row>
    <row r="115" spans="1:13">
      <c r="A115" s="943"/>
      <c r="B115" s="944" t="s">
        <v>1169</v>
      </c>
      <c r="C115" s="944" t="s">
        <v>1170</v>
      </c>
      <c r="D115" s="944" t="s">
        <v>1171</v>
      </c>
      <c r="E115" s="945" t="s">
        <v>1172</v>
      </c>
      <c r="F115" s="945" t="s">
        <v>1173</v>
      </c>
      <c r="G115" s="945" t="s">
        <v>1174</v>
      </c>
      <c r="H115" s="946" t="s">
        <v>1175</v>
      </c>
      <c r="I115" s="946" t="s">
        <v>1176</v>
      </c>
      <c r="J115" s="947" t="s">
        <v>1177</v>
      </c>
      <c r="K115" s="947" t="s">
        <v>1178</v>
      </c>
      <c r="L115" s="947" t="s">
        <v>1179</v>
      </c>
      <c r="M115" s="948" t="s">
        <v>1180</v>
      </c>
    </row>
    <row r="116" spans="1:13" ht="12.75">
      <c r="A116" s="814" t="s">
        <v>0</v>
      </c>
      <c r="B116" s="355">
        <f>ROUND(0.9335-0.0094*B114,4)</f>
        <v>0.85019999999999996</v>
      </c>
      <c r="C116" s="355">
        <f>B116</f>
        <v>0.85019999999999996</v>
      </c>
      <c r="D116" s="355">
        <f>ROUND(0.8331-0.0109*B114,4)</f>
        <v>0.73650000000000004</v>
      </c>
      <c r="E116" s="355">
        <f>D116</f>
        <v>0.73650000000000004</v>
      </c>
      <c r="F116" s="355">
        <f>E116</f>
        <v>0.73650000000000004</v>
      </c>
      <c r="G116" s="355">
        <f>F116</f>
        <v>0.73650000000000004</v>
      </c>
      <c r="H116" s="355">
        <f>G116</f>
        <v>0.73650000000000004</v>
      </c>
      <c r="I116" s="355">
        <f>ROUND(0.689-0.0155*B114,4)</f>
        <v>0.55169999999999997</v>
      </c>
      <c r="J116" s="355">
        <f t="shared" ref="J116:M119" si="27">I116</f>
        <v>0.55169999999999997</v>
      </c>
      <c r="K116" s="355">
        <f t="shared" si="27"/>
        <v>0.55169999999999997</v>
      </c>
      <c r="L116" s="355">
        <f t="shared" si="27"/>
        <v>0.55169999999999997</v>
      </c>
      <c r="M116" s="356">
        <f t="shared" si="27"/>
        <v>0.55169999999999997</v>
      </c>
    </row>
    <row r="117" spans="1:13" ht="12.75">
      <c r="A117" s="814" t="s">
        <v>1315</v>
      </c>
      <c r="B117" s="355">
        <f>ROUND(0.949-0.012*B114,4)</f>
        <v>0.8427</v>
      </c>
      <c r="C117" s="355">
        <f>B117</f>
        <v>0.8427</v>
      </c>
      <c r="D117" s="355">
        <f>ROUND(0.8567-0.013*B114,4)</f>
        <v>0.74150000000000005</v>
      </c>
      <c r="E117" s="355">
        <f t="shared" ref="E117:H118" si="28">D117</f>
        <v>0.74150000000000005</v>
      </c>
      <c r="F117" s="355">
        <f t="shared" si="28"/>
        <v>0.74150000000000005</v>
      </c>
      <c r="G117" s="355">
        <f t="shared" si="28"/>
        <v>0.74150000000000005</v>
      </c>
      <c r="H117" s="355">
        <f t="shared" si="28"/>
        <v>0.74150000000000005</v>
      </c>
      <c r="I117" s="355">
        <f>ROUND(0.7694-0.014*B114,4)</f>
        <v>0.64539999999999997</v>
      </c>
      <c r="J117" s="355">
        <f t="shared" si="27"/>
        <v>0.64539999999999997</v>
      </c>
      <c r="K117" s="355">
        <f t="shared" si="27"/>
        <v>0.64539999999999997</v>
      </c>
      <c r="L117" s="355">
        <f t="shared" si="27"/>
        <v>0.64539999999999997</v>
      </c>
      <c r="M117" s="356">
        <f t="shared" si="27"/>
        <v>0.64539999999999997</v>
      </c>
    </row>
    <row r="118" spans="1:13" ht="12.75">
      <c r="A118" s="814" t="s">
        <v>1316</v>
      </c>
      <c r="B118" s="355">
        <f>ROUND(0.8808-0.006*B114,4)</f>
        <v>0.8276</v>
      </c>
      <c r="C118" s="355">
        <f>B118</f>
        <v>0.8276</v>
      </c>
      <c r="D118" s="355">
        <f>ROUND(0.8748-0.008*B114,4)</f>
        <v>0.80389999999999995</v>
      </c>
      <c r="E118" s="355">
        <f t="shared" si="28"/>
        <v>0.80389999999999995</v>
      </c>
      <c r="F118" s="355">
        <f t="shared" si="28"/>
        <v>0.80389999999999995</v>
      </c>
      <c r="G118" s="355">
        <f t="shared" si="28"/>
        <v>0.80389999999999995</v>
      </c>
      <c r="H118" s="355">
        <f t="shared" si="28"/>
        <v>0.80389999999999995</v>
      </c>
      <c r="I118" s="355">
        <f>ROUND(0.7412-0.0095*B114,4)</f>
        <v>0.65700000000000003</v>
      </c>
      <c r="J118" s="355">
        <f t="shared" si="27"/>
        <v>0.65700000000000003</v>
      </c>
      <c r="K118" s="355">
        <f t="shared" si="27"/>
        <v>0.65700000000000003</v>
      </c>
      <c r="L118" s="355">
        <f t="shared" si="27"/>
        <v>0.65700000000000003</v>
      </c>
      <c r="M118" s="356">
        <f t="shared" si="27"/>
        <v>0.65700000000000003</v>
      </c>
    </row>
    <row r="119" spans="1:13" ht="13.5" thickBot="1">
      <c r="A119" s="815" t="s">
        <v>229</v>
      </c>
      <c r="B119" s="357">
        <f>ROUND(0.7275-0.01*B114,4)</f>
        <v>0.63890000000000002</v>
      </c>
      <c r="C119" s="357">
        <f>B119</f>
        <v>0.63890000000000002</v>
      </c>
      <c r="D119" s="357">
        <f>ROUND(0.7043-0.012*B114,4)</f>
        <v>0.59799999999999998</v>
      </c>
      <c r="E119" s="357">
        <f>D119</f>
        <v>0.59799999999999998</v>
      </c>
      <c r="F119" s="357">
        <f>E119</f>
        <v>0.59799999999999998</v>
      </c>
      <c r="G119" s="357">
        <f>ROUND(0.6299-0.0122*B114,4)</f>
        <v>0.52180000000000004</v>
      </c>
      <c r="H119" s="357">
        <f>G119</f>
        <v>0.52180000000000004</v>
      </c>
      <c r="I119" s="357">
        <f>ROUND(0.5667-0.0136*B114,4)</f>
        <v>0.44619999999999999</v>
      </c>
      <c r="J119" s="357">
        <f t="shared" si="27"/>
        <v>0.44619999999999999</v>
      </c>
      <c r="K119" s="357">
        <f t="shared" si="27"/>
        <v>0.44619999999999999</v>
      </c>
      <c r="L119" s="357">
        <f t="shared" si="27"/>
        <v>0.44619999999999999</v>
      </c>
      <c r="M119" s="358">
        <f t="shared" si="27"/>
        <v>0.44619999999999999</v>
      </c>
    </row>
  </sheetData>
  <sheetProtection password="C66D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7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939" t="s">
        <v>988</v>
      </c>
      <c r="B1" s="1939"/>
    </row>
    <row r="2" spans="1:6" ht="14.25" thickBot="1">
      <c r="A2" s="412"/>
      <c r="B2" s="412"/>
    </row>
    <row r="3" spans="1:6" ht="14.25" thickBot="1">
      <c r="A3" s="412"/>
      <c r="B3" s="412"/>
      <c r="C3" s="413" t="s">
        <v>989</v>
      </c>
      <c r="D3" s="413" t="s">
        <v>1313</v>
      </c>
      <c r="E3" s="413" t="s">
        <v>1314</v>
      </c>
      <c r="F3" s="413" t="s">
        <v>990</v>
      </c>
    </row>
    <row r="4" spans="1:6" ht="14.25" thickBot="1">
      <c r="A4" s="414" t="s">
        <v>991</v>
      </c>
      <c r="B4" s="415" t="s">
        <v>992</v>
      </c>
      <c r="C4" s="413"/>
      <c r="D4" s="413"/>
      <c r="E4" s="413"/>
      <c r="F4" s="413"/>
    </row>
    <row r="5" spans="1:6" ht="14.25" thickBot="1">
      <c r="A5" s="277" t="s">
        <v>993</v>
      </c>
      <c r="B5" s="278" t="s">
        <v>994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346</v>
      </c>
      <c r="B6" s="271" t="s">
        <v>995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346</v>
      </c>
      <c r="B7" s="285" t="s">
        <v>335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346</v>
      </c>
      <c r="B8" s="271" t="s">
        <v>347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346</v>
      </c>
      <c r="B9" s="286" t="s">
        <v>359</v>
      </c>
      <c r="C9" s="420">
        <v>0.05</v>
      </c>
      <c r="D9" s="421"/>
      <c r="E9" s="421"/>
      <c r="F9" s="422"/>
    </row>
    <row r="10" spans="1:6" ht="14.25" thickBot="1">
      <c r="A10" s="277" t="s">
        <v>406</v>
      </c>
      <c r="B10" s="278" t="s">
        <v>996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406</v>
      </c>
      <c r="B11" s="285" t="s">
        <v>322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406</v>
      </c>
      <c r="B12" s="285" t="s">
        <v>255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406</v>
      </c>
      <c r="B13" s="285" t="s">
        <v>348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406</v>
      </c>
      <c r="B14" s="285" t="s">
        <v>360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406</v>
      </c>
      <c r="B15" s="285" t="s">
        <v>372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406</v>
      </c>
      <c r="B16" s="285" t="s">
        <v>384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406</v>
      </c>
      <c r="B17" s="285" t="s">
        <v>396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406</v>
      </c>
      <c r="B18" s="285" t="s">
        <v>409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406</v>
      </c>
      <c r="B19" s="285" t="s">
        <v>420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406</v>
      </c>
      <c r="B20" s="285" t="s">
        <v>431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406</v>
      </c>
      <c r="B21" s="285" t="s">
        <v>442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406</v>
      </c>
      <c r="B22" s="285" t="s">
        <v>997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406</v>
      </c>
      <c r="B23" s="285" t="s">
        <v>464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406</v>
      </c>
      <c r="B24" s="285" t="s">
        <v>475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406</v>
      </c>
      <c r="B25" s="285" t="s">
        <v>485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406</v>
      </c>
      <c r="B26" s="285" t="s">
        <v>495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406</v>
      </c>
      <c r="B27" s="285" t="s">
        <v>505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406</v>
      </c>
      <c r="B28" s="286" t="s">
        <v>515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584</v>
      </c>
      <c r="B29" s="278" t="s">
        <v>998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584</v>
      </c>
      <c r="B30" s="285" t="s">
        <v>323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584</v>
      </c>
      <c r="B31" s="285" t="s">
        <v>336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584</v>
      </c>
      <c r="B32" s="285" t="s">
        <v>349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584</v>
      </c>
      <c r="B33" s="285" t="s">
        <v>361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584</v>
      </c>
      <c r="B34" s="285" t="s">
        <v>373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584</v>
      </c>
      <c r="B35" s="285" t="s">
        <v>385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584</v>
      </c>
      <c r="B36" s="285" t="s">
        <v>397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584</v>
      </c>
      <c r="B37" s="285" t="s">
        <v>410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584</v>
      </c>
      <c r="B38" s="285" t="s">
        <v>421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584</v>
      </c>
      <c r="B39" s="285" t="s">
        <v>432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584</v>
      </c>
      <c r="B40" s="285" t="s">
        <v>443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584</v>
      </c>
      <c r="B41" s="285" t="s">
        <v>454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584</v>
      </c>
      <c r="B42" s="285" t="s">
        <v>465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584</v>
      </c>
      <c r="B43" s="285" t="s">
        <v>476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584</v>
      </c>
      <c r="B44" s="285" t="s">
        <v>486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584</v>
      </c>
      <c r="B45" s="285" t="s">
        <v>496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584</v>
      </c>
      <c r="B46" s="285" t="s">
        <v>506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584</v>
      </c>
      <c r="B47" s="285" t="s">
        <v>516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584</v>
      </c>
      <c r="B48" s="286" t="s">
        <v>525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254</v>
      </c>
      <c r="B49" s="278" t="s">
        <v>999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254</v>
      </c>
      <c r="B50" s="271" t="s">
        <v>324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254</v>
      </c>
      <c r="B51" s="271" t="s">
        <v>337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254</v>
      </c>
      <c r="B52" s="271" t="s">
        <v>350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254</v>
      </c>
      <c r="B53" s="271" t="s">
        <v>362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254</v>
      </c>
      <c r="B54" s="271" t="s">
        <v>374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254</v>
      </c>
      <c r="B55" s="271" t="s">
        <v>386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254</v>
      </c>
      <c r="B56" s="271" t="s">
        <v>398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254</v>
      </c>
      <c r="B57" s="271" t="s">
        <v>411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254</v>
      </c>
      <c r="B58" s="271" t="s">
        <v>422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254</v>
      </c>
      <c r="B59" s="271" t="s">
        <v>433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254</v>
      </c>
      <c r="B60" s="271" t="s">
        <v>444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254</v>
      </c>
      <c r="B61" s="271" t="s">
        <v>455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254</v>
      </c>
      <c r="B62" s="271" t="s">
        <v>466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254</v>
      </c>
      <c r="B63" s="271" t="s">
        <v>477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254</v>
      </c>
      <c r="B64" s="271" t="s">
        <v>487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254</v>
      </c>
      <c r="B65" s="271" t="s">
        <v>497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254</v>
      </c>
      <c r="B66" s="271" t="s">
        <v>507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254</v>
      </c>
      <c r="B67" s="271" t="s">
        <v>517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254</v>
      </c>
      <c r="B68" s="271" t="s">
        <v>526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254</v>
      </c>
      <c r="B69" s="271" t="s">
        <v>535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254</v>
      </c>
      <c r="B70" s="271" t="s">
        <v>543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254</v>
      </c>
      <c r="B71" s="271" t="s">
        <v>550</v>
      </c>
      <c r="C71" s="418">
        <v>0.1</v>
      </c>
      <c r="D71" s="424"/>
      <c r="E71" s="424"/>
      <c r="F71" s="423"/>
    </row>
    <row r="72" spans="1:6" ht="14.25" thickBot="1">
      <c r="A72" s="277" t="s">
        <v>254</v>
      </c>
      <c r="B72" s="271" t="s">
        <v>1000</v>
      </c>
      <c r="C72" s="424"/>
      <c r="D72" s="424"/>
      <c r="E72" s="424"/>
      <c r="F72" s="419">
        <v>0.05</v>
      </c>
    </row>
    <row r="73" spans="1:6" ht="14.25" thickBot="1">
      <c r="A73" s="277" t="s">
        <v>254</v>
      </c>
      <c r="B73" s="271" t="s">
        <v>1001</v>
      </c>
      <c r="C73" s="424"/>
      <c r="D73" s="424"/>
      <c r="E73" s="424"/>
      <c r="F73" s="419">
        <v>0.05</v>
      </c>
    </row>
    <row r="74" spans="1:6" ht="14.25" thickBot="1">
      <c r="A74" s="277" t="s">
        <v>254</v>
      </c>
      <c r="B74" s="271" t="s">
        <v>1002</v>
      </c>
      <c r="C74" s="424"/>
      <c r="D74" s="424"/>
      <c r="E74" s="424"/>
      <c r="F74" s="419">
        <v>0.05</v>
      </c>
    </row>
    <row r="75" spans="1:6" ht="14.25" thickBot="1">
      <c r="A75" s="294" t="s">
        <v>254</v>
      </c>
      <c r="B75" s="287" t="s">
        <v>1003</v>
      </c>
      <c r="C75" s="421"/>
      <c r="D75" s="421"/>
      <c r="E75" s="421"/>
      <c r="F75" s="425">
        <v>0.05</v>
      </c>
    </row>
    <row r="76" spans="1:6" ht="14.25" thickBot="1">
      <c r="A76" s="277" t="s">
        <v>666</v>
      </c>
      <c r="B76" s="278" t="s">
        <v>1004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666</v>
      </c>
      <c r="B77" s="271" t="s">
        <v>325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666</v>
      </c>
      <c r="B78" s="271" t="s">
        <v>338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666</v>
      </c>
      <c r="B79" s="271" t="s">
        <v>351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666</v>
      </c>
      <c r="B80" s="271" t="s">
        <v>363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666</v>
      </c>
      <c r="B81" s="271" t="s">
        <v>375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666</v>
      </c>
      <c r="B82" s="271" t="s">
        <v>387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666</v>
      </c>
      <c r="B83" s="271" t="s">
        <v>399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666</v>
      </c>
      <c r="B84" s="271" t="s">
        <v>412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666</v>
      </c>
      <c r="B85" s="271" t="s">
        <v>423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666</v>
      </c>
      <c r="B86" s="271" t="s">
        <v>434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666</v>
      </c>
      <c r="B87" s="271" t="s">
        <v>445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666</v>
      </c>
      <c r="B88" s="271" t="s">
        <v>456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666</v>
      </c>
      <c r="B89" s="271" t="s">
        <v>467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666</v>
      </c>
      <c r="B90" s="271" t="s">
        <v>478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666</v>
      </c>
      <c r="B91" s="271" t="s">
        <v>488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666</v>
      </c>
      <c r="B92" s="271" t="s">
        <v>498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666</v>
      </c>
      <c r="B93" s="271" t="s">
        <v>508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666</v>
      </c>
      <c r="B94" s="271" t="s">
        <v>518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666</v>
      </c>
      <c r="B95" s="271" t="s">
        <v>527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666</v>
      </c>
      <c r="B96" s="271" t="s">
        <v>536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666</v>
      </c>
      <c r="B97" s="271" t="s">
        <v>544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666</v>
      </c>
      <c r="B98" s="271" t="s">
        <v>551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666</v>
      </c>
      <c r="B99" s="271" t="s">
        <v>558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666</v>
      </c>
      <c r="B100" s="271" t="s">
        <v>565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666</v>
      </c>
      <c r="B101" s="271" t="s">
        <v>572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666</v>
      </c>
      <c r="B102" s="271" t="s">
        <v>1005</v>
      </c>
      <c r="C102" s="424"/>
      <c r="D102" s="424"/>
      <c r="E102" s="424"/>
      <c r="F102" s="419">
        <v>0.05</v>
      </c>
    </row>
    <row r="103" spans="1:6" ht="24.75" thickBot="1">
      <c r="A103" s="277" t="s">
        <v>666</v>
      </c>
      <c r="B103" s="271" t="s">
        <v>1006</v>
      </c>
      <c r="C103" s="424"/>
      <c r="D103" s="424"/>
      <c r="E103" s="424"/>
      <c r="F103" s="419">
        <v>0.05</v>
      </c>
    </row>
    <row r="104" spans="1:6" ht="14.25" thickBot="1">
      <c r="A104" s="277" t="s">
        <v>666</v>
      </c>
      <c r="B104" s="271" t="s">
        <v>1007</v>
      </c>
      <c r="C104" s="424"/>
      <c r="D104" s="424"/>
      <c r="E104" s="424"/>
      <c r="F104" s="419">
        <v>0.05</v>
      </c>
    </row>
    <row r="105" spans="1:6" ht="14.25" thickBot="1">
      <c r="A105" s="277" t="s">
        <v>666</v>
      </c>
      <c r="B105" s="271" t="s">
        <v>1008</v>
      </c>
      <c r="C105" s="424"/>
      <c r="D105" s="424"/>
      <c r="E105" s="424"/>
      <c r="F105" s="419">
        <v>0.05</v>
      </c>
    </row>
    <row r="106" spans="1:6" ht="14.25" thickBot="1">
      <c r="A106" s="277" t="s">
        <v>666</v>
      </c>
      <c r="B106" s="271" t="s">
        <v>1009</v>
      </c>
      <c r="C106" s="424"/>
      <c r="D106" s="424"/>
      <c r="E106" s="424"/>
      <c r="F106" s="419">
        <v>0.05</v>
      </c>
    </row>
    <row r="107" spans="1:6" ht="24.75" thickBot="1">
      <c r="A107" s="277" t="s">
        <v>666</v>
      </c>
      <c r="B107" s="271" t="s">
        <v>1010</v>
      </c>
      <c r="C107" s="424"/>
      <c r="D107" s="424"/>
      <c r="E107" s="424"/>
      <c r="F107" s="419">
        <v>0.05</v>
      </c>
    </row>
    <row r="108" spans="1:6" ht="24.75" thickBot="1">
      <c r="A108" s="277" t="s">
        <v>666</v>
      </c>
      <c r="B108" s="271" t="s">
        <v>1011</v>
      </c>
      <c r="C108" s="424"/>
      <c r="D108" s="424"/>
      <c r="E108" s="424"/>
      <c r="F108" s="419">
        <v>0.05</v>
      </c>
    </row>
    <row r="109" spans="1:6" ht="24.75" thickBot="1">
      <c r="A109" s="294" t="s">
        <v>666</v>
      </c>
      <c r="B109" s="287" t="s">
        <v>1012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1013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326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339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352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364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376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388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400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413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424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435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446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457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468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479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489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499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509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519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528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537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545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552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559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1014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573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580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587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1015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1016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1017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607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612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617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1018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1019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1020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1021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1022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1023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1024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1025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650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1026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1027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1028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1029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1030</v>
      </c>
      <c r="C157" s="421"/>
      <c r="D157" s="421"/>
      <c r="E157" s="421"/>
      <c r="F157" s="425">
        <v>0.05</v>
      </c>
    </row>
    <row r="158" spans="1:6" ht="14.25" thickBot="1">
      <c r="A158" s="277" t="s">
        <v>669</v>
      </c>
      <c r="B158" s="278" t="s">
        <v>1031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669</v>
      </c>
      <c r="B159" s="271" t="s">
        <v>327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669</v>
      </c>
      <c r="B160" s="271" t="s">
        <v>340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669</v>
      </c>
      <c r="B161" s="271" t="s">
        <v>353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669</v>
      </c>
      <c r="B162" s="271" t="s">
        <v>365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669</v>
      </c>
      <c r="B163" s="271" t="s">
        <v>377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669</v>
      </c>
      <c r="B164" s="271" t="s">
        <v>389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669</v>
      </c>
      <c r="B165" s="271" t="s">
        <v>401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669</v>
      </c>
      <c r="B166" s="271" t="s">
        <v>414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669</v>
      </c>
      <c r="B167" s="271" t="s">
        <v>425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669</v>
      </c>
      <c r="B168" s="271" t="s">
        <v>436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669</v>
      </c>
      <c r="B169" s="271" t="s">
        <v>447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669</v>
      </c>
      <c r="B170" s="271" t="s">
        <v>458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669</v>
      </c>
      <c r="B171" s="271" t="s">
        <v>1032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669</v>
      </c>
      <c r="B172" s="271" t="s">
        <v>1033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669</v>
      </c>
      <c r="B173" s="271" t="s">
        <v>490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669</v>
      </c>
      <c r="B174" s="271" t="s">
        <v>1034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669</v>
      </c>
      <c r="B175" s="271" t="s">
        <v>1035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669</v>
      </c>
      <c r="B176" s="271" t="s">
        <v>520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669</v>
      </c>
      <c r="B177" s="271" t="s">
        <v>1036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669</v>
      </c>
      <c r="B178" s="271" t="s">
        <v>538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669</v>
      </c>
      <c r="B179" s="271" t="s">
        <v>546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669</v>
      </c>
      <c r="B180" s="271" t="s">
        <v>1037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669</v>
      </c>
      <c r="B181" s="271" t="s">
        <v>560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669</v>
      </c>
      <c r="B182" s="271" t="s">
        <v>567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669</v>
      </c>
      <c r="B183" s="271" t="s">
        <v>574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669</v>
      </c>
      <c r="B184" s="271" t="s">
        <v>581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669</v>
      </c>
      <c r="B185" s="271" t="s">
        <v>1038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669</v>
      </c>
      <c r="B186" s="271" t="s">
        <v>1039</v>
      </c>
      <c r="C186" s="424"/>
      <c r="D186" s="424"/>
      <c r="E186" s="424"/>
      <c r="F186" s="419">
        <v>0.05</v>
      </c>
    </row>
    <row r="187" spans="1:6" ht="14.25" thickBot="1">
      <c r="A187" s="277" t="s">
        <v>669</v>
      </c>
      <c r="B187" s="271" t="s">
        <v>1040</v>
      </c>
      <c r="C187" s="424"/>
      <c r="D187" s="424"/>
      <c r="E187" s="424"/>
      <c r="F187" s="419">
        <v>0.05</v>
      </c>
    </row>
    <row r="188" spans="1:6" ht="14.25" thickBot="1">
      <c r="A188" s="277" t="s">
        <v>669</v>
      </c>
      <c r="B188" s="271" t="s">
        <v>1041</v>
      </c>
      <c r="C188" s="424"/>
      <c r="D188" s="424"/>
      <c r="E188" s="424"/>
      <c r="F188" s="419">
        <v>0.05</v>
      </c>
    </row>
    <row r="189" spans="1:6" ht="24.75" thickBot="1">
      <c r="A189" s="277" t="s">
        <v>669</v>
      </c>
      <c r="B189" s="271" t="s">
        <v>1042</v>
      </c>
      <c r="C189" s="424"/>
      <c r="D189" s="424"/>
      <c r="E189" s="424"/>
      <c r="F189" s="419">
        <v>0.05</v>
      </c>
    </row>
    <row r="190" spans="1:6" ht="24.75" thickBot="1">
      <c r="A190" s="277" t="s">
        <v>669</v>
      </c>
      <c r="B190" s="271" t="s">
        <v>1043</v>
      </c>
      <c r="C190" s="424"/>
      <c r="D190" s="424"/>
      <c r="E190" s="424"/>
      <c r="F190" s="419">
        <v>0.05</v>
      </c>
    </row>
    <row r="191" spans="1:6" ht="24.75" thickBot="1">
      <c r="A191" s="277" t="s">
        <v>669</v>
      </c>
      <c r="B191" s="271" t="s">
        <v>1044</v>
      </c>
      <c r="C191" s="424"/>
      <c r="D191" s="424"/>
      <c r="E191" s="424"/>
      <c r="F191" s="419">
        <v>0.05</v>
      </c>
    </row>
    <row r="192" spans="1:6" ht="24.75" thickBot="1">
      <c r="A192" s="277" t="s">
        <v>669</v>
      </c>
      <c r="B192" s="271" t="s">
        <v>1045</v>
      </c>
      <c r="C192" s="424"/>
      <c r="D192" s="424"/>
      <c r="E192" s="424"/>
      <c r="F192" s="419">
        <v>0.05</v>
      </c>
    </row>
    <row r="193" spans="1:6" ht="24.75" thickBot="1">
      <c r="A193" s="277" t="s">
        <v>669</v>
      </c>
      <c r="B193" s="271" t="s">
        <v>1046</v>
      </c>
      <c r="C193" s="424"/>
      <c r="D193" s="424"/>
      <c r="E193" s="424"/>
      <c r="F193" s="419">
        <v>0.05</v>
      </c>
    </row>
    <row r="194" spans="1:6" ht="24.75" thickBot="1">
      <c r="A194" s="277" t="s">
        <v>669</v>
      </c>
      <c r="B194" s="271" t="s">
        <v>1047</v>
      </c>
      <c r="C194" s="424"/>
      <c r="D194" s="424"/>
      <c r="E194" s="424"/>
      <c r="F194" s="419">
        <v>0.05</v>
      </c>
    </row>
    <row r="195" spans="1:6" ht="14.25" thickBot="1">
      <c r="A195" s="277" t="s">
        <v>669</v>
      </c>
      <c r="B195" s="271" t="s">
        <v>1048</v>
      </c>
      <c r="C195" s="424"/>
      <c r="D195" s="424"/>
      <c r="E195" s="424"/>
      <c r="F195" s="419">
        <v>0.05</v>
      </c>
    </row>
    <row r="196" spans="1:6" ht="24.75" thickBot="1">
      <c r="A196" s="277" t="s">
        <v>669</v>
      </c>
      <c r="B196" s="271" t="s">
        <v>1049</v>
      </c>
      <c r="C196" s="424"/>
      <c r="D196" s="424"/>
      <c r="E196" s="424"/>
      <c r="F196" s="419">
        <v>0.05</v>
      </c>
    </row>
    <row r="197" spans="1:6" ht="24.75" thickBot="1">
      <c r="A197" s="277" t="s">
        <v>669</v>
      </c>
      <c r="B197" s="271" t="s">
        <v>1050</v>
      </c>
      <c r="C197" s="424"/>
      <c r="D197" s="424"/>
      <c r="E197" s="424"/>
      <c r="F197" s="419">
        <v>0.05</v>
      </c>
    </row>
    <row r="198" spans="1:6" ht="24.75" thickBot="1">
      <c r="A198" s="277" t="s">
        <v>669</v>
      </c>
      <c r="B198" s="271" t="s">
        <v>1051</v>
      </c>
      <c r="C198" s="424"/>
      <c r="D198" s="424"/>
      <c r="E198" s="424"/>
      <c r="F198" s="419">
        <v>0.05</v>
      </c>
    </row>
    <row r="199" spans="1:6" ht="24.75" thickBot="1">
      <c r="A199" s="277" t="s">
        <v>669</v>
      </c>
      <c r="B199" s="271" t="s">
        <v>1052</v>
      </c>
      <c r="C199" s="424"/>
      <c r="D199" s="424"/>
      <c r="E199" s="424"/>
      <c r="F199" s="419">
        <v>0.05</v>
      </c>
    </row>
    <row r="200" spans="1:6" ht="24.75" thickBot="1">
      <c r="A200" s="277" t="s">
        <v>669</v>
      </c>
      <c r="B200" s="271" t="s">
        <v>1053</v>
      </c>
      <c r="C200" s="424"/>
      <c r="D200" s="424"/>
      <c r="E200" s="424"/>
      <c r="F200" s="419">
        <v>0.05</v>
      </c>
    </row>
    <row r="201" spans="1:6" ht="24.75" thickBot="1">
      <c r="A201" s="277" t="s">
        <v>669</v>
      </c>
      <c r="B201" s="271" t="s">
        <v>1054</v>
      </c>
      <c r="C201" s="424"/>
      <c r="D201" s="424"/>
      <c r="E201" s="424"/>
      <c r="F201" s="419">
        <v>0.05</v>
      </c>
    </row>
    <row r="202" spans="1:6" ht="24.75" thickBot="1">
      <c r="A202" s="277" t="s">
        <v>669</v>
      </c>
      <c r="B202" s="271" t="s">
        <v>1055</v>
      </c>
      <c r="C202" s="424"/>
      <c r="D202" s="424"/>
      <c r="E202" s="424"/>
      <c r="F202" s="419">
        <v>0.05</v>
      </c>
    </row>
    <row r="203" spans="1:6" ht="24.75" thickBot="1">
      <c r="A203" s="277" t="s">
        <v>669</v>
      </c>
      <c r="B203" s="271" t="s">
        <v>1056</v>
      </c>
      <c r="C203" s="424"/>
      <c r="D203" s="424"/>
      <c r="E203" s="424"/>
      <c r="F203" s="419">
        <v>0.05</v>
      </c>
    </row>
    <row r="204" spans="1:6" ht="14.25" thickBot="1">
      <c r="A204" s="277" t="s">
        <v>669</v>
      </c>
      <c r="B204" s="271" t="s">
        <v>1057</v>
      </c>
      <c r="C204" s="424"/>
      <c r="D204" s="424"/>
      <c r="E204" s="424"/>
      <c r="F204" s="419">
        <v>0.05</v>
      </c>
    </row>
    <row r="205" spans="1:6" ht="14.25" thickBot="1">
      <c r="A205" s="294" t="s">
        <v>669</v>
      </c>
      <c r="B205" s="287" t="s">
        <v>1058</v>
      </c>
      <c r="C205" s="421"/>
      <c r="D205" s="421"/>
      <c r="E205" s="421"/>
      <c r="F205" s="425">
        <v>0.05</v>
      </c>
    </row>
    <row r="206" spans="1:6" ht="14.25" thickBot="1">
      <c r="A206" s="277" t="s">
        <v>671</v>
      </c>
      <c r="B206" s="278" t="s">
        <v>1059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671</v>
      </c>
      <c r="B207" s="271" t="s">
        <v>328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671</v>
      </c>
      <c r="B208" s="271" t="s">
        <v>341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671</v>
      </c>
      <c r="B209" s="271" t="s">
        <v>354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671</v>
      </c>
      <c r="B210" s="271" t="s">
        <v>1060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671</v>
      </c>
      <c r="B211" s="271" t="s">
        <v>1061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671</v>
      </c>
      <c r="B212" s="271" t="s">
        <v>1062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671</v>
      </c>
      <c r="B213" s="271" t="s">
        <v>402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671</v>
      </c>
      <c r="B214" s="271" t="s">
        <v>415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671</v>
      </c>
      <c r="B215" s="271" t="s">
        <v>1063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671</v>
      </c>
      <c r="B216" s="271" t="s">
        <v>437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671</v>
      </c>
      <c r="B217" s="271" t="s">
        <v>448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671</v>
      </c>
      <c r="B218" s="271" t="s">
        <v>1064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671</v>
      </c>
      <c r="B219" s="271" t="s">
        <v>470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671</v>
      </c>
      <c r="B220" s="271" t="s">
        <v>1065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671</v>
      </c>
      <c r="B221" s="271" t="s">
        <v>491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671</v>
      </c>
      <c r="B222" s="271" t="s">
        <v>501</v>
      </c>
      <c r="C222" s="418"/>
      <c r="D222" s="424"/>
      <c r="E222" s="424"/>
      <c r="F222" s="419">
        <v>0.1</v>
      </c>
    </row>
    <row r="223" spans="1:6" ht="14.25" thickBot="1">
      <c r="A223" s="277" t="s">
        <v>671</v>
      </c>
      <c r="B223" s="271" t="s">
        <v>511</v>
      </c>
      <c r="C223" s="418"/>
      <c r="D223" s="424"/>
      <c r="E223" s="424"/>
      <c r="F223" s="419">
        <v>0.15</v>
      </c>
    </row>
    <row r="224" spans="1:6" ht="14.25" thickBot="1">
      <c r="A224" s="277" t="s">
        <v>671</v>
      </c>
      <c r="B224" s="271" t="s">
        <v>521</v>
      </c>
      <c r="C224" s="418"/>
      <c r="D224" s="424"/>
      <c r="E224" s="424"/>
      <c r="F224" s="419">
        <v>0.15</v>
      </c>
    </row>
    <row r="225" spans="1:6" ht="14.25" thickBot="1">
      <c r="A225" s="277" t="s">
        <v>671</v>
      </c>
      <c r="B225" s="271" t="s">
        <v>1066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671</v>
      </c>
      <c r="B226" s="271" t="s">
        <v>539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671</v>
      </c>
      <c r="B227" s="271" t="s">
        <v>1067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671</v>
      </c>
      <c r="B228" s="271" t="s">
        <v>554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671</v>
      </c>
      <c r="B229" s="271" t="s">
        <v>561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671</v>
      </c>
      <c r="B230" s="271" t="s">
        <v>568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671</v>
      </c>
      <c r="B231" s="271" t="s">
        <v>1068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671</v>
      </c>
      <c r="B232" s="271" t="s">
        <v>1069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671</v>
      </c>
      <c r="B233" s="271" t="s">
        <v>1070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671</v>
      </c>
      <c r="B234" s="271" t="s">
        <v>1071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671</v>
      </c>
      <c r="B235" s="271" t="s">
        <v>1072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671</v>
      </c>
      <c r="B236" s="271" t="s">
        <v>604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671</v>
      </c>
      <c r="B237" s="271" t="s">
        <v>1073</v>
      </c>
      <c r="C237" s="424"/>
      <c r="D237" s="424"/>
      <c r="E237" s="424"/>
      <c r="F237" s="419">
        <v>0.05</v>
      </c>
    </row>
    <row r="238" spans="1:6" ht="24.75" thickBot="1">
      <c r="A238" s="277" t="s">
        <v>671</v>
      </c>
      <c r="B238" s="271" t="s">
        <v>1074</v>
      </c>
      <c r="C238" s="424"/>
      <c r="D238" s="424"/>
      <c r="E238" s="424"/>
      <c r="F238" s="419">
        <v>0.05</v>
      </c>
    </row>
    <row r="239" spans="1:6" ht="24.75" thickBot="1">
      <c r="A239" s="277" t="s">
        <v>671</v>
      </c>
      <c r="B239" s="271" t="s">
        <v>1075</v>
      </c>
      <c r="C239" s="424"/>
      <c r="D239" s="424"/>
      <c r="E239" s="424"/>
      <c r="F239" s="419">
        <v>0.05</v>
      </c>
    </row>
    <row r="240" spans="1:6" ht="24.75" thickBot="1">
      <c r="A240" s="277" t="s">
        <v>671</v>
      </c>
      <c r="B240" s="271" t="s">
        <v>1076</v>
      </c>
      <c r="C240" s="424"/>
      <c r="D240" s="424"/>
      <c r="E240" s="424"/>
      <c r="F240" s="419">
        <v>0.05</v>
      </c>
    </row>
    <row r="241" spans="1:6" ht="24.75" thickBot="1">
      <c r="A241" s="277" t="s">
        <v>671</v>
      </c>
      <c r="B241" s="271" t="s">
        <v>1077</v>
      </c>
      <c r="C241" s="424"/>
      <c r="D241" s="424"/>
      <c r="E241" s="424"/>
      <c r="F241" s="419">
        <v>0.05</v>
      </c>
    </row>
    <row r="242" spans="1:6" ht="24.75" thickBot="1">
      <c r="A242" s="277" t="s">
        <v>671</v>
      </c>
      <c r="B242" s="271" t="s">
        <v>1078</v>
      </c>
      <c r="C242" s="424"/>
      <c r="D242" s="424"/>
      <c r="E242" s="424"/>
      <c r="F242" s="419">
        <v>0.05</v>
      </c>
    </row>
    <row r="243" spans="1:6" ht="24.75" thickBot="1">
      <c r="A243" s="277" t="s">
        <v>671</v>
      </c>
      <c r="B243" s="271" t="s">
        <v>1079</v>
      </c>
      <c r="C243" s="424"/>
      <c r="D243" s="424"/>
      <c r="E243" s="424"/>
      <c r="F243" s="419">
        <v>0.05</v>
      </c>
    </row>
    <row r="244" spans="1:6" ht="24.75" thickBot="1">
      <c r="A244" s="294" t="s">
        <v>671</v>
      </c>
      <c r="B244" s="287" t="s">
        <v>1080</v>
      </c>
      <c r="C244" s="421"/>
      <c r="D244" s="421"/>
      <c r="E244" s="421"/>
      <c r="F244" s="425">
        <v>0.05</v>
      </c>
    </row>
    <row r="245" spans="1:6" ht="14.25" thickBot="1">
      <c r="A245" s="277" t="s">
        <v>673</v>
      </c>
      <c r="B245" s="278" t="s">
        <v>1081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673</v>
      </c>
      <c r="B246" s="271" t="s">
        <v>329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673</v>
      </c>
      <c r="B247" s="271" t="s">
        <v>1082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673</v>
      </c>
      <c r="B248" s="271" t="s">
        <v>1083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673</v>
      </c>
      <c r="B249" s="271" t="s">
        <v>1084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673</v>
      </c>
      <c r="B250" s="271" t="s">
        <v>1085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673</v>
      </c>
      <c r="B251" s="271" t="s">
        <v>391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673</v>
      </c>
      <c r="B252" s="271" t="s">
        <v>403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673</v>
      </c>
      <c r="B253" s="271" t="s">
        <v>416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673</v>
      </c>
      <c r="B254" s="271" t="s">
        <v>427</v>
      </c>
      <c r="C254" s="424"/>
      <c r="D254" s="424"/>
      <c r="E254" s="424"/>
      <c r="F254" s="419">
        <v>0.15</v>
      </c>
    </row>
    <row r="255" spans="1:6" ht="14.25" thickBot="1">
      <c r="A255" s="277" t="s">
        <v>673</v>
      </c>
      <c r="B255" s="271" t="s">
        <v>438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673</v>
      </c>
      <c r="B256" s="271" t="s">
        <v>1086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673</v>
      </c>
      <c r="B257" s="271" t="s">
        <v>460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673</v>
      </c>
      <c r="B258" s="271" t="s">
        <v>471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673</v>
      </c>
      <c r="B259" s="271" t="s">
        <v>1087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673</v>
      </c>
      <c r="B260" s="271" t="s">
        <v>492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673</v>
      </c>
      <c r="B261" s="271" t="s">
        <v>502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673</v>
      </c>
      <c r="B262" s="271" t="s">
        <v>512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673</v>
      </c>
      <c r="B263" s="271" t="s">
        <v>1088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673</v>
      </c>
      <c r="B264" s="271" t="s">
        <v>531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673</v>
      </c>
      <c r="B265" s="271" t="s">
        <v>540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673</v>
      </c>
      <c r="B266" s="271" t="s">
        <v>548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673</v>
      </c>
      <c r="B267" s="271" t="s">
        <v>555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673</v>
      </c>
      <c r="B268" s="271" t="s">
        <v>1089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673</v>
      </c>
      <c r="B269" s="271" t="s">
        <v>569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673</v>
      </c>
      <c r="B270" s="271" t="s">
        <v>576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673</v>
      </c>
      <c r="B271" s="271" t="s">
        <v>583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673</v>
      </c>
      <c r="B272" s="271" t="s">
        <v>590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673</v>
      </c>
      <c r="B273" s="271" t="s">
        <v>1090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673</v>
      </c>
      <c r="B274" s="271" t="s">
        <v>1091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673</v>
      </c>
      <c r="B275" s="271" t="s">
        <v>1092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673</v>
      </c>
      <c r="B276" s="271" t="s">
        <v>1093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673</v>
      </c>
      <c r="B277" s="271" t="s">
        <v>1094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673</v>
      </c>
      <c r="B278" s="271" t="s">
        <v>1095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673</v>
      </c>
      <c r="B279" s="271" t="s">
        <v>1096</v>
      </c>
      <c r="C279" s="424"/>
      <c r="D279" s="424"/>
      <c r="E279" s="424"/>
      <c r="F279" s="419">
        <v>0.05</v>
      </c>
    </row>
    <row r="280" spans="1:6" ht="24.75" thickBot="1">
      <c r="A280" s="277" t="s">
        <v>673</v>
      </c>
      <c r="B280" s="271" t="s">
        <v>1097</v>
      </c>
      <c r="C280" s="424"/>
      <c r="D280" s="424"/>
      <c r="E280" s="424"/>
      <c r="F280" s="419">
        <v>0.05</v>
      </c>
    </row>
    <row r="281" spans="1:6" ht="24.75" thickBot="1">
      <c r="A281" s="277" t="s">
        <v>673</v>
      </c>
      <c r="B281" s="271" t="s">
        <v>1098</v>
      </c>
      <c r="C281" s="424"/>
      <c r="D281" s="424"/>
      <c r="E281" s="424"/>
      <c r="F281" s="419">
        <v>0.05</v>
      </c>
    </row>
    <row r="282" spans="1:6" ht="24.75" thickBot="1">
      <c r="A282" s="277" t="s">
        <v>673</v>
      </c>
      <c r="B282" s="271" t="s">
        <v>1099</v>
      </c>
      <c r="C282" s="424"/>
      <c r="D282" s="424"/>
      <c r="E282" s="424"/>
      <c r="F282" s="419">
        <v>0.05</v>
      </c>
    </row>
    <row r="283" spans="1:6" ht="24.75" thickBot="1">
      <c r="A283" s="277" t="s">
        <v>673</v>
      </c>
      <c r="B283" s="271" t="s">
        <v>1100</v>
      </c>
      <c r="C283" s="424"/>
      <c r="D283" s="424"/>
      <c r="E283" s="424"/>
      <c r="F283" s="419">
        <v>0.05</v>
      </c>
    </row>
    <row r="284" spans="1:6" ht="24.75" thickBot="1">
      <c r="A284" s="277" t="s">
        <v>673</v>
      </c>
      <c r="B284" s="271" t="s">
        <v>1101</v>
      </c>
      <c r="C284" s="424"/>
      <c r="D284" s="424"/>
      <c r="E284" s="424"/>
      <c r="F284" s="419">
        <v>0.05</v>
      </c>
    </row>
    <row r="285" spans="1:6" ht="24.75" thickBot="1">
      <c r="A285" s="277" t="s">
        <v>673</v>
      </c>
      <c r="B285" s="271" t="s">
        <v>1102</v>
      </c>
      <c r="C285" s="424"/>
      <c r="D285" s="424"/>
      <c r="E285" s="424"/>
      <c r="F285" s="419">
        <v>0.05</v>
      </c>
    </row>
    <row r="286" spans="1:6" ht="24.75" thickBot="1">
      <c r="A286" s="277" t="s">
        <v>673</v>
      </c>
      <c r="B286" s="271" t="s">
        <v>1103</v>
      </c>
      <c r="C286" s="424"/>
      <c r="D286" s="424"/>
      <c r="E286" s="424"/>
      <c r="F286" s="419">
        <v>0.05</v>
      </c>
    </row>
    <row r="287" spans="1:6" ht="24.75" thickBot="1">
      <c r="A287" s="277" t="s">
        <v>673</v>
      </c>
      <c r="B287" s="271" t="s">
        <v>1104</v>
      </c>
      <c r="C287" s="424"/>
      <c r="D287" s="424"/>
      <c r="E287" s="424"/>
      <c r="F287" s="419">
        <v>0.05</v>
      </c>
    </row>
    <row r="288" spans="1:6" ht="24.75" thickBot="1">
      <c r="A288" s="277" t="s">
        <v>673</v>
      </c>
      <c r="B288" s="271" t="s">
        <v>1105</v>
      </c>
      <c r="C288" s="424"/>
      <c r="D288" s="424"/>
      <c r="E288" s="424"/>
      <c r="F288" s="419">
        <v>0.05</v>
      </c>
    </row>
    <row r="289" spans="1:6" ht="24.75" thickBot="1">
      <c r="A289" s="294" t="s">
        <v>673</v>
      </c>
      <c r="B289" s="287" t="s">
        <v>1106</v>
      </c>
      <c r="C289" s="421"/>
      <c r="D289" s="421"/>
      <c r="E289" s="421"/>
      <c r="F289" s="425">
        <v>0.05</v>
      </c>
    </row>
    <row r="290" spans="1:6" ht="14.25" thickBot="1">
      <c r="A290" s="277" t="s">
        <v>677</v>
      </c>
      <c r="B290" s="278" t="s">
        <v>1107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677</v>
      </c>
      <c r="B291" s="271" t="s">
        <v>330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677</v>
      </c>
      <c r="B292" s="271" t="s">
        <v>1108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677</v>
      </c>
      <c r="B293" s="271" t="s">
        <v>1109</v>
      </c>
      <c r="C293" s="424"/>
      <c r="D293" s="424"/>
      <c r="E293" s="424"/>
      <c r="F293" s="419">
        <v>0.1</v>
      </c>
    </row>
    <row r="294" spans="1:6" ht="14.25" thickBot="1">
      <c r="A294" s="277" t="s">
        <v>677</v>
      </c>
      <c r="B294" s="271" t="s">
        <v>1110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677</v>
      </c>
      <c r="B295" s="271" t="s">
        <v>368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677</v>
      </c>
      <c r="B296" s="271" t="s">
        <v>1111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677</v>
      </c>
      <c r="B297" s="271" t="s">
        <v>1112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677</v>
      </c>
      <c r="B298" s="271" t="s">
        <v>404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677</v>
      </c>
      <c r="B299" s="271" t="s">
        <v>417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677</v>
      </c>
      <c r="B300" s="271" t="s">
        <v>1113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677</v>
      </c>
      <c r="B301" s="271" t="s">
        <v>439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677</v>
      </c>
      <c r="B302" s="271" t="s">
        <v>1114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677</v>
      </c>
      <c r="B303" s="271" t="s">
        <v>461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677</v>
      </c>
      <c r="B304" s="271" t="s">
        <v>472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677</v>
      </c>
      <c r="B305" s="271" t="s">
        <v>1115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677</v>
      </c>
      <c r="B306" s="271" t="s">
        <v>493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677</v>
      </c>
      <c r="B307" s="271" t="s">
        <v>1116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677</v>
      </c>
      <c r="B308" s="271" t="s">
        <v>513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677</v>
      </c>
      <c r="B309" s="271" t="s">
        <v>523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677</v>
      </c>
      <c r="B310" s="271" t="s">
        <v>1117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677</v>
      </c>
      <c r="B311" s="271" t="s">
        <v>1118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677</v>
      </c>
      <c r="B312" s="271" t="s">
        <v>549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677</v>
      </c>
      <c r="B313" s="271" t="s">
        <v>1119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677</v>
      </c>
      <c r="B314" s="271" t="s">
        <v>1120</v>
      </c>
      <c r="C314" s="424"/>
      <c r="D314" s="424"/>
      <c r="E314" s="424"/>
      <c r="F314" s="419">
        <v>0.05</v>
      </c>
    </row>
    <row r="315" spans="1:6" ht="24.75" thickBot="1">
      <c r="A315" s="277" t="s">
        <v>677</v>
      </c>
      <c r="B315" s="271" t="s">
        <v>1121</v>
      </c>
      <c r="C315" s="424"/>
      <c r="D315" s="424"/>
      <c r="E315" s="424"/>
      <c r="F315" s="419">
        <v>0.05</v>
      </c>
    </row>
    <row r="316" spans="1:6" ht="24.75" thickBot="1">
      <c r="A316" s="294" t="s">
        <v>677</v>
      </c>
      <c r="B316" s="287" t="s">
        <v>1122</v>
      </c>
      <c r="C316" s="421"/>
      <c r="D316" s="421"/>
      <c r="E316" s="421"/>
      <c r="F316" s="425">
        <v>0.05</v>
      </c>
    </row>
    <row r="317" spans="1:6" ht="14.25" thickBot="1">
      <c r="A317" s="277" t="s">
        <v>1123</v>
      </c>
      <c r="B317" s="278" t="s">
        <v>1124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1123</v>
      </c>
      <c r="B318" s="271" t="s">
        <v>1125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1123</v>
      </c>
      <c r="B319" s="271" t="s">
        <v>1126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1123</v>
      </c>
      <c r="B320" s="271" t="s">
        <v>357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1123</v>
      </c>
      <c r="B321" s="271" t="s">
        <v>1127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1123</v>
      </c>
      <c r="B322" s="271" t="s">
        <v>1128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1123</v>
      </c>
      <c r="B323" s="271" t="s">
        <v>1129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1123</v>
      </c>
      <c r="B324" s="271" t="s">
        <v>1130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1123</v>
      </c>
      <c r="B325" s="271" t="s">
        <v>1131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1123</v>
      </c>
      <c r="B326" s="271" t="s">
        <v>429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1123</v>
      </c>
      <c r="B327" s="271" t="s">
        <v>1132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1123</v>
      </c>
      <c r="B328" s="271" t="s">
        <v>451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1123</v>
      </c>
      <c r="B329" s="271" t="s">
        <v>462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1123</v>
      </c>
      <c r="B330" s="271" t="s">
        <v>473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1123</v>
      </c>
      <c r="B331" s="271" t="s">
        <v>1133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1123</v>
      </c>
      <c r="B332" s="271" t="s">
        <v>494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1123</v>
      </c>
      <c r="B333" s="271" t="s">
        <v>1134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1123</v>
      </c>
      <c r="B334" s="271" t="s">
        <v>514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1123</v>
      </c>
      <c r="B335" s="271" t="s">
        <v>524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1123</v>
      </c>
      <c r="B336" s="271" t="s">
        <v>1135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1123</v>
      </c>
      <c r="B337" s="287" t="s">
        <v>542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1136</v>
      </c>
      <c r="B338" s="278" t="s">
        <v>1137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1136</v>
      </c>
      <c r="B339" s="271" t="s">
        <v>1138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1136</v>
      </c>
      <c r="B340" s="271" t="s">
        <v>1139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1136</v>
      </c>
      <c r="B341" s="271" t="s">
        <v>1140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1136</v>
      </c>
      <c r="B342" s="271" t="s">
        <v>1141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1136</v>
      </c>
      <c r="B343" s="271" t="s">
        <v>1142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1136</v>
      </c>
      <c r="B344" s="287" t="s">
        <v>1143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939" t="s">
        <v>292</v>
      </c>
      <c r="B1" s="1939"/>
      <c r="C1" s="1939"/>
      <c r="D1" s="1939"/>
      <c r="E1" s="1939"/>
      <c r="F1" s="1939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940" t="s">
        <v>305</v>
      </c>
      <c r="B2" s="1940"/>
      <c r="C2" s="1940"/>
      <c r="D2" s="1940"/>
      <c r="E2" s="1940"/>
      <c r="F2" s="1940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941" t="s">
        <v>318</v>
      </c>
      <c r="B3" s="272"/>
      <c r="C3" s="273" t="s">
        <v>319</v>
      </c>
      <c r="D3" s="273" t="s">
        <v>1315</v>
      </c>
      <c r="E3" s="273" t="s">
        <v>1316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942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7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5" t="s">
        <v>1315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5" t="s">
        <v>1316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1774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6" t="s">
        <v>971</v>
      </c>
      <c r="D17" s="325"/>
      <c r="E17" s="248" t="s">
        <v>702</v>
      </c>
      <c r="F17" s="326"/>
      <c r="G17" s="326"/>
    </row>
    <row r="18" spans="1:9" s="332" customFormat="1" ht="19.5" customHeight="1">
      <c r="A18" s="1921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921"/>
      <c r="B19" s="1921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921"/>
      <c r="B20" s="1921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921"/>
      <c r="B21" s="1921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921"/>
      <c r="B22" s="1921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921" t="s">
        <v>1315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921"/>
      <c r="B24" s="1921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921"/>
      <c r="B25" s="1921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921"/>
      <c r="B26" s="1921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921"/>
      <c r="B27" s="1921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921"/>
      <c r="B28" s="1921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921"/>
      <c r="B29" s="1921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921"/>
      <c r="B30" s="1921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921"/>
      <c r="B31" s="1921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921"/>
      <c r="B32" s="1921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921" t="s">
        <v>1314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921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921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921"/>
      <c r="B36" s="1921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921"/>
      <c r="B37" s="1921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921"/>
      <c r="B38" s="1921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921"/>
      <c r="B39" s="1921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1317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1"/>
      <c r="B60" s="391"/>
      <c r="C60" s="391" t="s">
        <v>888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921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921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921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921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921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921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921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921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921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921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921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921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921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921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921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921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921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921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921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921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921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921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921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921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921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921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921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921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921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921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921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921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921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921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921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921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921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921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921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921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921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921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921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921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921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921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921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921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921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921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0.74370000000000003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F34" sqref="F34"/>
    </sheetView>
  </sheetViews>
  <sheetFormatPr defaultColWidth="9" defaultRowHeight="12"/>
  <cols>
    <col min="1" max="1" width="13.375" style="726" customWidth="1"/>
    <col min="2" max="2" width="19.25" style="794" customWidth="1"/>
    <col min="3" max="4" width="12" style="725" customWidth="1"/>
    <col min="5" max="5" width="14.625" style="725" customWidth="1"/>
    <col min="6" max="6" width="16.875" style="725" customWidth="1"/>
    <col min="7" max="8" width="12" style="725" customWidth="1"/>
    <col min="9" max="9" width="12.25" style="725" bestFit="1" customWidth="1"/>
    <col min="10" max="10" width="12" style="725" customWidth="1"/>
    <col min="11" max="11" width="9.5" style="724" customWidth="1"/>
    <col min="12" max="12" width="12" style="725" customWidth="1"/>
    <col min="13" max="13" width="8.5" style="725" customWidth="1"/>
    <col min="14" max="14" width="9.75" style="725" customWidth="1"/>
    <col min="15" max="25" width="12" style="725" customWidth="1"/>
    <col min="26" max="26" width="9.375" style="726" customWidth="1"/>
    <col min="27" max="32" width="9.375" style="727" customWidth="1"/>
    <col min="33" max="36" width="9.375" style="726" customWidth="1"/>
    <col min="37" max="38" width="9.375" style="725" customWidth="1"/>
    <col min="39" max="16384" width="9" style="725"/>
  </cols>
  <sheetData>
    <row r="1" spans="1:36" ht="20.25">
      <c r="A1" s="720" t="s">
        <v>1401</v>
      </c>
      <c r="B1" s="721"/>
      <c r="C1" s="722"/>
      <c r="D1" s="722"/>
      <c r="E1" s="722"/>
      <c r="F1" s="722"/>
      <c r="G1" s="723" t="s">
        <v>1184</v>
      </c>
      <c r="H1" s="523">
        <f>'主表(商业）'!B7</f>
        <v>72550.03</v>
      </c>
      <c r="I1" s="723" t="s">
        <v>1354</v>
      </c>
      <c r="J1" s="523">
        <f>'主表(商业）'!B6</f>
        <v>8185.16</v>
      </c>
      <c r="AE1" s="728"/>
      <c r="AF1" s="728"/>
    </row>
    <row r="2" spans="1:36" ht="24">
      <c r="A2" s="683" t="s">
        <v>913</v>
      </c>
      <c r="B2" s="630" t="s">
        <v>1570</v>
      </c>
      <c r="C2" s="729" t="s">
        <v>984</v>
      </c>
      <c r="D2" s="730" t="s">
        <v>987</v>
      </c>
      <c r="E2" s="731" t="str">
        <f>'主表(商业）'!B12</f>
        <v>商业</v>
      </c>
      <c r="F2" s="730" t="s">
        <v>689</v>
      </c>
      <c r="G2" s="732" t="str">
        <f>'主表(商业）'!B10</f>
        <v>四级</v>
      </c>
      <c r="H2" s="731" t="s">
        <v>1364</v>
      </c>
      <c r="I2" s="1338" t="s">
        <v>1920</v>
      </c>
      <c r="J2" s="733"/>
      <c r="AE2" s="728"/>
      <c r="AF2" s="728"/>
    </row>
    <row r="3" spans="1:36" ht="24">
      <c r="A3" s="684" t="s">
        <v>916</v>
      </c>
      <c r="B3" s="1425">
        <f>C18</f>
        <v>5878</v>
      </c>
      <c r="C3" s="729" t="s">
        <v>917</v>
      </c>
      <c r="D3" s="730" t="s">
        <v>256</v>
      </c>
      <c r="E3" s="734" t="s">
        <v>1921</v>
      </c>
      <c r="F3" s="1486" t="s">
        <v>1919</v>
      </c>
      <c r="G3" s="238">
        <f>IF(F3="容积率",'主表(商业）'!B8,'主表(商业）'!B9)</f>
        <v>7.09</v>
      </c>
      <c r="H3" s="735" t="s">
        <v>930</v>
      </c>
      <c r="I3" s="26">
        <f>SUMPRODUCT((A89:A92=E2)*(B88:K88=G2)*(B89:K92))</f>
        <v>2</v>
      </c>
      <c r="J3" s="733"/>
      <c r="AE3" s="728"/>
      <c r="AF3" s="728"/>
    </row>
    <row r="4" spans="1:36" ht="15.75">
      <c r="A4" s="683" t="s">
        <v>1579</v>
      </c>
      <c r="B4" s="630">
        <f>C20</f>
        <v>3297</v>
      </c>
      <c r="C4" s="1424" t="s">
        <v>1581</v>
      </c>
      <c r="D4" s="1313"/>
      <c r="E4" s="1314"/>
      <c r="F4" s="1314"/>
      <c r="G4" s="1096"/>
      <c r="H4" s="1315"/>
      <c r="I4" s="675"/>
      <c r="J4" s="733"/>
      <c r="AE4" s="728"/>
      <c r="AF4" s="728"/>
    </row>
    <row r="5" spans="1:36" ht="16.5" thickBot="1">
      <c r="A5" s="723" t="s">
        <v>1580</v>
      </c>
      <c r="B5" s="1423">
        <f>C22</f>
        <v>1319</v>
      </c>
      <c r="C5" s="1426" t="s">
        <v>1582</v>
      </c>
      <c r="D5" s="1336"/>
      <c r="E5" s="1336"/>
      <c r="F5" s="1336"/>
      <c r="G5" s="1336"/>
      <c r="H5" s="1336"/>
      <c r="I5" s="1336"/>
      <c r="J5" s="1337"/>
      <c r="AE5" s="728"/>
      <c r="AF5" s="728"/>
    </row>
    <row r="6" spans="1:36" s="742" customFormat="1" ht="14.25">
      <c r="A6" s="736" t="s">
        <v>918</v>
      </c>
      <c r="B6" s="737" t="s">
        <v>1347</v>
      </c>
      <c r="C6" s="631"/>
      <c r="D6" s="738"/>
      <c r="E6" s="738"/>
      <c r="F6" s="738"/>
      <c r="G6" s="739"/>
      <c r="H6" s="739"/>
      <c r="I6" s="739"/>
      <c r="J6" s="740"/>
      <c r="K6" s="741"/>
      <c r="AE6" s="743"/>
      <c r="AF6" s="743"/>
      <c r="AG6" s="744"/>
      <c r="AH6" s="744"/>
      <c r="AI6" s="744"/>
      <c r="AJ6" s="744"/>
    </row>
    <row r="7" spans="1:36" ht="15.75">
      <c r="A7" s="745">
        <v>1</v>
      </c>
      <c r="B7" s="746" t="s">
        <v>1348</v>
      </c>
      <c r="C7" s="1041">
        <f>IF(I2="地上",'2002地价表'!M1,ROUND('2002地价表'!M1/3,0))</f>
        <v>4405</v>
      </c>
      <c r="D7" s="747" t="s">
        <v>1545</v>
      </c>
      <c r="E7" s="748"/>
      <c r="F7" s="748"/>
      <c r="G7" s="749"/>
      <c r="H7" s="749"/>
      <c r="I7" s="749"/>
      <c r="J7" s="750"/>
      <c r="K7" s="751"/>
      <c r="AE7" s="728"/>
      <c r="AF7" s="728"/>
    </row>
    <row r="8" spans="1:36" ht="16.5" thickBot="1">
      <c r="A8" s="752">
        <v>2</v>
      </c>
      <c r="B8" s="753" t="s">
        <v>1349</v>
      </c>
      <c r="C8" s="1053">
        <f>(1240+1860)/2</f>
        <v>1550</v>
      </c>
      <c r="D8" s="1052" t="str">
        <f>"取值范围:"&amp;SUMPRODUCT(('2002地价表'!K15:K24=G2)*('2002地价表'!L14:O14=E2)*('2002地价表'!L15:O24))&amp;"—"&amp;SUMPRODUCT(('2002地价表'!K15:K24=G2)*('2002地价表'!P14:S14=E2)*('2002地价表'!P15:S24))</f>
        <v>取值范围:1240—1860</v>
      </c>
      <c r="E8" s="1051"/>
      <c r="F8" s="754" t="s">
        <v>1355</v>
      </c>
      <c r="G8" s="755"/>
      <c r="H8" s="755"/>
      <c r="I8" s="755"/>
      <c r="J8" s="756"/>
      <c r="K8" s="751"/>
      <c r="AE8" s="728"/>
      <c r="AF8" s="728"/>
    </row>
    <row r="9" spans="1:36" ht="16.5" thickBot="1">
      <c r="A9" s="1532" t="s">
        <v>932</v>
      </c>
      <c r="B9" s="1619" t="s">
        <v>935</v>
      </c>
      <c r="C9" s="1620">
        <f>IF(OR(H9&gt;=DATE(2014,8,28),H9&lt;DATE(2002,12,10)),0,ROUND(I9/F9,4))</f>
        <v>2.2307999999999999</v>
      </c>
      <c r="D9" s="1621" t="s">
        <v>265</v>
      </c>
      <c r="E9" s="1622">
        <v>37257</v>
      </c>
      <c r="F9" s="1623">
        <f>ROUND(SUMIF(地价!B3:F3,E2,地价!B77:F77),0)</f>
        <v>104</v>
      </c>
      <c r="G9" s="1624" t="s">
        <v>266</v>
      </c>
      <c r="H9" s="1625">
        <f>'主表(商业）'!B4</f>
        <v>40813</v>
      </c>
      <c r="I9" s="1626">
        <f>ROUND(SUMPRODUCT((地价!A27:A77=YEAR(H9)&amp;"-"&amp;ROUNDUP(MONTH(H9)/3,0))*(地价!B3:F3=E2)*(地价!B27:F77)),0)</f>
        <v>232</v>
      </c>
      <c r="J9" s="786"/>
      <c r="AE9" s="728"/>
      <c r="AF9" s="728"/>
    </row>
    <row r="10" spans="1:36" ht="16.5" thickBot="1">
      <c r="A10" s="1627" t="s">
        <v>934</v>
      </c>
      <c r="B10" s="1628" t="s">
        <v>202</v>
      </c>
      <c r="C10" s="1629">
        <f>ROUND(POWER(1+E10,H10-G10)*(POWER(1+E10,G10)-1)/(POWER(1+E10,H10)-1),4)</f>
        <v>0.88260000000000005</v>
      </c>
      <c r="D10" s="1508" t="s">
        <v>939</v>
      </c>
      <c r="E10" s="1509">
        <v>0.04</v>
      </c>
      <c r="F10" s="1630" t="s">
        <v>1651</v>
      </c>
      <c r="G10" s="1631">
        <f>IF(F10="剩余土地使用年限",'主表(商业）'!B15,'主表(商业）'!B16)</f>
        <v>30.59</v>
      </c>
      <c r="H10" s="1631">
        <f>IF(E2="住宅/居住",70,IF(E2="商业",40,50))</f>
        <v>40</v>
      </c>
      <c r="I10" s="1618"/>
      <c r="J10" s="1632"/>
      <c r="AE10" s="728"/>
      <c r="AF10" s="728"/>
    </row>
    <row r="11" spans="1:36" ht="15">
      <c r="A11" s="761" t="s">
        <v>936</v>
      </c>
      <c r="B11" s="762" t="s">
        <v>941</v>
      </c>
      <c r="C11" s="1339">
        <f>IF(E2="工业",1,IF(G3&gt;10,D14,IF(D11="郊区",D13,D12)))</f>
        <v>0.62739999999999996</v>
      </c>
      <c r="D11" s="1515"/>
      <c r="E11" s="739"/>
      <c r="F11" s="739"/>
      <c r="G11" s="739"/>
      <c r="H11" s="739"/>
      <c r="I11" s="739"/>
      <c r="J11" s="763"/>
      <c r="AE11" s="728"/>
      <c r="AF11" s="728"/>
    </row>
    <row r="12" spans="1:36" ht="15">
      <c r="A12" s="703"/>
      <c r="B12" s="764" t="s">
        <v>1362</v>
      </c>
      <c r="C12" s="635" t="s">
        <v>1502</v>
      </c>
      <c r="D12" s="1504">
        <f>IF(E12=G12,F12,IF(G3&lt;=10,ROUND(F12+(H12-F12)*(G3-E12)/(G12-E12),4),"——"))</f>
        <v>0.62739999999999996</v>
      </c>
      <c r="E12" s="1506">
        <f>ROUNDDOWN(G3,1)</f>
        <v>7</v>
      </c>
      <c r="F12" s="1507">
        <f>IF(G3&lt;=10,SUMPRODUCT(('2002容积率修正'!A3:A102=E12)*('2002容积率修正'!B2:D2=E2)*('2002容积率修正'!B3:D102)),"——")</f>
        <v>0.63100000000000001</v>
      </c>
      <c r="G12" s="1505">
        <f>ROUNDUP(G3,1)</f>
        <v>7.1</v>
      </c>
      <c r="H12" s="635">
        <f>IF(G3&lt;=10,SUMPRODUCT(('2002容积率修正'!A3:A102=G12)*('2002容积率修正'!B2:D2=E2)*('2002容积率修正'!B3:D102)),"——")</f>
        <v>0.627</v>
      </c>
      <c r="I12" s="685"/>
      <c r="J12" s="765"/>
      <c r="AE12" s="728"/>
      <c r="AF12" s="728"/>
    </row>
    <row r="13" spans="1:36" ht="15">
      <c r="A13" s="703"/>
      <c r="B13" s="764" t="s">
        <v>1363</v>
      </c>
      <c r="C13" s="635" t="s">
        <v>1502</v>
      </c>
      <c r="D13" s="1504">
        <f>IF(E12=G12,F12,IF(G3&lt;=10,ROUND(F12+(H12-F12)*(G3-E12)/(G12-E12),4),"——"))</f>
        <v>0.62739999999999996</v>
      </c>
      <c r="E13" s="1506">
        <f>ROUNDDOWN(G3,1)</f>
        <v>7</v>
      </c>
      <c r="F13" s="1507">
        <f>IF(G3&lt;=10,SUMPRODUCT(('2002容积率修正'!A3:A102=E13)*('2002容积率修正'!E2:G2=E2)*('2002容积率修正'!E3:G102)),"——")</f>
        <v>0.51200000000000001</v>
      </c>
      <c r="G13" s="1505">
        <f>ROUNDUP(G3,1)</f>
        <v>7.1</v>
      </c>
      <c r="H13" s="635">
        <f>IF(G3&lt;=10,SUMPRODUCT(('2002容积率修正'!A3:A102=G13)*('2002容积率修正'!E2:G2=E2)*('2002容积率修正'!E3:G102)),"——")</f>
        <v>0.50900000000000001</v>
      </c>
      <c r="I13" s="678"/>
      <c r="J13" s="766"/>
      <c r="AE13" s="728"/>
      <c r="AF13" s="728"/>
    </row>
    <row r="14" spans="1:36" ht="15.75" thickBot="1">
      <c r="A14" s="767"/>
      <c r="B14" s="768"/>
      <c r="C14" s="639" t="s">
        <v>284</v>
      </c>
      <c r="D14" s="640" t="str">
        <f>IF(G3&gt;10,B81,"——")</f>
        <v>——</v>
      </c>
      <c r="E14" s="641"/>
      <c r="F14" s="639"/>
      <c r="G14" s="642"/>
      <c r="H14" s="639"/>
      <c r="I14" s="759"/>
      <c r="J14" s="769"/>
      <c r="AE14" s="728"/>
      <c r="AF14" s="728"/>
    </row>
    <row r="15" spans="1:36" ht="16.5" thickBot="1">
      <c r="A15" s="757" t="s">
        <v>940</v>
      </c>
      <c r="B15" s="758" t="s">
        <v>944</v>
      </c>
      <c r="C15" s="634">
        <f>SUMIF(A40:A76,E2,B40:B76)</f>
        <v>1.0802499999999999</v>
      </c>
      <c r="D15" s="770"/>
      <c r="E15" s="771"/>
      <c r="F15" s="771"/>
      <c r="G15" s="771"/>
      <c r="H15" s="771"/>
      <c r="I15" s="771"/>
      <c r="J15" s="772"/>
      <c r="AE15" s="728"/>
      <c r="AF15" s="728"/>
    </row>
    <row r="16" spans="1:36" ht="29.25" thickBot="1">
      <c r="A16" s="1627" t="s">
        <v>1337</v>
      </c>
      <c r="B16" s="1628" t="s">
        <v>1346</v>
      </c>
      <c r="C16" s="1633">
        <v>1</v>
      </c>
      <c r="D16" s="1634" t="s">
        <v>1350</v>
      </c>
      <c r="E16" s="1510" t="s">
        <v>929</v>
      </c>
      <c r="F16" s="1511" t="s">
        <v>1922</v>
      </c>
      <c r="G16" s="1635" t="s">
        <v>931</v>
      </c>
      <c r="H16" s="1636" t="str">
        <f>IF(E2="工业",IF(OR(G2="六级",G2="七级",G2="八级",G2="九级"),"五通一平","七通一平"),IF(OR(G2="七级",G2="八级",G2="九级",G2="十级"),"五通一平","七通一平"))</f>
        <v>七通一平</v>
      </c>
      <c r="I16" s="773"/>
      <c r="J16" s="1637"/>
      <c r="L16" s="724"/>
      <c r="M16" s="724"/>
      <c r="N16" s="724"/>
      <c r="O16" s="724"/>
      <c r="P16" s="724"/>
      <c r="Q16" s="724"/>
      <c r="R16" s="724"/>
      <c r="S16" s="724"/>
      <c r="T16" s="724"/>
      <c r="U16" s="724"/>
      <c r="V16" s="724"/>
      <c r="W16" s="724"/>
      <c r="X16" s="724"/>
      <c r="Y16" s="724"/>
      <c r="Z16" s="724"/>
      <c r="AA16" s="724"/>
      <c r="AB16" s="724"/>
      <c r="AC16" s="724"/>
      <c r="AD16" s="724"/>
      <c r="AE16" s="728"/>
      <c r="AF16" s="728"/>
    </row>
    <row r="17" spans="1:37" ht="12" customHeight="1">
      <c r="A17" s="736" t="s">
        <v>945</v>
      </c>
      <c r="B17" s="774" t="s">
        <v>946</v>
      </c>
      <c r="C17" s="963" t="s">
        <v>1503</v>
      </c>
      <c r="D17" s="775" t="s">
        <v>1353</v>
      </c>
      <c r="E17" s="776" t="s">
        <v>959</v>
      </c>
      <c r="F17" s="738"/>
      <c r="G17" s="739"/>
      <c r="H17" s="739"/>
      <c r="I17" s="739"/>
      <c r="J17" s="740"/>
      <c r="L17" s="724"/>
      <c r="M17" s="724"/>
      <c r="N17" s="724"/>
      <c r="O17" s="724"/>
      <c r="P17" s="724"/>
      <c r="Q17" s="724"/>
      <c r="R17" s="724"/>
      <c r="S17" s="724"/>
      <c r="T17" s="724"/>
      <c r="U17" s="724"/>
      <c r="V17" s="724"/>
      <c r="W17" s="724"/>
      <c r="X17" s="724"/>
      <c r="Y17" s="724"/>
      <c r="Z17" s="724"/>
      <c r="AA17" s="724"/>
      <c r="AB17" s="724"/>
      <c r="AC17" s="724"/>
      <c r="AD17" s="724"/>
      <c r="AE17" s="728"/>
      <c r="AF17" s="728"/>
    </row>
    <row r="18" spans="1:37" s="742" customFormat="1" ht="15.75">
      <c r="A18" s="1943" t="s">
        <v>1351</v>
      </c>
      <c r="B18" s="777" t="s">
        <v>1338</v>
      </c>
      <c r="C18" s="643">
        <f>ROUND(C7*C9*C10*C11*C15*C16,0)</f>
        <v>5878</v>
      </c>
      <c r="D18" s="644">
        <f>H1</f>
        <v>72550.03</v>
      </c>
      <c r="E18" s="645">
        <f>ROUND(C18*D18,0)</f>
        <v>426449076</v>
      </c>
      <c r="F18" s="778" t="s">
        <v>1342</v>
      </c>
      <c r="G18" s="779"/>
      <c r="H18" s="779"/>
      <c r="I18" s="779"/>
      <c r="J18" s="780"/>
      <c r="K18" s="781"/>
      <c r="L18" s="724"/>
      <c r="M18" s="724"/>
      <c r="N18" s="724"/>
      <c r="O18" s="724"/>
      <c r="P18" s="724"/>
      <c r="Q18" s="724"/>
      <c r="R18" s="724"/>
      <c r="S18" s="724"/>
      <c r="T18" s="724"/>
      <c r="U18" s="724"/>
      <c r="V18" s="724"/>
      <c r="W18" s="724"/>
      <c r="X18" s="724"/>
      <c r="Y18" s="724"/>
      <c r="Z18" s="728"/>
      <c r="AA18" s="728"/>
      <c r="AB18" s="728"/>
      <c r="AC18" s="728"/>
      <c r="AD18" s="728"/>
      <c r="AE18" s="728"/>
      <c r="AF18" s="728"/>
      <c r="AG18" s="726"/>
      <c r="AH18" s="726"/>
      <c r="AI18" s="726"/>
    </row>
    <row r="19" spans="1:37" s="742" customFormat="1" ht="15">
      <c r="A19" s="1944"/>
      <c r="B19" s="782" t="s">
        <v>1341</v>
      </c>
      <c r="C19" s="635">
        <f>ROUND(C7*C9*C10*C11*C15*C16*G3,0)</f>
        <v>41676</v>
      </c>
      <c r="D19" s="644">
        <f>J1</f>
        <v>8185.16</v>
      </c>
      <c r="E19" s="645">
        <f>ROUND(C19*D19,0)</f>
        <v>341124728</v>
      </c>
      <c r="F19" s="783" t="s">
        <v>1343</v>
      </c>
      <c r="G19" s="749"/>
      <c r="H19" s="749"/>
      <c r="I19" s="749"/>
      <c r="J19" s="750"/>
      <c r="K19" s="781"/>
      <c r="L19" s="724"/>
      <c r="M19" s="724"/>
      <c r="N19" s="724"/>
      <c r="O19" s="724"/>
      <c r="P19" s="724"/>
      <c r="Q19" s="724"/>
      <c r="R19" s="724"/>
      <c r="S19" s="724"/>
      <c r="T19" s="724"/>
      <c r="U19" s="724"/>
      <c r="V19" s="724"/>
      <c r="W19" s="724"/>
      <c r="X19" s="724"/>
      <c r="Y19" s="724"/>
      <c r="Z19" s="728"/>
      <c r="AA19" s="728"/>
      <c r="AB19" s="728"/>
      <c r="AC19" s="728"/>
      <c r="AD19" s="728"/>
      <c r="AE19" s="728"/>
      <c r="AF19" s="728"/>
      <c r="AG19" s="726"/>
      <c r="AH19" s="726"/>
      <c r="AI19" s="726"/>
    </row>
    <row r="20" spans="1:37" s="742" customFormat="1" ht="15">
      <c r="A20" s="1945" t="s">
        <v>1352</v>
      </c>
      <c r="B20" s="764" t="s">
        <v>1339</v>
      </c>
      <c r="C20" s="649">
        <f>ROUND(IF(G3&gt;=I3,C8*C9*C10*C15,C8*C9*C10*C15*G3),0)</f>
        <v>3297</v>
      </c>
      <c r="D20" s="650">
        <f>H1</f>
        <v>72550.03</v>
      </c>
      <c r="E20" s="651">
        <f>ROUND(C20*D20,0)</f>
        <v>239197449</v>
      </c>
      <c r="F20" s="784" t="s">
        <v>1344</v>
      </c>
      <c r="G20" s="785"/>
      <c r="H20" s="785"/>
      <c r="I20" s="785"/>
      <c r="J20" s="786"/>
      <c r="K20" s="781"/>
      <c r="L20" s="724"/>
      <c r="M20" s="724"/>
      <c r="N20" s="724"/>
      <c r="O20" s="724"/>
      <c r="P20" s="724"/>
      <c r="Q20" s="724"/>
      <c r="R20" s="724"/>
      <c r="S20" s="724"/>
      <c r="T20" s="724"/>
      <c r="U20" s="724"/>
      <c r="V20" s="724"/>
      <c r="W20" s="724"/>
      <c r="X20" s="724"/>
      <c r="Y20" s="724"/>
      <c r="Z20" s="728"/>
      <c r="AA20" s="728"/>
      <c r="AB20" s="728"/>
      <c r="AC20" s="728"/>
      <c r="AD20" s="728"/>
      <c r="AE20" s="728"/>
      <c r="AF20" s="728"/>
      <c r="AG20" s="726"/>
      <c r="AH20" s="726"/>
      <c r="AI20" s="726"/>
    </row>
    <row r="21" spans="1:37" s="742" customFormat="1" ht="15">
      <c r="A21" s="1945"/>
      <c r="B21" s="787" t="s">
        <v>1340</v>
      </c>
      <c r="C21" s="652">
        <f>ROUND(IF(G3&lt;I3,C8*C9*C10*C15,C8*C9*C10*C15*G3),0)</f>
        <v>23374</v>
      </c>
      <c r="D21" s="653">
        <f>J1</f>
        <v>8185.16</v>
      </c>
      <c r="E21" s="654">
        <f t="shared" ref="E21" si="0">ROUND(C21*D21,0)</f>
        <v>191319930</v>
      </c>
      <c r="F21" s="788" t="s">
        <v>1345</v>
      </c>
      <c r="G21" s="785"/>
      <c r="H21" s="785"/>
      <c r="I21" s="785"/>
      <c r="J21" s="786"/>
      <c r="K21" s="781"/>
      <c r="L21" s="724"/>
      <c r="M21" s="724"/>
      <c r="N21" s="724"/>
      <c r="O21" s="724"/>
      <c r="P21" s="724"/>
      <c r="Q21" s="724"/>
      <c r="R21" s="724"/>
      <c r="S21" s="724"/>
      <c r="T21" s="724"/>
      <c r="U21" s="724"/>
      <c r="V21" s="724"/>
      <c r="W21" s="724"/>
      <c r="X21" s="724"/>
      <c r="Y21" s="724"/>
      <c r="Z21" s="728"/>
      <c r="AA21" s="728"/>
      <c r="AB21" s="728"/>
      <c r="AC21" s="728"/>
      <c r="AD21" s="728"/>
      <c r="AE21" s="781"/>
      <c r="AF21" s="789"/>
      <c r="AG21" s="790"/>
      <c r="AH21" s="726"/>
      <c r="AI21" s="744"/>
      <c r="AJ21" s="744"/>
      <c r="AK21" s="744"/>
    </row>
    <row r="22" spans="1:37" s="742" customFormat="1" ht="15.75" thickBot="1">
      <c r="A22" s="1638" t="s">
        <v>1361</v>
      </c>
      <c r="B22" s="791"/>
      <c r="C22" s="1758">
        <f>ROUND(IF(D22="四环路内",C20*0.4,C20*0.6),0)</f>
        <v>1319</v>
      </c>
      <c r="D22" s="792" t="s">
        <v>1923</v>
      </c>
      <c r="E22" s="793"/>
      <c r="F22" s="793"/>
      <c r="G22" s="793"/>
      <c r="H22" s="793"/>
      <c r="I22" s="793"/>
      <c r="J22" s="1639"/>
      <c r="K22" s="781"/>
      <c r="L22" s="724"/>
      <c r="M22" s="724"/>
      <c r="N22" s="724"/>
      <c r="O22" s="724"/>
      <c r="P22" s="724"/>
      <c r="Q22" s="724"/>
      <c r="R22" s="724"/>
      <c r="S22" s="724"/>
      <c r="T22" s="724"/>
      <c r="U22" s="724"/>
      <c r="V22" s="724"/>
      <c r="W22" s="724"/>
      <c r="X22" s="724"/>
      <c r="Y22" s="724"/>
      <c r="Z22" s="728"/>
      <c r="AA22" s="728"/>
      <c r="AB22" s="728"/>
      <c r="AC22" s="728"/>
      <c r="AD22" s="728"/>
      <c r="AE22" s="781"/>
      <c r="AF22" s="781"/>
    </row>
    <row r="23" spans="1:37" s="742" customFormat="1" ht="14.25" thickBot="1">
      <c r="A23" s="726"/>
      <c r="B23" s="794"/>
      <c r="C23" s="624"/>
      <c r="D23" s="725"/>
      <c r="E23" s="725"/>
      <c r="F23" s="725"/>
      <c r="G23" s="725"/>
      <c r="H23" s="725"/>
      <c r="I23" s="725"/>
      <c r="J23" s="725"/>
      <c r="K23" s="781"/>
      <c r="L23" s="724"/>
      <c r="M23" s="724"/>
      <c r="N23" s="724"/>
      <c r="O23" s="724"/>
      <c r="P23" s="724"/>
      <c r="Q23" s="724"/>
      <c r="R23" s="724"/>
      <c r="S23" s="724"/>
      <c r="T23" s="724"/>
      <c r="U23" s="724"/>
      <c r="V23" s="724"/>
      <c r="W23" s="724"/>
      <c r="X23" s="724"/>
      <c r="Y23" s="724"/>
      <c r="Z23" s="728"/>
      <c r="AA23" s="728"/>
      <c r="AB23" s="728"/>
      <c r="AC23" s="728"/>
      <c r="AD23" s="728"/>
      <c r="AE23" s="781"/>
      <c r="AF23" s="781"/>
    </row>
    <row r="24" spans="1:37" s="742" customFormat="1" ht="14.25" thickBot="1">
      <c r="A24" s="795" t="s">
        <v>972</v>
      </c>
      <c r="B24" s="379">
        <f>ROUNDDOWN(1+DATEDIF(E9,H9,"M")/3,0)</f>
        <v>39</v>
      </c>
      <c r="C24" s="728"/>
      <c r="D24" s="789"/>
      <c r="E24" s="789"/>
      <c r="F24" s="789"/>
      <c r="G24" s="789"/>
      <c r="H24" s="789"/>
      <c r="I24" s="728"/>
      <c r="J24" s="728"/>
      <c r="K24" s="728"/>
      <c r="L24" s="728"/>
      <c r="M24" s="724"/>
      <c r="N24" s="724"/>
      <c r="O24" s="781"/>
      <c r="P24" s="781"/>
      <c r="Q24" s="781"/>
      <c r="R24" s="781"/>
      <c r="S24" s="781"/>
      <c r="T24" s="724"/>
      <c r="U24" s="724"/>
      <c r="V24" s="724"/>
      <c r="W24" s="724"/>
      <c r="X24" s="724"/>
      <c r="Y24" s="724"/>
      <c r="Z24" s="728"/>
      <c r="AA24" s="728"/>
      <c r="AB24" s="728"/>
      <c r="AC24" s="728"/>
      <c r="AD24" s="728"/>
      <c r="AE24" s="781"/>
      <c r="AF24" s="781"/>
    </row>
    <row r="25" spans="1:37" s="742" customFormat="1" ht="13.5">
      <c r="A25" s="796" t="s">
        <v>267</v>
      </c>
      <c r="B25" s="1411" t="s">
        <v>1504</v>
      </c>
      <c r="C25" s="1485" t="s">
        <v>272</v>
      </c>
      <c r="D25" s="789"/>
      <c r="E25" s="789"/>
      <c r="F25" s="789"/>
      <c r="G25" s="789"/>
      <c r="H25" s="789"/>
      <c r="I25" s="728"/>
      <c r="J25" s="728"/>
      <c r="K25" s="728"/>
      <c r="L25" s="728"/>
      <c r="M25" s="724"/>
      <c r="N25" s="724"/>
      <c r="O25" s="781"/>
      <c r="P25" s="781"/>
      <c r="Q25" s="781"/>
      <c r="R25" s="781"/>
      <c r="S25" s="781"/>
      <c r="T25" s="724"/>
      <c r="U25" s="724"/>
      <c r="V25" s="724"/>
      <c r="W25" s="724"/>
      <c r="X25" s="724"/>
      <c r="Y25" s="724"/>
      <c r="Z25" s="728"/>
      <c r="AA25" s="728"/>
      <c r="AB25" s="728"/>
      <c r="AC25" s="728"/>
      <c r="AD25" s="728"/>
      <c r="AE25" s="781"/>
      <c r="AF25" s="781"/>
    </row>
    <row r="26" spans="1:37" s="742" customFormat="1" ht="14.25">
      <c r="A26" s="800" t="s">
        <v>281</v>
      </c>
      <c r="B26" s="1412"/>
      <c r="C26" s="1435">
        <f>'地价（废）'!L2</f>
        <v>1.9300000000000001E-2</v>
      </c>
      <c r="D26" s="789"/>
      <c r="E26" s="789"/>
      <c r="F26" s="789"/>
      <c r="G26" s="789"/>
      <c r="H26" s="789"/>
      <c r="I26" s="728"/>
      <c r="J26" s="728"/>
      <c r="K26" s="728"/>
      <c r="L26" s="728"/>
      <c r="M26" s="724"/>
      <c r="N26" s="724"/>
      <c r="O26" s="781"/>
      <c r="P26" s="781"/>
      <c r="Q26" s="781"/>
      <c r="R26" s="781"/>
      <c r="S26" s="781"/>
      <c r="T26" s="724"/>
      <c r="U26" s="724"/>
      <c r="V26" s="724"/>
      <c r="W26" s="724"/>
      <c r="X26" s="724"/>
      <c r="Y26" s="724"/>
      <c r="Z26" s="728"/>
      <c r="AA26" s="728"/>
      <c r="AB26" s="728"/>
      <c r="AC26" s="728"/>
      <c r="AD26" s="728"/>
      <c r="AE26" s="781"/>
      <c r="AF26" s="781"/>
    </row>
    <row r="27" spans="1:37" s="742" customFormat="1" ht="14.25">
      <c r="A27" s="800" t="s">
        <v>0</v>
      </c>
      <c r="B27" s="627">
        <v>0.02</v>
      </c>
      <c r="C27" s="1435">
        <f>'地价（废）'!M2</f>
        <v>1.78E-2</v>
      </c>
      <c r="D27" s="789"/>
      <c r="E27" s="789"/>
      <c r="F27" s="789"/>
      <c r="G27" s="789"/>
      <c r="H27" s="789"/>
      <c r="I27" s="728"/>
      <c r="J27" s="728"/>
      <c r="K27" s="728"/>
      <c r="L27" s="728"/>
      <c r="M27" s="724"/>
      <c r="N27" s="724"/>
      <c r="O27" s="781"/>
      <c r="P27" s="781"/>
      <c r="Q27" s="781"/>
      <c r="R27" s="781"/>
      <c r="S27" s="781"/>
      <c r="T27" s="724"/>
      <c r="U27" s="724"/>
      <c r="V27" s="724"/>
      <c r="W27" s="724"/>
      <c r="X27" s="724"/>
      <c r="Y27" s="724"/>
      <c r="Z27" s="728"/>
      <c r="AA27" s="728"/>
      <c r="AB27" s="728"/>
      <c r="AC27" s="728"/>
      <c r="AD27" s="728"/>
      <c r="AE27" s="781"/>
      <c r="AF27" s="781"/>
    </row>
    <row r="28" spans="1:37" s="742" customFormat="1" ht="14.25">
      <c r="A28" s="800" t="s">
        <v>1356</v>
      </c>
      <c r="B28" s="627">
        <v>0.02</v>
      </c>
      <c r="C28" s="1435">
        <f>'地价（废）'!N2</f>
        <v>1.78E-2</v>
      </c>
      <c r="D28" s="789"/>
      <c r="E28" s="789"/>
      <c r="F28" s="789"/>
      <c r="G28" s="789"/>
      <c r="H28" s="789"/>
      <c r="I28" s="728"/>
      <c r="J28" s="728"/>
      <c r="K28" s="728"/>
      <c r="L28" s="728"/>
      <c r="M28" s="724"/>
      <c r="N28" s="724"/>
      <c r="O28" s="781"/>
      <c r="P28" s="781"/>
      <c r="Q28" s="781"/>
      <c r="R28" s="781"/>
      <c r="S28" s="781"/>
      <c r="T28" s="724"/>
      <c r="U28" s="724"/>
      <c r="V28" s="724"/>
      <c r="W28" s="724"/>
      <c r="X28" s="724"/>
      <c r="Y28" s="724"/>
      <c r="Z28" s="728"/>
      <c r="AA28" s="728"/>
      <c r="AB28" s="728"/>
      <c r="AC28" s="728"/>
      <c r="AD28" s="728"/>
      <c r="AE28" s="781"/>
      <c r="AF28" s="781"/>
    </row>
    <row r="29" spans="1:37" s="742" customFormat="1" ht="14.25">
      <c r="A29" s="800" t="s">
        <v>1357</v>
      </c>
      <c r="B29" s="627">
        <v>2.5899999999999999E-2</v>
      </c>
      <c r="C29" s="1435">
        <f>'地价（废）'!O2</f>
        <v>1.9900000000000001E-2</v>
      </c>
      <c r="D29" s="789"/>
      <c r="E29" s="789"/>
      <c r="F29" s="789"/>
      <c r="G29" s="789"/>
      <c r="H29" s="789"/>
      <c r="I29" s="728"/>
      <c r="J29" s="728"/>
      <c r="K29" s="728"/>
      <c r="L29" s="728"/>
      <c r="M29" s="724"/>
      <c r="N29" s="724"/>
      <c r="O29" s="781"/>
      <c r="P29" s="781"/>
      <c r="Q29" s="781"/>
      <c r="R29" s="781"/>
      <c r="S29" s="781"/>
      <c r="T29" s="724"/>
      <c r="U29" s="724"/>
      <c r="V29" s="724"/>
      <c r="W29" s="724"/>
      <c r="X29" s="724"/>
      <c r="Y29" s="724"/>
      <c r="Z29" s="728"/>
      <c r="AA29" s="728"/>
      <c r="AB29" s="728"/>
      <c r="AC29" s="728"/>
      <c r="AD29" s="728"/>
      <c r="AE29" s="781"/>
      <c r="AF29" s="781"/>
    </row>
    <row r="30" spans="1:37" s="742" customFormat="1" ht="15" thickBot="1">
      <c r="A30" s="801" t="s">
        <v>2</v>
      </c>
      <c r="B30" s="628">
        <v>0.02</v>
      </c>
      <c r="C30" s="951">
        <f>'地价（废）'!P2</f>
        <v>1.7899999999999999E-2</v>
      </c>
      <c r="D30" s="789"/>
      <c r="E30" s="789"/>
      <c r="F30" s="789"/>
      <c r="G30" s="789"/>
      <c r="H30" s="789"/>
      <c r="I30" s="728"/>
      <c r="J30" s="728"/>
      <c r="K30" s="728"/>
      <c r="L30" s="728"/>
      <c r="M30" s="724"/>
      <c r="N30" s="724"/>
      <c r="O30" s="781"/>
      <c r="P30" s="781"/>
      <c r="Q30" s="781"/>
      <c r="R30" s="781"/>
      <c r="S30" s="781"/>
      <c r="T30" s="724"/>
      <c r="U30" s="724"/>
      <c r="V30" s="724"/>
      <c r="W30" s="724"/>
      <c r="X30" s="724"/>
      <c r="Y30" s="724"/>
      <c r="Z30" s="728"/>
      <c r="AA30" s="728"/>
      <c r="AB30" s="728"/>
      <c r="AC30" s="728"/>
      <c r="AD30" s="728"/>
      <c r="AE30" s="781"/>
      <c r="AF30" s="781"/>
    </row>
    <row r="31" spans="1:37" s="742" customFormat="1" ht="13.5">
      <c r="A31" s="789"/>
      <c r="B31" s="789"/>
      <c r="C31" s="789"/>
      <c r="D31" s="789"/>
      <c r="E31" s="789"/>
      <c r="F31" s="789"/>
      <c r="G31" s="789"/>
      <c r="H31" s="789"/>
      <c r="I31" s="728"/>
      <c r="J31" s="728"/>
      <c r="K31" s="728"/>
      <c r="L31" s="728"/>
      <c r="M31" s="724"/>
      <c r="N31" s="724"/>
      <c r="O31" s="781"/>
      <c r="P31" s="781"/>
      <c r="Q31" s="781"/>
      <c r="R31" s="781"/>
      <c r="S31" s="781"/>
      <c r="T31" s="724"/>
      <c r="U31" s="724"/>
      <c r="V31" s="724"/>
      <c r="W31" s="724"/>
      <c r="X31" s="724"/>
      <c r="Y31" s="724"/>
      <c r="Z31" s="728"/>
      <c r="AA31" s="728"/>
      <c r="AB31" s="728"/>
      <c r="AC31" s="728"/>
      <c r="AD31" s="728"/>
      <c r="AE31" s="781"/>
      <c r="AF31" s="781"/>
    </row>
    <row r="32" spans="1:37" s="742" customFormat="1" ht="13.5">
      <c r="A32" s="789"/>
      <c r="B32" s="789"/>
      <c r="C32" s="789"/>
      <c r="D32" s="789"/>
      <c r="E32" s="789"/>
      <c r="F32" s="789"/>
      <c r="G32" s="789"/>
      <c r="H32" s="789"/>
      <c r="I32" s="728"/>
      <c r="J32" s="728"/>
      <c r="K32" s="728"/>
      <c r="L32" s="728"/>
      <c r="M32" s="724"/>
      <c r="N32" s="724"/>
      <c r="O32" s="781"/>
      <c r="P32" s="781"/>
      <c r="Q32" s="781"/>
      <c r="R32" s="781"/>
      <c r="S32" s="781"/>
      <c r="T32" s="724"/>
      <c r="U32" s="724"/>
      <c r="V32" s="724"/>
      <c r="W32" s="724"/>
      <c r="X32" s="724"/>
      <c r="Y32" s="724"/>
      <c r="Z32" s="728"/>
      <c r="AA32" s="728"/>
      <c r="AB32" s="728"/>
      <c r="AC32" s="728"/>
      <c r="AD32" s="728"/>
      <c r="AE32" s="781"/>
      <c r="AF32" s="781"/>
    </row>
    <row r="33" spans="1:37" s="742" customFormat="1" ht="13.5">
      <c r="A33" s="789"/>
      <c r="B33" s="789"/>
      <c r="C33" s="789"/>
      <c r="D33" s="789"/>
      <c r="E33" s="789"/>
      <c r="F33" s="789"/>
      <c r="G33" s="789"/>
      <c r="H33" s="789"/>
      <c r="I33" s="728"/>
      <c r="J33" s="728"/>
      <c r="K33" s="728"/>
      <c r="L33" s="728"/>
      <c r="M33" s="724"/>
      <c r="N33" s="724"/>
      <c r="O33" s="781"/>
      <c r="P33" s="781"/>
      <c r="Q33" s="781"/>
      <c r="R33" s="781"/>
      <c r="S33" s="781"/>
      <c r="T33" s="724"/>
      <c r="U33" s="724"/>
      <c r="V33" s="724"/>
      <c r="W33" s="724"/>
      <c r="X33" s="724"/>
      <c r="Y33" s="724"/>
      <c r="Z33" s="728"/>
      <c r="AA33" s="728"/>
      <c r="AB33" s="728"/>
      <c r="AC33" s="728"/>
      <c r="AD33" s="728"/>
      <c r="AE33" s="781"/>
      <c r="AF33" s="781"/>
    </row>
    <row r="34" spans="1:37" s="742" customFormat="1" ht="13.5">
      <c r="A34" s="789"/>
      <c r="B34" s="789"/>
      <c r="C34" s="789"/>
      <c r="D34" s="789"/>
      <c r="E34" s="789"/>
      <c r="F34" s="789"/>
      <c r="G34" s="789"/>
      <c r="H34" s="789"/>
      <c r="I34" s="728"/>
      <c r="J34" s="728"/>
      <c r="K34" s="728"/>
      <c r="L34" s="728"/>
      <c r="M34" s="724"/>
      <c r="N34" s="724"/>
      <c r="O34" s="781"/>
      <c r="P34" s="781"/>
      <c r="Q34" s="781"/>
      <c r="R34" s="781"/>
      <c r="S34" s="781"/>
      <c r="T34" s="724"/>
      <c r="U34" s="724"/>
      <c r="V34" s="724"/>
      <c r="W34" s="724"/>
      <c r="X34" s="724"/>
      <c r="Y34" s="724"/>
      <c r="Z34" s="728"/>
      <c r="AA34" s="728"/>
      <c r="AB34" s="728"/>
      <c r="AC34" s="728"/>
      <c r="AD34" s="728"/>
      <c r="AE34" s="781"/>
      <c r="AF34" s="781"/>
    </row>
    <row r="35" spans="1:37" s="742" customFormat="1" ht="13.5">
      <c r="A35" s="789"/>
      <c r="B35" s="789"/>
      <c r="C35" s="789"/>
      <c r="D35" s="789"/>
      <c r="E35" s="789"/>
      <c r="F35" s="789"/>
      <c r="G35" s="789"/>
      <c r="H35" s="789"/>
      <c r="I35" s="728"/>
      <c r="J35" s="728"/>
      <c r="K35" s="728"/>
      <c r="L35" s="728"/>
      <c r="M35" s="724"/>
      <c r="N35" s="724"/>
      <c r="O35" s="781"/>
      <c r="P35" s="781"/>
      <c r="Q35" s="781"/>
      <c r="R35" s="781"/>
      <c r="S35" s="781"/>
      <c r="T35" s="724"/>
      <c r="U35" s="724"/>
      <c r="V35" s="724"/>
      <c r="W35" s="724"/>
      <c r="X35" s="724"/>
      <c r="Y35" s="724"/>
      <c r="Z35" s="728"/>
      <c r="AA35" s="728"/>
      <c r="AB35" s="728"/>
      <c r="AC35" s="728"/>
      <c r="AD35" s="728"/>
      <c r="AE35" s="781"/>
      <c r="AF35" s="781"/>
    </row>
    <row r="36" spans="1:37" s="742" customFormat="1" ht="13.5">
      <c r="A36" s="726"/>
      <c r="B36" s="794"/>
      <c r="C36" s="725"/>
      <c r="D36" s="789"/>
      <c r="E36" s="789"/>
      <c r="F36" s="789"/>
      <c r="G36" s="789"/>
      <c r="H36" s="789"/>
      <c r="I36" s="728"/>
      <c r="J36" s="728"/>
      <c r="K36" s="728"/>
      <c r="L36" s="728"/>
      <c r="M36" s="724"/>
      <c r="N36" s="724"/>
      <c r="O36" s="781"/>
      <c r="P36" s="781"/>
      <c r="Q36" s="781"/>
      <c r="R36" s="781"/>
      <c r="S36" s="781"/>
      <c r="T36" s="724"/>
      <c r="U36" s="724"/>
      <c r="V36" s="724"/>
      <c r="W36" s="724"/>
      <c r="X36" s="724"/>
      <c r="Y36" s="724"/>
      <c r="Z36" s="728"/>
      <c r="AA36" s="728"/>
      <c r="AB36" s="728"/>
      <c r="AC36" s="728"/>
      <c r="AD36" s="728"/>
      <c r="AE36" s="781"/>
      <c r="AF36" s="781"/>
    </row>
    <row r="37" spans="1:37">
      <c r="A37" s="728"/>
      <c r="B37" s="802"/>
      <c r="C37" s="724"/>
      <c r="D37" s="724"/>
      <c r="E37" s="724"/>
      <c r="F37" s="724"/>
      <c r="G37" s="724"/>
      <c r="H37" s="724"/>
      <c r="I37" s="724"/>
      <c r="J37" s="724"/>
      <c r="L37" s="724"/>
      <c r="M37" s="724"/>
      <c r="N37" s="724"/>
      <c r="O37" s="724"/>
      <c r="P37" s="724"/>
      <c r="Q37" s="724"/>
      <c r="R37" s="724"/>
      <c r="S37" s="724"/>
      <c r="T37" s="724"/>
      <c r="U37" s="724"/>
      <c r="V37" s="724"/>
      <c r="W37" s="724"/>
      <c r="X37" s="724"/>
      <c r="Y37" s="724"/>
      <c r="Z37" s="728"/>
      <c r="AA37" s="728"/>
      <c r="AB37" s="728"/>
      <c r="AC37" s="728"/>
      <c r="AD37" s="728"/>
      <c r="AE37" s="728"/>
      <c r="AF37" s="728"/>
      <c r="AK37" s="726"/>
    </row>
    <row r="38" spans="1:37" s="742" customFormat="1" ht="13.5">
      <c r="A38" s="728"/>
      <c r="B38" s="802"/>
      <c r="C38" s="724"/>
      <c r="D38" s="724"/>
      <c r="E38" s="724"/>
      <c r="F38" s="724"/>
      <c r="G38" s="724"/>
      <c r="H38" s="724"/>
      <c r="I38" s="724"/>
      <c r="J38" s="724"/>
      <c r="K38" s="781"/>
      <c r="L38" s="724"/>
      <c r="M38" s="724"/>
      <c r="N38" s="724"/>
      <c r="O38" s="724"/>
      <c r="P38" s="724"/>
      <c r="Q38" s="724"/>
      <c r="R38" s="724"/>
      <c r="S38" s="724"/>
      <c r="T38" s="724"/>
      <c r="U38" s="724"/>
      <c r="V38" s="724"/>
      <c r="W38" s="724"/>
      <c r="X38" s="724"/>
      <c r="Y38" s="724"/>
      <c r="Z38" s="728"/>
      <c r="AA38" s="728"/>
      <c r="AB38" s="728"/>
      <c r="AC38" s="728"/>
      <c r="AD38" s="728"/>
      <c r="AE38" s="781"/>
      <c r="AF38" s="781"/>
    </row>
    <row r="39" spans="1:37" ht="14.25" thickBot="1">
      <c r="A39" s="240" t="s">
        <v>894</v>
      </c>
      <c r="B39" s="803"/>
      <c r="C39" s="804"/>
      <c r="D39" s="804"/>
      <c r="E39" s="804"/>
      <c r="F39" s="805"/>
      <c r="G39" s="804"/>
      <c r="H39" s="805"/>
      <c r="I39" s="804"/>
      <c r="J39" s="804"/>
      <c r="L39" s="724"/>
      <c r="M39" s="724"/>
      <c r="N39" s="724"/>
      <c r="O39" s="724"/>
      <c r="P39" s="724"/>
      <c r="Q39" s="724"/>
      <c r="R39" s="724"/>
      <c r="S39" s="724"/>
      <c r="T39" s="724"/>
      <c r="U39" s="724"/>
      <c r="V39" s="724"/>
      <c r="W39" s="724"/>
      <c r="X39" s="724"/>
      <c r="Y39" s="724"/>
      <c r="Z39" s="728"/>
      <c r="AA39" s="728"/>
      <c r="AB39" s="728"/>
      <c r="AC39" s="728"/>
      <c r="AD39" s="728"/>
      <c r="AE39" s="728"/>
      <c r="AF39" s="728"/>
    </row>
    <row r="40" spans="1:37" ht="13.5">
      <c r="A40" s="242" t="s">
        <v>0</v>
      </c>
      <c r="B40" s="243">
        <f>1+E42</f>
        <v>1.0802499999999999</v>
      </c>
      <c r="C40" s="806"/>
      <c r="D40" s="807"/>
      <c r="E40" s="808"/>
      <c r="F40" s="493"/>
      <c r="G40" s="805"/>
      <c r="H40" s="804"/>
      <c r="I40" s="804"/>
      <c r="J40" s="804"/>
      <c r="L40" s="724"/>
      <c r="M40" s="724"/>
      <c r="N40" s="724"/>
      <c r="O40" s="724"/>
      <c r="P40" s="724"/>
      <c r="Q40" s="724"/>
      <c r="R40" s="724"/>
      <c r="S40" s="724"/>
      <c r="T40" s="724"/>
      <c r="U40" s="724"/>
      <c r="V40" s="724"/>
      <c r="W40" s="724"/>
      <c r="X40" s="724"/>
      <c r="Y40" s="724"/>
      <c r="Z40" s="728"/>
      <c r="AA40" s="728"/>
      <c r="AB40" s="728"/>
      <c r="AC40" s="728"/>
      <c r="AD40" s="728"/>
      <c r="AE40" s="728"/>
      <c r="AF40" s="728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1468</v>
      </c>
      <c r="E41" s="809" t="s">
        <v>1469</v>
      </c>
      <c r="F41" s="810" t="s">
        <v>1470</v>
      </c>
      <c r="G41" s="810" t="s">
        <v>1471</v>
      </c>
      <c r="H41" s="810" t="s">
        <v>1472</v>
      </c>
      <c r="I41" s="810" t="s">
        <v>1473</v>
      </c>
      <c r="J41" s="810" t="s">
        <v>1474</v>
      </c>
      <c r="L41" s="724"/>
      <c r="M41" s="724"/>
      <c r="N41" s="724"/>
      <c r="O41" s="724"/>
      <c r="P41" s="724"/>
      <c r="Q41" s="724"/>
      <c r="R41" s="724"/>
      <c r="S41" s="724"/>
      <c r="T41" s="724"/>
      <c r="U41" s="724"/>
      <c r="V41" s="724"/>
      <c r="W41" s="724"/>
      <c r="X41" s="724"/>
      <c r="Y41" s="724"/>
      <c r="Z41" s="728"/>
      <c r="AA41" s="728"/>
      <c r="AB41" s="728"/>
      <c r="AC41" s="728"/>
      <c r="AD41" s="728"/>
      <c r="AE41" s="728"/>
      <c r="AF41" s="728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1" t="s">
        <v>1924</v>
      </c>
      <c r="D42" s="490">
        <f t="shared" ref="D42:D48" si="1">SUMIF($F$41:$J$41,C42,F42:J42)</f>
        <v>2.2499999999999999E-2</v>
      </c>
      <c r="E42" s="253">
        <f>SUM(D42:D48)</f>
        <v>8.0250000000000002E-2</v>
      </c>
      <c r="F42" s="528">
        <f>SUMPRODUCT(('2002因素修正幅度'!$A$36:$A$42=A42)*('2002因素修正幅度'!$B$35:$K$35=$G$2)*('2002因素修正幅度'!$B$36:$K$42))</f>
        <v>4.4999999999999998E-2</v>
      </c>
      <c r="G42" s="528">
        <f>F42/2</f>
        <v>2.2499999999999999E-2</v>
      </c>
      <c r="H42" s="529">
        <v>0</v>
      </c>
      <c r="I42" s="528">
        <f>J42/2</f>
        <v>-2.2499999999999999E-2</v>
      </c>
      <c r="J42" s="528">
        <f>SUMPRODUCT(('2002因素修正幅度'!$A$66:$A$72=A42)*('2002因素修正幅度'!$B$35:$K$35=$G$2)*('2002因素修正幅度'!$B$66:$K$72))</f>
        <v>-4.4999999999999998E-2</v>
      </c>
      <c r="L42" s="724"/>
      <c r="M42" s="724"/>
      <c r="N42" s="812"/>
      <c r="O42" s="724"/>
      <c r="P42" s="724"/>
      <c r="Q42" s="724"/>
      <c r="R42" s="724"/>
      <c r="S42" s="724"/>
      <c r="T42" s="724"/>
      <c r="U42" s="724"/>
      <c r="V42" s="724"/>
      <c r="W42" s="724"/>
      <c r="X42" s="724"/>
      <c r="Y42" s="724"/>
      <c r="Z42" s="728"/>
      <c r="AA42" s="728"/>
      <c r="AB42" s="728"/>
      <c r="AC42" s="728"/>
      <c r="AD42" s="728"/>
      <c r="AE42" s="728"/>
      <c r="AF42" s="728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1" t="s">
        <v>1924</v>
      </c>
      <c r="D43" s="490">
        <f t="shared" si="1"/>
        <v>1.125E-2</v>
      </c>
      <c r="E43" s="255"/>
      <c r="F43" s="528">
        <f>SUMPRODUCT(('2002因素修正幅度'!$A$36:$A$42=A43)*('2002因素修正幅度'!$B$35:$K$35=$G$2)*('2002因素修正幅度'!$B$36:$K$42))</f>
        <v>2.2499999999999999E-2</v>
      </c>
      <c r="G43" s="528">
        <f t="shared" ref="G43:G48" si="2">F43/2</f>
        <v>1.125E-2</v>
      </c>
      <c r="H43" s="529">
        <v>0</v>
      </c>
      <c r="I43" s="528">
        <f t="shared" ref="I43:I48" si="3">J43/2</f>
        <v>-1.125E-2</v>
      </c>
      <c r="J43" s="528">
        <f>SUMPRODUCT(('2002因素修正幅度'!$A$66:$A$72=A43)*('2002因素修正幅度'!$B$35:$K$35=$G$2)*('2002因素修正幅度'!$B$66:$K$72))</f>
        <v>-2.2499999999999999E-2</v>
      </c>
      <c r="L43" s="724"/>
      <c r="M43" s="724"/>
      <c r="N43" s="724"/>
      <c r="O43" s="724"/>
      <c r="P43" s="724"/>
      <c r="Q43" s="724"/>
      <c r="R43" s="724"/>
      <c r="S43" s="724"/>
      <c r="T43" s="724"/>
      <c r="U43" s="724"/>
      <c r="V43" s="724"/>
      <c r="W43" s="724"/>
      <c r="X43" s="724"/>
      <c r="Y43" s="728"/>
      <c r="Z43" s="728"/>
      <c r="AA43" s="728"/>
      <c r="AB43" s="728"/>
      <c r="AC43" s="728"/>
      <c r="AD43" s="728"/>
      <c r="AE43" s="724"/>
      <c r="AF43" s="724"/>
      <c r="AG43" s="725"/>
      <c r="AH43" s="725"/>
      <c r="AI43" s="725"/>
      <c r="AJ43" s="725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1" t="s">
        <v>1924</v>
      </c>
      <c r="D44" s="490">
        <f t="shared" si="1"/>
        <v>7.4999999999999997E-3</v>
      </c>
      <c r="E44" s="255"/>
      <c r="F44" s="528">
        <f>SUMPRODUCT(('2002因素修正幅度'!$A$36:$A$42=A44)*('2002因素修正幅度'!$B$35:$K$35=$G$2)*('2002因素修正幅度'!$B$36:$K$42))</f>
        <v>1.4999999999999999E-2</v>
      </c>
      <c r="G44" s="528">
        <f t="shared" si="2"/>
        <v>7.4999999999999997E-3</v>
      </c>
      <c r="H44" s="529">
        <v>0</v>
      </c>
      <c r="I44" s="528">
        <f t="shared" si="3"/>
        <v>-7.4999999999999997E-3</v>
      </c>
      <c r="J44" s="528">
        <f>SUMPRODUCT(('2002因素修正幅度'!$A$66:$A$72=A44)*('2002因素修正幅度'!$B$35:$K$35=$G$2)*('2002因素修正幅度'!$B$66:$K$72))</f>
        <v>-1.4999999999999999E-2</v>
      </c>
      <c r="L44" s="724"/>
      <c r="M44" s="724"/>
      <c r="N44" s="724"/>
      <c r="O44" s="724"/>
      <c r="P44" s="724"/>
      <c r="Q44" s="724"/>
      <c r="R44" s="724"/>
      <c r="S44" s="724"/>
      <c r="T44" s="724"/>
      <c r="U44" s="724"/>
      <c r="V44" s="724"/>
      <c r="W44" s="728"/>
      <c r="X44" s="728"/>
      <c r="Y44" s="728"/>
      <c r="Z44" s="728"/>
      <c r="AA44" s="728"/>
      <c r="AB44" s="728"/>
      <c r="AC44" s="728"/>
      <c r="AE44" s="724"/>
      <c r="AF44" s="724"/>
      <c r="AG44" s="725"/>
      <c r="AH44" s="725"/>
      <c r="AI44" s="725"/>
      <c r="AJ44" s="725"/>
    </row>
    <row r="45" spans="1:37" ht="36">
      <c r="A45" s="247" t="s">
        <v>901</v>
      </c>
      <c r="B45" s="1689" t="s">
        <v>1754</v>
      </c>
      <c r="C45" s="811" t="s">
        <v>1924</v>
      </c>
      <c r="D45" s="490">
        <f t="shared" si="1"/>
        <v>1.4999999999999999E-2</v>
      </c>
      <c r="E45" s="255"/>
      <c r="F45" s="528">
        <f>SUMPRODUCT(('2002因素修正幅度'!$A$36:$A$42=A45)*('2002因素修正幅度'!$B$35:$K$35=$G$2)*('2002因素修正幅度'!$B$36:$K$42))</f>
        <v>0.03</v>
      </c>
      <c r="G45" s="528">
        <f t="shared" si="2"/>
        <v>1.4999999999999999E-2</v>
      </c>
      <c r="H45" s="529">
        <v>0</v>
      </c>
      <c r="I45" s="528">
        <f t="shared" si="3"/>
        <v>-1.4999999999999999E-2</v>
      </c>
      <c r="J45" s="528">
        <f>SUMPRODUCT(('2002因素修正幅度'!$A$66:$A$72=A45)*('2002因素修正幅度'!$B$35:$K$35=$G$2)*('2002因素修正幅度'!$B$66:$K$72))</f>
        <v>-0.03</v>
      </c>
      <c r="L45" s="724"/>
      <c r="M45" s="724"/>
      <c r="N45" s="724"/>
      <c r="O45" s="724"/>
      <c r="P45" s="724"/>
      <c r="Q45" s="724"/>
      <c r="R45" s="724"/>
      <c r="S45" s="724"/>
      <c r="T45" s="724"/>
      <c r="U45" s="724"/>
      <c r="V45" s="724"/>
      <c r="W45" s="728"/>
      <c r="X45" s="728"/>
      <c r="Y45" s="728"/>
      <c r="Z45" s="728"/>
      <c r="AA45" s="728"/>
      <c r="AB45" s="728"/>
      <c r="AC45" s="728"/>
      <c r="AE45" s="724"/>
      <c r="AF45" s="724"/>
      <c r="AG45" s="725"/>
      <c r="AH45" s="725"/>
      <c r="AI45" s="725"/>
      <c r="AJ45" s="725"/>
    </row>
    <row r="46" spans="1:37" ht="14.25">
      <c r="A46" s="247" t="s">
        <v>902</v>
      </c>
      <c r="B46" s="254">
        <f>估价对象房地状况!C12</f>
        <v>0</v>
      </c>
      <c r="C46" s="811" t="s">
        <v>1924</v>
      </c>
      <c r="D46" s="490">
        <f t="shared" si="1"/>
        <v>7.4999999999999997E-3</v>
      </c>
      <c r="E46" s="255"/>
      <c r="F46" s="528">
        <f>SUMPRODUCT(('2002因素修正幅度'!$A$36:$A$42=A46)*('2002因素修正幅度'!$B$35:$K$35=$G$2)*('2002因素修正幅度'!$B$36:$K$42))</f>
        <v>1.4999999999999999E-2</v>
      </c>
      <c r="G46" s="528">
        <f t="shared" si="2"/>
        <v>7.4999999999999997E-3</v>
      </c>
      <c r="H46" s="529">
        <v>0</v>
      </c>
      <c r="I46" s="528">
        <f t="shared" si="3"/>
        <v>-7.4999999999999997E-3</v>
      </c>
      <c r="J46" s="528">
        <f>SUMPRODUCT(('2002因素修正幅度'!$A$66:$A$72=A46)*('2002因素修正幅度'!$B$35:$K$35=$G$2)*('2002因素修正幅度'!$B$66:$K$72))</f>
        <v>-1.4999999999999999E-2</v>
      </c>
      <c r="L46" s="724"/>
      <c r="M46" s="724"/>
      <c r="N46" s="724"/>
      <c r="O46" s="724"/>
      <c r="P46" s="724"/>
      <c r="Q46" s="724"/>
      <c r="R46" s="724"/>
      <c r="S46" s="724"/>
      <c r="T46" s="724"/>
      <c r="U46" s="724"/>
      <c r="V46" s="724"/>
      <c r="W46" s="728"/>
      <c r="X46" s="728"/>
      <c r="Y46" s="728"/>
      <c r="Z46" s="728"/>
      <c r="AA46" s="728"/>
      <c r="AB46" s="728"/>
      <c r="AC46" s="728"/>
      <c r="AE46" s="724"/>
      <c r="AF46" s="724"/>
      <c r="AG46" s="725"/>
      <c r="AH46" s="725"/>
      <c r="AI46" s="725"/>
      <c r="AJ46" s="725"/>
    </row>
    <row r="47" spans="1:37" ht="24">
      <c r="A47" s="247" t="s">
        <v>903</v>
      </c>
      <c r="B47" s="1690" t="s">
        <v>1755</v>
      </c>
      <c r="C47" s="811" t="s">
        <v>1924</v>
      </c>
      <c r="D47" s="490">
        <f t="shared" si="1"/>
        <v>6.0000000000000001E-3</v>
      </c>
      <c r="E47" s="255"/>
      <c r="F47" s="528">
        <f>SUMPRODUCT(('2002因素修正幅度'!$A$36:$A$42=A47)*('2002因素修正幅度'!$B$35:$K$35=$G$2)*('2002因素修正幅度'!$B$36:$K$42))</f>
        <v>1.2E-2</v>
      </c>
      <c r="G47" s="528">
        <f t="shared" si="2"/>
        <v>6.0000000000000001E-3</v>
      </c>
      <c r="H47" s="529">
        <v>0</v>
      </c>
      <c r="I47" s="528">
        <f t="shared" si="3"/>
        <v>-6.0000000000000001E-3</v>
      </c>
      <c r="J47" s="528">
        <f>SUMPRODUCT(('2002因素修正幅度'!$A$66:$A$72=A47)*('2002因素修正幅度'!$B$35:$K$35=$G$2)*('2002因素修正幅度'!$B$66:$K$72))</f>
        <v>-1.2E-2</v>
      </c>
      <c r="L47" s="724"/>
      <c r="M47" s="724"/>
      <c r="N47" s="724"/>
      <c r="O47" s="724"/>
      <c r="P47" s="724"/>
      <c r="Q47" s="724"/>
      <c r="R47" s="724"/>
      <c r="S47" s="724"/>
      <c r="T47" s="724"/>
      <c r="U47" s="724"/>
      <c r="V47" s="724"/>
      <c r="W47" s="728"/>
      <c r="X47" s="728"/>
      <c r="Y47" s="728"/>
      <c r="Z47" s="728"/>
      <c r="AA47" s="728"/>
      <c r="AB47" s="728"/>
      <c r="AC47" s="728"/>
      <c r="AE47" s="728"/>
      <c r="AF47" s="728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1" t="s">
        <v>1925</v>
      </c>
      <c r="D48" s="490">
        <f t="shared" si="1"/>
        <v>1.0500000000000001E-2</v>
      </c>
      <c r="E48" s="255"/>
      <c r="F48" s="528">
        <f>SUMPRODUCT(('2002因素修正幅度'!$A$36:$A$42=A48)*('2002因素修正幅度'!$B$35:$K$35=$G$2)*('2002因素修正幅度'!$B$36:$K$42))</f>
        <v>1.0500000000000001E-2</v>
      </c>
      <c r="G48" s="528">
        <f t="shared" si="2"/>
        <v>5.2500000000000003E-3</v>
      </c>
      <c r="H48" s="529">
        <v>0</v>
      </c>
      <c r="I48" s="528">
        <f t="shared" si="3"/>
        <v>-5.2500000000000003E-3</v>
      </c>
      <c r="J48" s="528">
        <f>SUMPRODUCT(('2002因素修正幅度'!$A$66:$A$72=A48)*('2002因素修正幅度'!$B$35:$K$35=$G$2)*('2002因素修正幅度'!$B$66:$K$72))</f>
        <v>-1.0500000000000001E-2</v>
      </c>
      <c r="L48" s="724"/>
      <c r="M48" s="724"/>
      <c r="N48" s="724"/>
      <c r="O48" s="724"/>
      <c r="P48" s="724"/>
      <c r="Q48" s="724"/>
      <c r="R48" s="724"/>
      <c r="S48" s="724"/>
      <c r="T48" s="724"/>
      <c r="U48" s="724"/>
      <c r="V48" s="724"/>
      <c r="W48" s="728"/>
      <c r="X48" s="728"/>
      <c r="Y48" s="728"/>
      <c r="Z48" s="728"/>
      <c r="AA48" s="728"/>
      <c r="AB48" s="728"/>
      <c r="AC48" s="728"/>
      <c r="AE48" s="728"/>
      <c r="AF48" s="728"/>
    </row>
    <row r="49" spans="1:36" ht="15">
      <c r="A49" s="242" t="s">
        <v>1318</v>
      </c>
      <c r="B49" s="487">
        <f>1+E51</f>
        <v>1</v>
      </c>
      <c r="C49" s="807"/>
      <c r="D49" s="244"/>
      <c r="E49" s="245"/>
      <c r="F49" s="17"/>
      <c r="G49" s="17"/>
      <c r="H49" s="17"/>
      <c r="I49" s="17"/>
      <c r="J49" s="17"/>
      <c r="L49" s="724"/>
      <c r="M49" s="724"/>
      <c r="N49" s="724"/>
      <c r="O49" s="724"/>
      <c r="P49" s="724"/>
      <c r="Q49" s="724"/>
      <c r="R49" s="724"/>
      <c r="S49" s="724"/>
      <c r="T49" s="724"/>
      <c r="U49" s="724"/>
      <c r="V49" s="724"/>
      <c r="W49" s="728"/>
      <c r="X49" s="728"/>
      <c r="Y49" s="728"/>
      <c r="Z49" s="728"/>
      <c r="AA49" s="728"/>
      <c r="AB49" s="728"/>
      <c r="AC49" s="728"/>
      <c r="AE49" s="728"/>
      <c r="AF49" s="728"/>
    </row>
    <row r="50" spans="1:36" ht="13.5">
      <c r="A50" s="247" t="s">
        <v>895</v>
      </c>
      <c r="B50" s="254"/>
      <c r="C50" s="248" t="s">
        <v>897</v>
      </c>
      <c r="D50" s="249" t="s">
        <v>1505</v>
      </c>
      <c r="E50" s="250" t="s">
        <v>1506</v>
      </c>
      <c r="F50" s="138" t="s">
        <v>1507</v>
      </c>
      <c r="G50" s="138" t="s">
        <v>1508</v>
      </c>
      <c r="H50" s="138" t="s">
        <v>1509</v>
      </c>
      <c r="I50" s="138" t="s">
        <v>1510</v>
      </c>
      <c r="J50" s="138" t="s">
        <v>1511</v>
      </c>
      <c r="L50" s="724"/>
      <c r="M50" s="724"/>
      <c r="N50" s="724"/>
      <c r="O50" s="724"/>
      <c r="P50" s="724"/>
      <c r="Q50" s="724"/>
      <c r="R50" s="724"/>
      <c r="S50" s="724"/>
      <c r="T50" s="724"/>
      <c r="U50" s="724"/>
      <c r="V50" s="724"/>
      <c r="W50" s="728"/>
      <c r="X50" s="728"/>
      <c r="Y50" s="728"/>
      <c r="Z50" s="728"/>
      <c r="AA50" s="728"/>
      <c r="AB50" s="728"/>
      <c r="AC50" s="728"/>
      <c r="AE50" s="728"/>
      <c r="AF50" s="728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1"/>
      <c r="D51" s="490">
        <f t="shared" ref="D51:D57" si="4">SUMIF($F$50:$J$50,C51,F51:J51)</f>
        <v>0</v>
      </c>
      <c r="E51" s="253">
        <f>SUM(D51:D57)</f>
        <v>0</v>
      </c>
      <c r="F51" s="528">
        <f>SUMPRODUCT(('2002因素修正幅度'!$A$43:$A$49=A51)*('2002因素修正幅度'!$B$35:$K$35=$G$2)*('2002因素修正幅度'!$B$43:$K$49))</f>
        <v>0.04</v>
      </c>
      <c r="G51" s="528">
        <f>F51/2</f>
        <v>0.02</v>
      </c>
      <c r="H51" s="529">
        <v>0</v>
      </c>
      <c r="I51" s="528">
        <f>J51/2</f>
        <v>-0.02</v>
      </c>
      <c r="J51" s="528">
        <f>SUMPRODUCT(('2002因素修正幅度'!$A$73:$A$79=A51)*('2002因素修正幅度'!$B$35:$K$35=$G$2)*('2002因素修正幅度'!$B$73:$K$79))</f>
        <v>-0.04</v>
      </c>
      <c r="L51" s="724"/>
      <c r="M51" s="724"/>
      <c r="N51" s="724"/>
      <c r="O51" s="724"/>
      <c r="P51" s="724"/>
      <c r="Q51" s="724"/>
      <c r="R51" s="724"/>
      <c r="S51" s="724"/>
      <c r="T51" s="724"/>
      <c r="U51" s="724"/>
      <c r="V51" s="724"/>
      <c r="W51" s="728"/>
      <c r="X51" s="728"/>
      <c r="Y51" s="728"/>
      <c r="Z51" s="728"/>
      <c r="AA51" s="728"/>
      <c r="AB51" s="728"/>
      <c r="AC51" s="728"/>
      <c r="AE51" s="728"/>
      <c r="AF51" s="728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1"/>
      <c r="D52" s="490">
        <f t="shared" si="4"/>
        <v>0</v>
      </c>
      <c r="E52" s="255"/>
      <c r="F52" s="528">
        <f>SUMPRODUCT(('2002因素修正幅度'!$A$43:$A$49=A52)*('2002因素修正幅度'!$B$35:$K$35=$G$2)*('2002因素修正幅度'!$B$43:$K$49))</f>
        <v>0.05</v>
      </c>
      <c r="G52" s="528">
        <f t="shared" ref="G52:G57" si="5">F52/2</f>
        <v>2.5000000000000001E-2</v>
      </c>
      <c r="H52" s="529">
        <v>0</v>
      </c>
      <c r="I52" s="528">
        <f t="shared" ref="I52:I57" si="6">J52/2</f>
        <v>-2.5000000000000001E-2</v>
      </c>
      <c r="J52" s="528">
        <f>SUMPRODUCT(('2002因素修正幅度'!$A$73:$A$79=A52)*('2002因素修正幅度'!$B$35:$K$35=$G$2)*('2002因素修正幅度'!$B$73:$K$79))</f>
        <v>-0.05</v>
      </c>
      <c r="L52" s="724"/>
      <c r="M52" s="724"/>
      <c r="N52" s="724"/>
      <c r="O52" s="724"/>
      <c r="P52" s="724"/>
      <c r="Q52" s="724"/>
      <c r="R52" s="724"/>
      <c r="S52" s="724"/>
      <c r="T52" s="724"/>
      <c r="U52" s="724"/>
      <c r="V52" s="724"/>
      <c r="W52" s="728"/>
      <c r="X52" s="728"/>
      <c r="Y52" s="728"/>
      <c r="Z52" s="728"/>
      <c r="AA52" s="728"/>
      <c r="AB52" s="728"/>
      <c r="AC52" s="728"/>
      <c r="AE52" s="728"/>
      <c r="AF52" s="728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1"/>
      <c r="D53" s="490">
        <f t="shared" si="4"/>
        <v>0</v>
      </c>
      <c r="E53" s="255"/>
      <c r="F53" s="528">
        <f>SUMPRODUCT(('2002因素修正幅度'!$A$43:$A$49=A53)*('2002因素修正幅度'!$B$35:$K$35=$G$2)*('2002因素修正幅度'!$B$43:$K$49))</f>
        <v>0.02</v>
      </c>
      <c r="G53" s="528">
        <f t="shared" si="5"/>
        <v>0.01</v>
      </c>
      <c r="H53" s="529">
        <v>0</v>
      </c>
      <c r="I53" s="528">
        <f t="shared" si="6"/>
        <v>-0.01</v>
      </c>
      <c r="J53" s="528">
        <f>SUMPRODUCT(('2002因素修正幅度'!$A$73:$A$79=A53)*('2002因素修正幅度'!$B$35:$K$35=$G$2)*('2002因素修正幅度'!$B$73:$K$79))</f>
        <v>-0.02</v>
      </c>
      <c r="L53" s="724"/>
      <c r="M53" s="724"/>
      <c r="N53" s="724"/>
      <c r="O53" s="724"/>
      <c r="P53" s="724"/>
      <c r="Q53" s="724"/>
      <c r="R53" s="724"/>
      <c r="S53" s="724"/>
      <c r="T53" s="724"/>
      <c r="U53" s="724"/>
      <c r="V53" s="724"/>
      <c r="W53" s="728"/>
      <c r="X53" s="728"/>
      <c r="Y53" s="728"/>
      <c r="Z53" s="728"/>
      <c r="AA53" s="728"/>
      <c r="AB53" s="728"/>
      <c r="AC53" s="728"/>
      <c r="AE53" s="728"/>
      <c r="AF53" s="728"/>
    </row>
    <row r="54" spans="1:36" s="812" customFormat="1" ht="36">
      <c r="A54" s="247" t="s">
        <v>901</v>
      </c>
      <c r="B54" s="1689" t="s">
        <v>1754</v>
      </c>
      <c r="C54" s="811"/>
      <c r="D54" s="490">
        <f t="shared" si="4"/>
        <v>0</v>
      </c>
      <c r="E54" s="255"/>
      <c r="F54" s="528">
        <f>SUMPRODUCT(('2002因素修正幅度'!$A$43:$A$49=A54)*('2002因素修正幅度'!$B$35:$K$35=$G$2)*('2002因素修正幅度'!$B$43:$K$49))</f>
        <v>0.02</v>
      </c>
      <c r="G54" s="528">
        <f t="shared" si="5"/>
        <v>0.01</v>
      </c>
      <c r="H54" s="529">
        <v>0</v>
      </c>
      <c r="I54" s="528">
        <f t="shared" si="6"/>
        <v>-0.01</v>
      </c>
      <c r="J54" s="528">
        <f>SUMPRODUCT(('2002因素修正幅度'!$A$73:$A$79=A54)*('2002因素修正幅度'!$B$35:$K$35=$G$2)*('2002因素修正幅度'!$B$73:$K$79))</f>
        <v>-0.02</v>
      </c>
      <c r="K54" s="724"/>
      <c r="L54" s="724"/>
      <c r="M54" s="724"/>
      <c r="N54" s="724"/>
      <c r="O54" s="724"/>
      <c r="P54" s="724"/>
      <c r="Q54" s="724"/>
      <c r="R54" s="724"/>
      <c r="S54" s="724"/>
      <c r="T54" s="724"/>
      <c r="U54" s="724"/>
      <c r="V54" s="724"/>
      <c r="W54" s="728"/>
      <c r="X54" s="728"/>
      <c r="Y54" s="728"/>
      <c r="Z54" s="728"/>
      <c r="AA54" s="728"/>
      <c r="AB54" s="728"/>
      <c r="AC54" s="728"/>
      <c r="AD54" s="727"/>
      <c r="AE54" s="728"/>
      <c r="AF54" s="728"/>
      <c r="AG54" s="727"/>
      <c r="AH54" s="727"/>
      <c r="AI54" s="727"/>
      <c r="AJ54" s="727"/>
    </row>
    <row r="55" spans="1:36" s="812" customFormat="1" ht="14.25">
      <c r="A55" s="247" t="s">
        <v>902</v>
      </c>
      <c r="B55" s="254">
        <f>估价对象房地状况!C12</f>
        <v>0</v>
      </c>
      <c r="C55" s="811"/>
      <c r="D55" s="490">
        <f t="shared" si="4"/>
        <v>0</v>
      </c>
      <c r="E55" s="255"/>
      <c r="F55" s="528">
        <f>SUMPRODUCT(('2002因素修正幅度'!$A$43:$A$49=A55)*('2002因素修正幅度'!$B$35:$K$35=$G$2)*('2002因素修正幅度'!$B$43:$K$49))</f>
        <v>0.03</v>
      </c>
      <c r="G55" s="528">
        <f t="shared" si="5"/>
        <v>1.4999999999999999E-2</v>
      </c>
      <c r="H55" s="529">
        <v>0</v>
      </c>
      <c r="I55" s="528">
        <f t="shared" si="6"/>
        <v>-1.4999999999999999E-2</v>
      </c>
      <c r="J55" s="528">
        <f>SUMPRODUCT(('2002因素修正幅度'!$A$73:$A$79=A55)*('2002因素修正幅度'!$B$35:$K$35=$G$2)*('2002因素修正幅度'!$B$73:$K$79))</f>
        <v>-0.03</v>
      </c>
      <c r="K55" s="724"/>
      <c r="L55" s="724"/>
      <c r="M55" s="724"/>
      <c r="N55" s="724"/>
      <c r="O55" s="724"/>
      <c r="P55" s="724"/>
      <c r="Q55" s="724"/>
      <c r="R55" s="724"/>
      <c r="S55" s="724"/>
      <c r="T55" s="724"/>
      <c r="U55" s="724"/>
      <c r="V55" s="724"/>
      <c r="W55" s="728"/>
      <c r="X55" s="728"/>
      <c r="Y55" s="728"/>
      <c r="Z55" s="728"/>
      <c r="AA55" s="728"/>
      <c r="AB55" s="728"/>
      <c r="AC55" s="728"/>
      <c r="AD55" s="727"/>
      <c r="AE55" s="728"/>
      <c r="AF55" s="728"/>
      <c r="AG55" s="727"/>
      <c r="AH55" s="727"/>
      <c r="AI55" s="727"/>
      <c r="AJ55" s="727"/>
    </row>
    <row r="56" spans="1:36" s="812" customFormat="1" ht="24">
      <c r="A56" s="247" t="s">
        <v>903</v>
      </c>
      <c r="B56" s="1690" t="s">
        <v>1755</v>
      </c>
      <c r="C56" s="811"/>
      <c r="D56" s="490">
        <f t="shared" si="4"/>
        <v>0</v>
      </c>
      <c r="E56" s="255"/>
      <c r="F56" s="528">
        <f>SUMPRODUCT(('2002因素修正幅度'!$A$43:$A$49=A56)*('2002因素修正幅度'!$B$35:$K$35=$G$2)*('2002因素修正幅度'!$B$43:$K$49))</f>
        <v>1.6E-2</v>
      </c>
      <c r="G56" s="528">
        <f t="shared" si="5"/>
        <v>8.0000000000000002E-3</v>
      </c>
      <c r="H56" s="529">
        <v>0</v>
      </c>
      <c r="I56" s="528">
        <f t="shared" si="6"/>
        <v>-8.0000000000000002E-3</v>
      </c>
      <c r="J56" s="528">
        <f>SUMPRODUCT(('2002因素修正幅度'!$A$73:$A$79=A56)*('2002因素修正幅度'!$B$35:$K$35=$G$2)*('2002因素修正幅度'!$B$73:$K$79))</f>
        <v>-1.6E-2</v>
      </c>
      <c r="K56" s="724"/>
      <c r="L56" s="724"/>
      <c r="M56" s="724"/>
      <c r="N56" s="724"/>
      <c r="O56" s="724"/>
      <c r="P56" s="724"/>
      <c r="Q56" s="724"/>
      <c r="R56" s="724"/>
      <c r="S56" s="724"/>
      <c r="T56" s="724"/>
      <c r="U56" s="724"/>
      <c r="V56" s="724"/>
      <c r="W56" s="728"/>
      <c r="X56" s="728"/>
      <c r="Y56" s="728"/>
      <c r="Z56" s="728"/>
      <c r="AA56" s="728"/>
      <c r="AB56" s="728"/>
      <c r="AC56" s="728"/>
      <c r="AD56" s="727"/>
      <c r="AE56" s="728"/>
      <c r="AF56" s="728"/>
      <c r="AG56" s="727"/>
      <c r="AH56" s="727"/>
      <c r="AI56" s="727"/>
      <c r="AJ56" s="727"/>
    </row>
    <row r="57" spans="1:36" s="812" customFormat="1" ht="36.75" thickBot="1">
      <c r="A57" s="247" t="s">
        <v>1328</v>
      </c>
      <c r="B57" s="486" t="str">
        <f>估价对象房地状况!C9&amp;","&amp;估价对象房地状况!C10</f>
        <v>估价对象所在区域公共配套设施齐备情况,估价对象所在区域基础设施水平</v>
      </c>
      <c r="C57" s="811"/>
      <c r="D57" s="490">
        <f t="shared" si="4"/>
        <v>0</v>
      </c>
      <c r="E57" s="255"/>
      <c r="F57" s="528">
        <f>SUMPRODUCT(('2002因素修正幅度'!$A$43:$A$49=A57)*('2002因素修正幅度'!$B$35:$K$35=$G$2)*('2002因素修正幅度'!$B$43:$K$49))</f>
        <v>2.4E-2</v>
      </c>
      <c r="G57" s="528">
        <f t="shared" si="5"/>
        <v>1.2E-2</v>
      </c>
      <c r="H57" s="529">
        <v>0</v>
      </c>
      <c r="I57" s="528">
        <f t="shared" si="6"/>
        <v>-1.2E-2</v>
      </c>
      <c r="J57" s="528">
        <f>SUMPRODUCT(('2002因素修正幅度'!$A$73:$A$79=A57)*('2002因素修正幅度'!$B$35:$K$35=$G$2)*('2002因素修正幅度'!$B$73:$K$79))</f>
        <v>-2.4E-2</v>
      </c>
      <c r="K57" s="724"/>
      <c r="L57" s="724"/>
      <c r="M57" s="724"/>
      <c r="N57" s="724"/>
      <c r="O57" s="724"/>
      <c r="P57" s="724"/>
      <c r="Q57" s="724"/>
      <c r="R57" s="724"/>
      <c r="S57" s="724"/>
      <c r="T57" s="724"/>
      <c r="U57" s="724"/>
      <c r="V57" s="724"/>
      <c r="W57" s="728"/>
      <c r="X57" s="728"/>
      <c r="Y57" s="728"/>
      <c r="Z57" s="728"/>
      <c r="AA57" s="728"/>
      <c r="AB57" s="728"/>
      <c r="AC57" s="728"/>
      <c r="AD57" s="727"/>
      <c r="AE57" s="728"/>
      <c r="AF57" s="728"/>
      <c r="AG57" s="727"/>
      <c r="AH57" s="727"/>
      <c r="AI57" s="727"/>
      <c r="AJ57" s="727"/>
    </row>
    <row r="58" spans="1:36" s="812" customFormat="1" ht="15">
      <c r="A58" s="242" t="s">
        <v>1319</v>
      </c>
      <c r="B58" s="487">
        <f>1+E60</f>
        <v>1</v>
      </c>
      <c r="C58" s="807"/>
      <c r="D58" s="244"/>
      <c r="E58" s="245"/>
      <c r="F58" s="17"/>
      <c r="G58" s="17"/>
      <c r="H58" s="17"/>
      <c r="I58" s="17"/>
      <c r="J58" s="17"/>
      <c r="K58" s="724"/>
      <c r="L58" s="724"/>
      <c r="M58" s="724"/>
      <c r="N58" s="724"/>
      <c r="O58" s="724"/>
      <c r="P58" s="724"/>
      <c r="Q58" s="724"/>
      <c r="R58" s="724"/>
      <c r="S58" s="724"/>
      <c r="T58" s="724"/>
      <c r="U58" s="724"/>
      <c r="V58" s="724"/>
      <c r="W58" s="728"/>
      <c r="X58" s="728"/>
      <c r="Y58" s="728"/>
      <c r="Z58" s="728"/>
      <c r="AA58" s="728"/>
      <c r="AB58" s="728"/>
      <c r="AC58" s="728"/>
      <c r="AD58" s="727"/>
      <c r="AE58" s="728"/>
      <c r="AF58" s="728"/>
      <c r="AG58" s="727"/>
      <c r="AH58" s="727"/>
      <c r="AI58" s="727"/>
      <c r="AJ58" s="727"/>
    </row>
    <row r="59" spans="1:36" s="812" customFormat="1" ht="13.5">
      <c r="A59" s="247" t="s">
        <v>895</v>
      </c>
      <c r="B59" s="254"/>
      <c r="C59" s="248" t="s">
        <v>897</v>
      </c>
      <c r="D59" s="249" t="s">
        <v>1512</v>
      </c>
      <c r="E59" s="250" t="s">
        <v>1513</v>
      </c>
      <c r="F59" s="138" t="s">
        <v>1514</v>
      </c>
      <c r="G59" s="138" t="s">
        <v>1515</v>
      </c>
      <c r="H59" s="138" t="s">
        <v>1516</v>
      </c>
      <c r="I59" s="138" t="s">
        <v>1517</v>
      </c>
      <c r="J59" s="138" t="s">
        <v>1518</v>
      </c>
      <c r="K59" s="724"/>
      <c r="L59" s="724"/>
      <c r="M59" s="724"/>
      <c r="N59" s="724"/>
      <c r="O59" s="724"/>
      <c r="P59" s="724"/>
      <c r="Q59" s="724"/>
      <c r="R59" s="724"/>
      <c r="S59" s="724"/>
      <c r="T59" s="724"/>
      <c r="U59" s="724"/>
      <c r="V59" s="724"/>
      <c r="W59" s="728"/>
      <c r="X59" s="728"/>
      <c r="Y59" s="728"/>
      <c r="Z59" s="728"/>
      <c r="AA59" s="728"/>
      <c r="AB59" s="728"/>
      <c r="AC59" s="728"/>
      <c r="AD59" s="727"/>
      <c r="AE59" s="728"/>
      <c r="AF59" s="728"/>
      <c r="AG59" s="727"/>
      <c r="AH59" s="727"/>
      <c r="AI59" s="727"/>
      <c r="AJ59" s="727"/>
    </row>
    <row r="60" spans="1:36" s="812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1"/>
      <c r="D60" s="490">
        <f t="shared" ref="D60:D67" si="7">SUMIF($F$59:$J$59,C60,F60:J60)</f>
        <v>0</v>
      </c>
      <c r="E60" s="253">
        <f>SUM(D60:D67)</f>
        <v>0</v>
      </c>
      <c r="F60" s="528">
        <f>SUMPRODUCT(('2002因素修正幅度'!$A$50:$A$57=A60)*('2002因素修正幅度'!$B$35:$K$35=$G$2)*('2002因素修正幅度'!$B$50:$K$57))</f>
        <v>2.5999999999999999E-2</v>
      </c>
      <c r="G60" s="528">
        <f>F60/2</f>
        <v>1.2999999999999999E-2</v>
      </c>
      <c r="H60" s="529">
        <v>0</v>
      </c>
      <c r="I60" s="528">
        <f>J60/2</f>
        <v>-8.5000000000000006E-3</v>
      </c>
      <c r="J60" s="528">
        <f>SUMPRODUCT(('2002因素修正幅度'!$A$80:$A$87=A60)*('2002因素修正幅度'!$B$35:$K$35=$G$2)*('2002因素修正幅度'!$B$80:$K$87))</f>
        <v>-1.7000000000000001E-2</v>
      </c>
      <c r="K60" s="724"/>
      <c r="L60" s="724"/>
      <c r="M60" s="724"/>
      <c r="N60" s="724"/>
      <c r="O60" s="724"/>
      <c r="P60" s="724"/>
      <c r="Q60" s="724"/>
      <c r="R60" s="724"/>
      <c r="S60" s="724"/>
      <c r="T60" s="724"/>
      <c r="U60" s="724"/>
      <c r="V60" s="724"/>
      <c r="W60" s="728"/>
      <c r="X60" s="728"/>
      <c r="Y60" s="728"/>
      <c r="Z60" s="728"/>
      <c r="AA60" s="728"/>
      <c r="AB60" s="728"/>
      <c r="AC60" s="728"/>
      <c r="AD60" s="727"/>
      <c r="AE60" s="728"/>
      <c r="AF60" s="727"/>
      <c r="AG60" s="727"/>
      <c r="AH60" s="727"/>
      <c r="AI60" s="727"/>
    </row>
    <row r="61" spans="1:36" s="812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1"/>
      <c r="D61" s="490">
        <f t="shared" si="7"/>
        <v>0</v>
      </c>
      <c r="E61" s="263"/>
      <c r="F61" s="528">
        <f>SUMPRODUCT(('2002因素修正幅度'!$A$50:$A$57=A61)*('2002因素修正幅度'!$B$35:$K$35=$G$2)*('2002因素修正幅度'!$B$50:$K$57))</f>
        <v>5.1999999999999998E-2</v>
      </c>
      <c r="G61" s="528">
        <f t="shared" ref="G61:G67" si="8">F61/2</f>
        <v>2.5999999999999999E-2</v>
      </c>
      <c r="H61" s="529">
        <v>0</v>
      </c>
      <c r="I61" s="528">
        <f t="shared" ref="I61:I67" si="9">J61/2</f>
        <v>-1.7000000000000001E-2</v>
      </c>
      <c r="J61" s="528">
        <f>SUMPRODUCT(('2002因素修正幅度'!$A$80:$A$87=A61)*('2002因素修正幅度'!$B$35:$K$35=$G$2)*('2002因素修正幅度'!$B$80:$K$87))</f>
        <v>-3.4000000000000002E-2</v>
      </c>
      <c r="K61" s="724"/>
      <c r="L61" s="724"/>
      <c r="M61" s="724"/>
      <c r="N61" s="724"/>
      <c r="O61" s="724"/>
      <c r="P61" s="724"/>
      <c r="Q61" s="724"/>
      <c r="R61" s="724"/>
      <c r="S61" s="724"/>
      <c r="T61" s="724"/>
      <c r="U61" s="724"/>
      <c r="V61" s="724"/>
      <c r="W61" s="728"/>
      <c r="X61" s="728"/>
      <c r="Y61" s="728"/>
      <c r="Z61" s="728"/>
      <c r="AA61" s="728"/>
      <c r="AB61" s="728"/>
      <c r="AC61" s="728"/>
      <c r="AD61" s="727"/>
      <c r="AE61" s="727"/>
      <c r="AF61" s="727"/>
      <c r="AG61" s="727"/>
    </row>
    <row r="62" spans="1:36" s="812" customFormat="1" ht="24">
      <c r="A62" s="247" t="s">
        <v>16</v>
      </c>
      <c r="B62" s="254" t="str">
        <f>估价对象房地状况!C7</f>
        <v>零星有其他用地，基本不影响本宗地</v>
      </c>
      <c r="C62" s="811"/>
      <c r="D62" s="490">
        <f t="shared" si="7"/>
        <v>0</v>
      </c>
      <c r="E62" s="263"/>
      <c r="F62" s="528">
        <f>SUMPRODUCT(('2002因素修正幅度'!$A$50:$A$57=A62)*('2002因素修正幅度'!$B$35:$K$35=$G$2)*('2002因素修正幅度'!$B$50:$K$57))</f>
        <v>2.5999999999999999E-2</v>
      </c>
      <c r="G62" s="528">
        <f t="shared" si="8"/>
        <v>1.2999999999999999E-2</v>
      </c>
      <c r="H62" s="529">
        <v>0</v>
      </c>
      <c r="I62" s="528">
        <f t="shared" si="9"/>
        <v>-8.5000000000000006E-3</v>
      </c>
      <c r="J62" s="528">
        <f>SUMPRODUCT(('2002因素修正幅度'!$A$80:$A$87=A62)*('2002因素修正幅度'!$B$35:$K$35=$G$2)*('2002因素修正幅度'!$B$80:$K$87))</f>
        <v>-1.7000000000000001E-2</v>
      </c>
      <c r="K62" s="724"/>
      <c r="L62" s="724"/>
      <c r="M62" s="724"/>
      <c r="N62" s="724"/>
      <c r="O62" s="724"/>
      <c r="P62" s="724"/>
      <c r="Q62" s="724"/>
      <c r="R62" s="724"/>
      <c r="S62" s="724"/>
      <c r="T62" s="724"/>
      <c r="U62" s="724"/>
      <c r="V62" s="724"/>
      <c r="W62" s="728"/>
      <c r="X62" s="728"/>
      <c r="Y62" s="728"/>
      <c r="Z62" s="728"/>
      <c r="AA62" s="728"/>
      <c r="AB62" s="728"/>
      <c r="AC62" s="728"/>
      <c r="AD62" s="727"/>
      <c r="AE62" s="727"/>
      <c r="AF62" s="727"/>
      <c r="AG62" s="727"/>
    </row>
    <row r="63" spans="1:36" s="812" customFormat="1" ht="14.25">
      <c r="A63" s="247" t="s">
        <v>909</v>
      </c>
      <c r="B63" s="254">
        <f>估价对象房地状况!C12</f>
        <v>0</v>
      </c>
      <c r="C63" s="811"/>
      <c r="D63" s="490">
        <f t="shared" si="7"/>
        <v>0</v>
      </c>
      <c r="E63" s="263"/>
      <c r="F63" s="528">
        <f>SUMPRODUCT(('2002因素修正幅度'!$A$50:$A$57=A63)*('2002因素修正幅度'!$B$35:$K$35=$G$2)*('2002因素修正幅度'!$B$50:$K$57))</f>
        <v>2.5999999999999999E-2</v>
      </c>
      <c r="G63" s="528">
        <f t="shared" si="8"/>
        <v>1.2999999999999999E-2</v>
      </c>
      <c r="H63" s="529">
        <v>0</v>
      </c>
      <c r="I63" s="528">
        <f t="shared" si="9"/>
        <v>-8.5000000000000006E-3</v>
      </c>
      <c r="J63" s="528">
        <f>SUMPRODUCT(('2002因素修正幅度'!$A$80:$A$87=A63)*('2002因素修正幅度'!$B$35:$K$35=$G$2)*('2002因素修正幅度'!$B$80:$K$87))</f>
        <v>-1.7000000000000001E-2</v>
      </c>
      <c r="K63" s="724"/>
      <c r="L63" s="724"/>
      <c r="M63" s="724"/>
      <c r="N63" s="724"/>
      <c r="O63" s="724"/>
      <c r="P63" s="724"/>
      <c r="Q63" s="724"/>
      <c r="R63" s="724"/>
      <c r="S63" s="724"/>
      <c r="T63" s="724"/>
      <c r="U63" s="724"/>
      <c r="V63" s="724"/>
      <c r="W63" s="728"/>
      <c r="X63" s="728"/>
      <c r="Y63" s="728"/>
      <c r="Z63" s="728"/>
      <c r="AA63" s="728"/>
      <c r="AB63" s="728"/>
      <c r="AC63" s="728"/>
      <c r="AD63" s="727"/>
      <c r="AE63" s="727"/>
      <c r="AF63" s="727"/>
      <c r="AG63" s="727"/>
    </row>
    <row r="64" spans="1:36" s="812" customFormat="1" ht="24">
      <c r="A64" s="247" t="s">
        <v>903</v>
      </c>
      <c r="B64" s="1690" t="s">
        <v>1755</v>
      </c>
      <c r="C64" s="811"/>
      <c r="D64" s="490">
        <f t="shared" si="7"/>
        <v>0</v>
      </c>
      <c r="E64" s="263"/>
      <c r="F64" s="528">
        <f>SUMPRODUCT(('2002因素修正幅度'!$A$50:$A$57=A64)*('2002因素修正幅度'!$B$35:$K$35=$G$2)*('2002因素修正幅度'!$B$50:$K$57))</f>
        <v>2.0799999999999999E-2</v>
      </c>
      <c r="G64" s="528">
        <f t="shared" si="8"/>
        <v>1.04E-2</v>
      </c>
      <c r="H64" s="529">
        <v>0</v>
      </c>
      <c r="I64" s="528">
        <f t="shared" si="9"/>
        <v>-6.7999999999999996E-3</v>
      </c>
      <c r="J64" s="528">
        <f>SUMPRODUCT(('2002因素修正幅度'!$A$80:$A$87=A64)*('2002因素修正幅度'!$B$35:$K$35=$G$2)*('2002因素修正幅度'!$B$80:$K$87))</f>
        <v>-1.3599999999999999E-2</v>
      </c>
      <c r="K64" s="724"/>
      <c r="L64" s="724"/>
      <c r="M64" s="724"/>
      <c r="N64" s="724"/>
      <c r="O64" s="724"/>
      <c r="P64" s="724"/>
      <c r="Q64" s="724"/>
      <c r="R64" s="724"/>
      <c r="S64" s="724"/>
      <c r="T64" s="724"/>
      <c r="U64" s="724"/>
      <c r="V64" s="724"/>
      <c r="W64" s="728"/>
      <c r="X64" s="728"/>
      <c r="Y64" s="728"/>
      <c r="Z64" s="728"/>
      <c r="AA64" s="728"/>
      <c r="AB64" s="728"/>
      <c r="AC64" s="728"/>
      <c r="AD64" s="727"/>
      <c r="AE64" s="727"/>
      <c r="AF64" s="727"/>
      <c r="AG64" s="727"/>
    </row>
    <row r="65" spans="1:33" s="812" customFormat="1" ht="36">
      <c r="A65" s="247" t="s">
        <v>1328</v>
      </c>
      <c r="B65" s="486" t="str">
        <f>估价对象房地状况!C9&amp;","&amp;估价对象房地状况!C10</f>
        <v>估价对象所在区域公共配套设施齐备情况,估价对象所在区域基础设施水平</v>
      </c>
      <c r="C65" s="811"/>
      <c r="D65" s="490">
        <f t="shared" si="7"/>
        <v>0</v>
      </c>
      <c r="E65" s="263"/>
      <c r="F65" s="528">
        <f>SUMPRODUCT(('2002因素修正幅度'!$A$50:$A$57=A65)*('2002因素修正幅度'!$B$35:$K$35=$G$2)*('2002因素修正幅度'!$B$50:$K$57))</f>
        <v>3.1199999999999999E-2</v>
      </c>
      <c r="G65" s="528">
        <f t="shared" si="8"/>
        <v>1.5599999999999999E-2</v>
      </c>
      <c r="H65" s="529">
        <v>0</v>
      </c>
      <c r="I65" s="528">
        <f t="shared" si="9"/>
        <v>-1.0200000000000001E-2</v>
      </c>
      <c r="J65" s="528">
        <f>SUMPRODUCT(('2002因素修正幅度'!$A$80:$A$87=A65)*('2002因素修正幅度'!$B$35:$K$35=$G$2)*('2002因素修正幅度'!$B$80:$K$87))</f>
        <v>-2.0400000000000001E-2</v>
      </c>
      <c r="K65" s="724"/>
      <c r="L65" s="724"/>
      <c r="M65" s="724"/>
      <c r="N65" s="724"/>
      <c r="O65" s="724"/>
      <c r="P65" s="724"/>
      <c r="Q65" s="724"/>
      <c r="R65" s="724"/>
      <c r="S65" s="724"/>
      <c r="T65" s="724"/>
      <c r="U65" s="724"/>
      <c r="V65" s="724"/>
      <c r="W65" s="728"/>
      <c r="X65" s="728"/>
      <c r="Y65" s="728"/>
      <c r="Z65" s="728"/>
      <c r="AA65" s="728"/>
      <c r="AB65" s="728"/>
      <c r="AC65" s="728"/>
      <c r="AD65" s="727"/>
      <c r="AE65" s="727"/>
      <c r="AF65" s="727"/>
      <c r="AG65" s="727"/>
    </row>
    <row r="66" spans="1:33" s="812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1"/>
      <c r="D66" s="490">
        <f t="shared" si="7"/>
        <v>0</v>
      </c>
      <c r="E66" s="263"/>
      <c r="F66" s="528">
        <f>SUMPRODUCT(('2002因素修正幅度'!$A$50:$A$57=A66)*('2002因素修正幅度'!$B$35:$K$35=$G$2)*('2002因素修正幅度'!$B$50:$K$57))</f>
        <v>5.1999999999999998E-2</v>
      </c>
      <c r="G66" s="528">
        <f t="shared" si="8"/>
        <v>2.5999999999999999E-2</v>
      </c>
      <c r="H66" s="529">
        <v>0</v>
      </c>
      <c r="I66" s="528">
        <f t="shared" si="9"/>
        <v>-1.7000000000000001E-2</v>
      </c>
      <c r="J66" s="528">
        <f>SUMPRODUCT(('2002因素修正幅度'!$A$80:$A$87=A66)*('2002因素修正幅度'!$B$35:$K$35=$G$2)*('2002因素修正幅度'!$B$80:$K$87))</f>
        <v>-3.4000000000000002E-2</v>
      </c>
      <c r="K66" s="724"/>
      <c r="L66" s="724"/>
      <c r="M66" s="724"/>
      <c r="N66" s="724"/>
      <c r="O66" s="724"/>
      <c r="P66" s="724"/>
      <c r="Q66" s="724"/>
      <c r="R66" s="724"/>
      <c r="S66" s="724"/>
      <c r="T66" s="724"/>
      <c r="U66" s="724"/>
      <c r="V66" s="724"/>
      <c r="W66" s="728"/>
      <c r="X66" s="728"/>
      <c r="Y66" s="728"/>
      <c r="Z66" s="728"/>
      <c r="AA66" s="728"/>
      <c r="AB66" s="728"/>
      <c r="AC66" s="728"/>
      <c r="AD66" s="727"/>
      <c r="AE66" s="727"/>
      <c r="AF66" s="727"/>
      <c r="AG66" s="727"/>
    </row>
    <row r="67" spans="1:33" s="812" customFormat="1" ht="24.75" thickBot="1">
      <c r="A67" s="258" t="s">
        <v>1329</v>
      </c>
      <c r="B67" s="489"/>
      <c r="C67" s="811"/>
      <c r="D67" s="490">
        <f t="shared" si="7"/>
        <v>0</v>
      </c>
      <c r="E67" s="264"/>
      <c r="F67" s="528">
        <f>SUMPRODUCT(('2002因素修正幅度'!$A$50:$A$57=A67)*('2002因素修正幅度'!$B$35:$K$35=$G$2)*('2002因素修正幅度'!$B$50:$K$57))</f>
        <v>2.5999999999999999E-2</v>
      </c>
      <c r="G67" s="528">
        <f t="shared" si="8"/>
        <v>1.2999999999999999E-2</v>
      </c>
      <c r="H67" s="529">
        <v>0</v>
      </c>
      <c r="I67" s="528">
        <f t="shared" si="9"/>
        <v>-8.5000000000000006E-3</v>
      </c>
      <c r="J67" s="528">
        <f>SUMPRODUCT(('2002因素修正幅度'!$A$80:$A$87=A67)*('2002因素修正幅度'!$B$35:$K$35=$G$2)*('2002因素修正幅度'!$B$80:$K$87))</f>
        <v>-1.7000000000000001E-2</v>
      </c>
      <c r="K67" s="724"/>
      <c r="L67" s="725"/>
      <c r="M67" s="725"/>
      <c r="N67" s="725"/>
      <c r="O67" s="725"/>
      <c r="P67" s="725"/>
      <c r="Q67" s="725"/>
      <c r="R67" s="725"/>
      <c r="S67" s="725"/>
      <c r="T67" s="725"/>
      <c r="U67" s="725"/>
      <c r="V67" s="725"/>
      <c r="W67" s="726"/>
      <c r="X67" s="727"/>
      <c r="Y67" s="727"/>
      <c r="Z67" s="727"/>
      <c r="AA67" s="727"/>
      <c r="AB67" s="727"/>
      <c r="AC67" s="727"/>
      <c r="AD67" s="726"/>
      <c r="AE67" s="727"/>
      <c r="AF67" s="727"/>
      <c r="AG67" s="727"/>
    </row>
    <row r="68" spans="1:33" s="812" customFormat="1" ht="15">
      <c r="A68" s="242" t="s">
        <v>229</v>
      </c>
      <c r="B68" s="487">
        <f>1+E70</f>
        <v>1</v>
      </c>
      <c r="C68" s="807"/>
      <c r="D68" s="244"/>
      <c r="E68" s="245"/>
      <c r="F68" s="17"/>
      <c r="G68" s="17"/>
      <c r="H68" s="17"/>
      <c r="I68" s="17"/>
      <c r="J68" s="17"/>
      <c r="K68" s="724"/>
      <c r="L68" s="724"/>
      <c r="M68" s="724"/>
      <c r="N68" s="724"/>
      <c r="O68" s="724"/>
      <c r="P68" s="724"/>
      <c r="Q68" s="724"/>
      <c r="R68" s="724"/>
      <c r="S68" s="724"/>
      <c r="T68" s="724"/>
      <c r="U68" s="724"/>
      <c r="V68" s="724"/>
      <c r="W68" s="728"/>
      <c r="X68" s="728"/>
      <c r="Y68" s="728"/>
      <c r="Z68" s="728"/>
      <c r="AA68" s="728"/>
      <c r="AB68" s="728"/>
      <c r="AC68" s="728"/>
      <c r="AD68" s="727"/>
      <c r="AE68" s="727"/>
      <c r="AF68" s="727"/>
      <c r="AG68" s="727"/>
    </row>
    <row r="69" spans="1:33" s="812" customFormat="1" ht="13.5">
      <c r="A69" s="247" t="s">
        <v>895</v>
      </c>
      <c r="B69" s="254"/>
      <c r="C69" s="248" t="s">
        <v>897</v>
      </c>
      <c r="D69" s="249" t="s">
        <v>1512</v>
      </c>
      <c r="E69" s="250" t="s">
        <v>1513</v>
      </c>
      <c r="F69" s="138" t="s">
        <v>1514</v>
      </c>
      <c r="G69" s="138" t="s">
        <v>1515</v>
      </c>
      <c r="H69" s="138" t="s">
        <v>1516</v>
      </c>
      <c r="I69" s="138" t="s">
        <v>1517</v>
      </c>
      <c r="J69" s="138" t="s">
        <v>1518</v>
      </c>
      <c r="K69" s="724"/>
      <c r="L69" s="725"/>
      <c r="M69" s="725"/>
      <c r="N69" s="725"/>
      <c r="O69" s="725"/>
      <c r="P69" s="725"/>
      <c r="Q69" s="725"/>
      <c r="R69" s="725"/>
      <c r="S69" s="725"/>
      <c r="T69" s="725"/>
      <c r="U69" s="725"/>
      <c r="V69" s="725"/>
      <c r="W69" s="726"/>
      <c r="X69" s="727"/>
      <c r="Y69" s="727"/>
      <c r="Z69" s="727"/>
      <c r="AA69" s="727"/>
      <c r="AB69" s="727"/>
      <c r="AC69" s="727"/>
      <c r="AD69" s="726"/>
      <c r="AE69" s="727"/>
      <c r="AF69" s="727"/>
      <c r="AG69" s="727"/>
    </row>
    <row r="70" spans="1:33" s="812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1"/>
      <c r="D70" s="490">
        <f t="shared" ref="D70:D76" si="10">SUMIF($F$69:$J$69,C70,F70:J70)</f>
        <v>0</v>
      </c>
      <c r="E70" s="253">
        <f>SUM(D70:D76)</f>
        <v>0</v>
      </c>
      <c r="F70" s="528">
        <f>SUMPRODUCT(('2002因素修正幅度'!$A$58:$A$64=A70)*('2002因素修正幅度'!$B$35:$K$35=$G$2)*('2002因素修正幅度'!$B$58:$K$64))</f>
        <v>4.8000000000000001E-2</v>
      </c>
      <c r="G70" s="528">
        <f t="shared" ref="G70:G76" si="11">F70/2</f>
        <v>2.4E-2</v>
      </c>
      <c r="H70" s="529">
        <v>0</v>
      </c>
      <c r="I70" s="528">
        <f t="shared" ref="I70:I76" si="12">J70/2</f>
        <v>-2.4E-2</v>
      </c>
      <c r="J70" s="528">
        <f>SUMPRODUCT(('2002因素修正幅度'!$A$88:$A$94=A70)*('2002因素修正幅度'!$B$35:$K$35=$G$2)*('2002因素修正幅度'!$B$88:$K$94))</f>
        <v>-4.8000000000000001E-2</v>
      </c>
      <c r="K70" s="724"/>
      <c r="L70" s="725"/>
      <c r="M70" s="725"/>
      <c r="N70" s="725"/>
      <c r="O70" s="725"/>
      <c r="P70" s="725"/>
      <c r="Q70" s="725"/>
      <c r="R70" s="725"/>
      <c r="S70" s="725"/>
      <c r="T70" s="725"/>
      <c r="U70" s="725"/>
      <c r="V70" s="725"/>
      <c r="W70" s="726"/>
      <c r="X70" s="727"/>
      <c r="Y70" s="727"/>
      <c r="Z70" s="727"/>
      <c r="AA70" s="727"/>
      <c r="AB70" s="727"/>
      <c r="AC70" s="727"/>
      <c r="AD70" s="726"/>
      <c r="AE70" s="727"/>
      <c r="AF70" s="727"/>
      <c r="AG70" s="727"/>
    </row>
    <row r="71" spans="1:33" s="812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1"/>
      <c r="D71" s="490">
        <f t="shared" si="10"/>
        <v>0</v>
      </c>
      <c r="E71" s="263"/>
      <c r="F71" s="528">
        <f>SUMPRODUCT(('2002因素修正幅度'!$A$58:$A$64=A71)*('2002因素修正幅度'!$B$35:$K$35=$G$2)*('2002因素修正幅度'!$B$58:$K$64))</f>
        <v>7.6799999999999993E-2</v>
      </c>
      <c r="G71" s="528">
        <f t="shared" si="11"/>
        <v>3.8399999999999997E-2</v>
      </c>
      <c r="H71" s="529">
        <v>0</v>
      </c>
      <c r="I71" s="528">
        <f t="shared" si="12"/>
        <v>-3.8399999999999997E-2</v>
      </c>
      <c r="J71" s="528">
        <f>SUMPRODUCT(('2002因素修正幅度'!$A$88:$A$94=A71)*('2002因素修正幅度'!$B$35:$K$35=$G$2)*('2002因素修正幅度'!$B$88:$K$94))</f>
        <v>-7.6799999999999993E-2</v>
      </c>
      <c r="K71" s="724"/>
      <c r="L71" s="725"/>
      <c r="M71" s="725"/>
      <c r="N71" s="725"/>
      <c r="O71" s="725"/>
      <c r="P71" s="725"/>
      <c r="Q71" s="725"/>
      <c r="R71" s="725"/>
      <c r="S71" s="725"/>
      <c r="T71" s="725"/>
      <c r="U71" s="725"/>
      <c r="V71" s="725"/>
      <c r="W71" s="726"/>
      <c r="X71" s="727"/>
      <c r="Y71" s="727"/>
      <c r="Z71" s="727"/>
      <c r="AA71" s="727"/>
      <c r="AB71" s="727"/>
      <c r="AC71" s="727"/>
      <c r="AD71" s="726"/>
      <c r="AE71" s="727"/>
      <c r="AF71" s="727"/>
      <c r="AG71" s="727"/>
    </row>
    <row r="72" spans="1:33" s="812" customFormat="1" ht="24">
      <c r="A72" s="247" t="s">
        <v>16</v>
      </c>
      <c r="B72" s="254" t="str">
        <f>估价对象房地状况!G5</f>
        <v>零星有其他用地，基本不影响本宗地</v>
      </c>
      <c r="C72" s="811"/>
      <c r="D72" s="490">
        <f t="shared" si="10"/>
        <v>0</v>
      </c>
      <c r="E72" s="263"/>
      <c r="F72" s="528">
        <f>SUMPRODUCT(('2002因素修正幅度'!$A$58:$A$64=A72)*('2002因素修正幅度'!$B$35:$K$35=$G$2)*('2002因素修正幅度'!$B$58:$K$64))</f>
        <v>2.4E-2</v>
      </c>
      <c r="G72" s="528">
        <f t="shared" si="11"/>
        <v>1.2E-2</v>
      </c>
      <c r="H72" s="529">
        <v>0</v>
      </c>
      <c r="I72" s="528">
        <f t="shared" si="12"/>
        <v>-1.2E-2</v>
      </c>
      <c r="J72" s="528">
        <f>SUMPRODUCT(('2002因素修正幅度'!$A$88:$A$94=A72)*('2002因素修正幅度'!$B$35:$K$35=$G$2)*('2002因素修正幅度'!$B$88:$K$94))</f>
        <v>-2.4E-2</v>
      </c>
      <c r="K72" s="724"/>
      <c r="L72" s="725"/>
      <c r="M72" s="725"/>
      <c r="N72" s="725"/>
      <c r="O72" s="725"/>
      <c r="P72" s="725"/>
      <c r="Q72" s="725"/>
      <c r="R72" s="725"/>
      <c r="S72" s="725"/>
      <c r="T72" s="725"/>
      <c r="U72" s="725"/>
      <c r="V72" s="725"/>
      <c r="W72" s="726"/>
      <c r="X72" s="727"/>
      <c r="Y72" s="727"/>
      <c r="Z72" s="727"/>
      <c r="AA72" s="727"/>
      <c r="AB72" s="727"/>
      <c r="AC72" s="727"/>
      <c r="AD72" s="726"/>
      <c r="AE72" s="727"/>
      <c r="AF72" s="727"/>
      <c r="AG72" s="727"/>
    </row>
    <row r="73" spans="1:33" s="812" customFormat="1" ht="14.25">
      <c r="A73" s="247" t="s">
        <v>909</v>
      </c>
      <c r="B73" s="254">
        <f>估价对象房地状况!G10</f>
        <v>0</v>
      </c>
      <c r="C73" s="811"/>
      <c r="D73" s="490">
        <f t="shared" si="10"/>
        <v>0</v>
      </c>
      <c r="E73" s="263"/>
      <c r="F73" s="528">
        <f>SUMPRODUCT(('2002因素修正幅度'!$A$58:$A$64=A73)*('2002因素修正幅度'!$B$35:$K$35=$G$2)*('2002因素修正幅度'!$B$58:$K$64))</f>
        <v>1.9199999999999998E-2</v>
      </c>
      <c r="G73" s="528">
        <f t="shared" si="11"/>
        <v>9.5999999999999992E-3</v>
      </c>
      <c r="H73" s="529">
        <v>0</v>
      </c>
      <c r="I73" s="528">
        <f t="shared" si="12"/>
        <v>-9.5999999999999992E-3</v>
      </c>
      <c r="J73" s="528">
        <f>SUMPRODUCT(('2002因素修正幅度'!$A$88:$A$94=A73)*('2002因素修正幅度'!$B$35:$K$35=$G$2)*('2002因素修正幅度'!$B$88:$K$94))</f>
        <v>-1.9199999999999998E-2</v>
      </c>
      <c r="K73" s="724"/>
      <c r="L73" s="725"/>
      <c r="M73" s="725"/>
      <c r="N73" s="725"/>
      <c r="O73" s="725"/>
      <c r="P73" s="725"/>
      <c r="Q73" s="725"/>
      <c r="R73" s="725"/>
      <c r="S73" s="725"/>
      <c r="T73" s="725"/>
      <c r="U73" s="725"/>
      <c r="V73" s="725"/>
      <c r="W73" s="726"/>
      <c r="X73" s="727"/>
      <c r="Y73" s="727"/>
      <c r="Z73" s="727"/>
      <c r="AA73" s="727"/>
      <c r="AB73" s="727"/>
      <c r="AC73" s="727"/>
      <c r="AD73" s="726"/>
      <c r="AE73" s="727"/>
      <c r="AF73" s="727"/>
      <c r="AG73" s="727"/>
    </row>
    <row r="74" spans="1:33" s="812" customFormat="1" ht="24">
      <c r="A74" s="247" t="s">
        <v>903</v>
      </c>
      <c r="B74" s="1690" t="s">
        <v>1755</v>
      </c>
      <c r="C74" s="811"/>
      <c r="D74" s="490">
        <f t="shared" si="10"/>
        <v>0</v>
      </c>
      <c r="E74" s="263"/>
      <c r="F74" s="528">
        <f>SUMPRODUCT(('2002因素修正幅度'!$A$58:$A$64=A74)*('2002因素修正幅度'!$B$35:$K$35=$G$2)*('2002因素修正幅度'!$B$58:$K$64))</f>
        <v>2.8799999999999999E-2</v>
      </c>
      <c r="G74" s="528">
        <f t="shared" si="11"/>
        <v>1.44E-2</v>
      </c>
      <c r="H74" s="529">
        <v>0</v>
      </c>
      <c r="I74" s="528">
        <f t="shared" si="12"/>
        <v>-1.44E-2</v>
      </c>
      <c r="J74" s="528">
        <f>SUMPRODUCT(('2002因素修正幅度'!$A$88:$A$94=A74)*('2002因素修正幅度'!$B$35:$K$35=$G$2)*('2002因素修正幅度'!$B$88:$K$94))</f>
        <v>-2.8799999999999999E-2</v>
      </c>
      <c r="K74" s="724"/>
      <c r="L74" s="725"/>
      <c r="M74" s="725"/>
      <c r="N74" s="725"/>
      <c r="O74" s="725"/>
      <c r="P74" s="725"/>
      <c r="Q74" s="725"/>
      <c r="R74" s="725"/>
      <c r="S74" s="725"/>
      <c r="T74" s="725"/>
      <c r="U74" s="725"/>
      <c r="V74" s="725"/>
      <c r="W74" s="726"/>
      <c r="X74" s="727"/>
      <c r="Y74" s="727"/>
      <c r="Z74" s="727"/>
      <c r="AA74" s="727"/>
      <c r="AB74" s="727"/>
      <c r="AC74" s="727"/>
      <c r="AD74" s="726"/>
      <c r="AE74" s="727"/>
      <c r="AF74" s="727"/>
      <c r="AG74" s="727"/>
    </row>
    <row r="75" spans="1:33" s="812" customFormat="1" ht="24">
      <c r="A75" s="247" t="s">
        <v>905</v>
      </c>
      <c r="B75" s="486" t="str">
        <f>估价对象房地状况!G8</f>
        <v>估价对象所在区域基础设施水平</v>
      </c>
      <c r="C75" s="811"/>
      <c r="D75" s="490">
        <f t="shared" si="10"/>
        <v>0</v>
      </c>
      <c r="E75" s="263"/>
      <c r="F75" s="528">
        <f>SUMPRODUCT(('2002因素修正幅度'!$A$58:$A$64=A75)*('2002因素修正幅度'!$B$35:$K$35=$G$2)*('2002因素修正幅度'!$B$58:$K$64))</f>
        <v>2.4E-2</v>
      </c>
      <c r="G75" s="528">
        <f t="shared" si="11"/>
        <v>1.2E-2</v>
      </c>
      <c r="H75" s="529">
        <v>0</v>
      </c>
      <c r="I75" s="528">
        <f t="shared" si="12"/>
        <v>-1.2E-2</v>
      </c>
      <c r="J75" s="528">
        <f>SUMPRODUCT(('2002因素修正幅度'!$A$88:$A$94=A75)*('2002因素修正幅度'!$B$35:$K$35=$G$2)*('2002因素修正幅度'!$B$88:$K$94))</f>
        <v>-2.4E-2</v>
      </c>
      <c r="K75" s="724"/>
      <c r="L75" s="725"/>
      <c r="M75" s="725"/>
      <c r="N75" s="725"/>
      <c r="O75" s="725"/>
      <c r="P75" s="725"/>
      <c r="Q75" s="725"/>
      <c r="R75" s="725"/>
      <c r="S75" s="725"/>
      <c r="T75" s="725"/>
      <c r="U75" s="725"/>
      <c r="V75" s="725"/>
      <c r="W75" s="726"/>
      <c r="X75" s="727"/>
      <c r="Y75" s="727"/>
      <c r="Z75" s="727"/>
      <c r="AA75" s="727"/>
      <c r="AB75" s="727"/>
      <c r="AC75" s="727"/>
      <c r="AD75" s="726"/>
      <c r="AE75" s="727"/>
      <c r="AF75" s="727"/>
      <c r="AG75" s="727"/>
    </row>
    <row r="76" spans="1:33" s="812" customFormat="1" ht="36.75" thickBot="1">
      <c r="A76" s="258" t="s">
        <v>912</v>
      </c>
      <c r="B76" s="488" t="str">
        <f>估价对象房地状况!G6</f>
        <v>该园区内无污染型企业，绿化较好，卫生条件良好，整体环境状况较好</v>
      </c>
      <c r="C76" s="811"/>
      <c r="D76" s="490">
        <f t="shared" si="10"/>
        <v>0</v>
      </c>
      <c r="E76" s="264"/>
      <c r="F76" s="528">
        <f>SUMPRODUCT(('2002因素修正幅度'!$A$58:$A$64=A76)*('2002因素修正幅度'!$B$35:$K$35=$G$2)*('2002因素修正幅度'!$B$58:$K$64))</f>
        <v>1.9199999999999998E-2</v>
      </c>
      <c r="G76" s="528">
        <f t="shared" si="11"/>
        <v>9.5999999999999992E-3</v>
      </c>
      <c r="H76" s="529">
        <v>0</v>
      </c>
      <c r="I76" s="528">
        <f t="shared" si="12"/>
        <v>-9.5999999999999992E-3</v>
      </c>
      <c r="J76" s="528">
        <f>SUMPRODUCT(('2002因素修正幅度'!$A$88:$A$94=A76)*('2002因素修正幅度'!$B$35:$K$35=$G$2)*('2002因素修正幅度'!$B$88:$K$94))</f>
        <v>-1.9199999999999998E-2</v>
      </c>
      <c r="K76" s="724"/>
      <c r="L76" s="725"/>
      <c r="M76" s="725"/>
      <c r="N76" s="725"/>
      <c r="O76" s="725"/>
      <c r="P76" s="725"/>
      <c r="Q76" s="725"/>
      <c r="R76" s="725"/>
      <c r="S76" s="725"/>
      <c r="T76" s="725"/>
      <c r="U76" s="725"/>
      <c r="V76" s="725"/>
      <c r="W76" s="726"/>
      <c r="X76" s="727"/>
      <c r="Y76" s="727"/>
      <c r="Z76" s="727"/>
      <c r="AA76" s="727"/>
      <c r="AB76" s="727"/>
      <c r="AC76" s="727"/>
      <c r="AD76" s="726"/>
      <c r="AE76" s="727"/>
      <c r="AF76" s="727"/>
      <c r="AG76" s="727"/>
    </row>
    <row r="77" spans="1:33" s="812" customFormat="1">
      <c r="A77" s="726"/>
      <c r="B77" s="794"/>
      <c r="C77" s="725"/>
      <c r="D77" s="725"/>
      <c r="E77" s="725"/>
      <c r="F77" s="725"/>
      <c r="G77" s="725"/>
      <c r="H77" s="725"/>
      <c r="I77" s="725"/>
      <c r="J77" s="725"/>
      <c r="K77" s="724"/>
      <c r="L77" s="725"/>
      <c r="M77" s="725"/>
      <c r="N77" s="725"/>
      <c r="O77" s="725"/>
      <c r="P77" s="725"/>
      <c r="Q77" s="725"/>
      <c r="R77" s="725"/>
      <c r="S77" s="725"/>
      <c r="T77" s="725"/>
      <c r="U77" s="725"/>
      <c r="V77" s="725"/>
      <c r="W77" s="726"/>
      <c r="X77" s="727"/>
      <c r="Y77" s="727"/>
      <c r="Z77" s="727"/>
      <c r="AA77" s="727"/>
      <c r="AB77" s="727"/>
      <c r="AC77" s="727"/>
      <c r="AD77" s="726"/>
      <c r="AE77" s="727"/>
      <c r="AF77" s="727"/>
      <c r="AG77" s="727"/>
    </row>
    <row r="78" spans="1:33" s="812" customFormat="1">
      <c r="A78" s="726"/>
      <c r="B78" s="794"/>
      <c r="C78" s="725"/>
      <c r="D78" s="725"/>
      <c r="E78" s="725"/>
      <c r="F78" s="725"/>
      <c r="G78" s="725"/>
      <c r="H78" s="725"/>
      <c r="I78" s="725"/>
      <c r="J78" s="725"/>
      <c r="K78" s="724"/>
      <c r="L78" s="725"/>
      <c r="M78" s="725"/>
      <c r="N78" s="725"/>
      <c r="O78" s="725"/>
      <c r="P78" s="725"/>
      <c r="Q78" s="725"/>
      <c r="R78" s="725"/>
      <c r="S78" s="725"/>
      <c r="T78" s="725"/>
      <c r="U78" s="725"/>
      <c r="V78" s="725"/>
      <c r="W78" s="726"/>
      <c r="X78" s="727"/>
      <c r="Y78" s="727"/>
      <c r="Z78" s="727"/>
      <c r="AA78" s="727"/>
      <c r="AB78" s="727"/>
      <c r="AC78" s="727"/>
      <c r="AD78" s="726"/>
      <c r="AE78" s="727"/>
      <c r="AF78" s="727"/>
      <c r="AG78" s="727"/>
    </row>
    <row r="79" spans="1:33" s="812" customFormat="1">
      <c r="A79" s="726"/>
      <c r="B79" s="794"/>
      <c r="C79" s="725"/>
      <c r="D79" s="725"/>
      <c r="E79" s="725"/>
      <c r="F79" s="725"/>
      <c r="G79" s="725"/>
      <c r="H79" s="725"/>
      <c r="I79" s="725"/>
      <c r="J79" s="725"/>
      <c r="K79" s="724"/>
      <c r="L79" s="725"/>
      <c r="M79" s="725"/>
      <c r="N79" s="725"/>
      <c r="O79" s="725"/>
      <c r="P79" s="725"/>
      <c r="Q79" s="725"/>
      <c r="R79" s="725"/>
      <c r="S79" s="725"/>
      <c r="T79" s="725"/>
      <c r="U79" s="725"/>
      <c r="V79" s="725"/>
      <c r="W79" s="726"/>
      <c r="X79" s="727"/>
      <c r="Y79" s="727"/>
      <c r="Z79" s="727"/>
      <c r="AA79" s="727"/>
      <c r="AB79" s="727"/>
      <c r="AC79" s="727"/>
      <c r="AD79" s="726"/>
      <c r="AE79" s="727"/>
      <c r="AF79" s="727"/>
      <c r="AG79" s="727"/>
    </row>
    <row r="80" spans="1:33" s="812" customFormat="1" ht="13.5">
      <c r="A80" s="732" t="s">
        <v>1479</v>
      </c>
      <c r="B80" s="596">
        <f>G3</f>
        <v>7.09</v>
      </c>
      <c r="C80" s="725"/>
      <c r="D80" s="725"/>
      <c r="E80" s="725"/>
      <c r="F80" s="725"/>
      <c r="G80" s="813"/>
      <c r="H80" s="813"/>
      <c r="I80" s="813"/>
      <c r="J80" s="813"/>
      <c r="K80" s="724"/>
      <c r="L80" s="725"/>
      <c r="M80" s="725"/>
      <c r="N80" s="725"/>
      <c r="O80" s="725"/>
      <c r="P80" s="725"/>
      <c r="Q80" s="725"/>
      <c r="R80" s="725"/>
      <c r="S80" s="725"/>
      <c r="T80" s="725"/>
      <c r="U80" s="725"/>
      <c r="V80" s="725"/>
      <c r="W80" s="725"/>
      <c r="X80" s="725"/>
      <c r="Y80" s="725"/>
      <c r="Z80" s="726"/>
      <c r="AA80" s="727"/>
      <c r="AB80" s="727"/>
      <c r="AC80" s="727"/>
      <c r="AD80" s="727"/>
      <c r="AE80" s="727"/>
      <c r="AF80" s="727"/>
      <c r="AG80" s="727"/>
    </row>
    <row r="81" spans="1:36" s="812" customFormat="1" ht="12.75">
      <c r="A81" s="732" t="s">
        <v>1480</v>
      </c>
      <c r="B81" s="597">
        <f>SUMIF(A82:A85,E2,B82:B85)</f>
        <v>0.62749999999999995</v>
      </c>
      <c r="C81" s="725"/>
      <c r="D81" s="725"/>
      <c r="E81" s="725"/>
      <c r="F81" s="725"/>
      <c r="G81" s="725"/>
      <c r="H81" s="725"/>
      <c r="I81" s="725"/>
      <c r="J81" s="725"/>
      <c r="K81" s="724"/>
      <c r="L81" s="725"/>
      <c r="M81" s="725"/>
      <c r="N81" s="725"/>
      <c r="O81" s="725"/>
      <c r="P81" s="725"/>
      <c r="Q81" s="725"/>
      <c r="R81" s="725"/>
      <c r="S81" s="725"/>
      <c r="T81" s="725"/>
      <c r="U81" s="725"/>
      <c r="V81" s="725"/>
      <c r="W81" s="725"/>
      <c r="X81" s="725"/>
      <c r="Y81" s="725"/>
      <c r="Z81" s="726"/>
      <c r="AA81" s="727"/>
      <c r="AB81" s="727"/>
      <c r="AC81" s="727"/>
      <c r="AD81" s="727"/>
      <c r="AE81" s="727"/>
      <c r="AF81" s="727"/>
      <c r="AG81" s="727"/>
    </row>
    <row r="82" spans="1:36" s="812" customFormat="1" ht="12.75">
      <c r="A82" s="814" t="s">
        <v>0</v>
      </c>
      <c r="B82" s="597">
        <f>ROUND(0.892-0.0373*B80,4)</f>
        <v>0.62749999999999995</v>
      </c>
      <c r="C82" s="725"/>
      <c r="D82" s="725"/>
      <c r="E82" s="725"/>
      <c r="F82" s="725"/>
      <c r="G82" s="725"/>
      <c r="H82" s="725"/>
      <c r="I82" s="725"/>
      <c r="J82" s="725"/>
      <c r="K82" s="724"/>
      <c r="L82" s="725"/>
      <c r="M82" s="725"/>
      <c r="N82" s="725"/>
      <c r="O82" s="725"/>
      <c r="P82" s="725"/>
      <c r="Q82" s="725"/>
      <c r="R82" s="725"/>
      <c r="S82" s="725"/>
      <c r="T82" s="725"/>
      <c r="U82" s="725"/>
      <c r="V82" s="725"/>
      <c r="W82" s="725"/>
      <c r="X82" s="725"/>
      <c r="Y82" s="725"/>
      <c r="Z82" s="726"/>
      <c r="AA82" s="727"/>
      <c r="AB82" s="727"/>
      <c r="AC82" s="727"/>
      <c r="AD82" s="727"/>
      <c r="AE82" s="727"/>
      <c r="AF82" s="727"/>
      <c r="AG82" s="727"/>
    </row>
    <row r="83" spans="1:36" s="812" customFormat="1" ht="13.5">
      <c r="A83" s="814" t="s">
        <v>1318</v>
      </c>
      <c r="B83" s="597">
        <f>ROUND(1.007-0.0278*B80,4)</f>
        <v>0.80989999999999995</v>
      </c>
      <c r="C83" s="725"/>
      <c r="D83" s="725"/>
      <c r="E83" s="725"/>
      <c r="F83" s="725"/>
      <c r="G83" s="725"/>
      <c r="H83" s="725"/>
      <c r="I83" s="725"/>
      <c r="J83" s="725"/>
      <c r="K83" s="724"/>
      <c r="L83" s="813"/>
      <c r="M83" s="813"/>
      <c r="N83" s="725"/>
      <c r="O83" s="725"/>
      <c r="P83" s="725"/>
      <c r="Q83" s="725"/>
      <c r="R83" s="725"/>
      <c r="S83" s="725"/>
      <c r="T83" s="725"/>
      <c r="U83" s="725"/>
      <c r="V83" s="725"/>
      <c r="W83" s="725"/>
      <c r="X83" s="725"/>
      <c r="Y83" s="725"/>
      <c r="Z83" s="726"/>
      <c r="AA83" s="727"/>
      <c r="AB83" s="727"/>
      <c r="AC83" s="727"/>
      <c r="AD83" s="727"/>
      <c r="AE83" s="727"/>
      <c r="AF83" s="727"/>
      <c r="AG83" s="727"/>
    </row>
    <row r="84" spans="1:36" ht="12.75">
      <c r="A84" s="814" t="s">
        <v>1320</v>
      </c>
      <c r="B84" s="597">
        <f>ROUND(1.018-0.0219*B80,4)</f>
        <v>0.86270000000000002</v>
      </c>
      <c r="K84" s="725"/>
      <c r="AE84" s="726"/>
      <c r="AF84" s="726"/>
      <c r="AH84" s="725"/>
      <c r="AI84" s="725"/>
      <c r="AJ84" s="725"/>
    </row>
    <row r="85" spans="1:36" s="812" customFormat="1" ht="13.5" thickBot="1">
      <c r="A85" s="815" t="s">
        <v>1321</v>
      </c>
      <c r="B85" s="598">
        <f>ROUND(0.7275-0.01*B80,4)</f>
        <v>0.65659999999999996</v>
      </c>
      <c r="C85" s="725"/>
      <c r="D85" s="725"/>
      <c r="E85" s="725"/>
      <c r="F85" s="725"/>
      <c r="G85" s="725"/>
      <c r="H85" s="725"/>
      <c r="I85" s="725"/>
      <c r="J85" s="725"/>
      <c r="K85" s="724"/>
      <c r="L85" s="725"/>
      <c r="M85" s="725"/>
      <c r="N85" s="725"/>
      <c r="O85" s="725"/>
      <c r="P85" s="725"/>
      <c r="Q85" s="725"/>
      <c r="R85" s="725"/>
      <c r="S85" s="725"/>
      <c r="T85" s="725"/>
      <c r="U85" s="725"/>
      <c r="V85" s="725"/>
      <c r="W85" s="725"/>
      <c r="X85" s="725"/>
      <c r="Y85" s="725"/>
      <c r="Z85" s="726"/>
      <c r="AA85" s="727"/>
      <c r="AB85" s="727"/>
      <c r="AC85" s="727"/>
      <c r="AD85" s="727"/>
      <c r="AE85" s="727"/>
      <c r="AF85" s="727"/>
      <c r="AG85" s="727"/>
    </row>
    <row r="86" spans="1:36">
      <c r="K86" s="725"/>
      <c r="AE86" s="726"/>
      <c r="AF86" s="726"/>
      <c r="AH86" s="725"/>
      <c r="AI86" s="725"/>
      <c r="AJ86" s="725"/>
    </row>
    <row r="87" spans="1:36" ht="12.75" thickBot="1">
      <c r="K87" s="725"/>
      <c r="AE87" s="726"/>
      <c r="AF87" s="726"/>
      <c r="AH87" s="725"/>
      <c r="AI87" s="725"/>
      <c r="AJ87" s="725"/>
    </row>
    <row r="88" spans="1:36" ht="14.25" thickBot="1">
      <c r="A88" s="816" t="s">
        <v>689</v>
      </c>
      <c r="B88" s="817" t="s">
        <v>293</v>
      </c>
      <c r="C88" s="817" t="s">
        <v>33</v>
      </c>
      <c r="D88" s="817" t="s">
        <v>295</v>
      </c>
      <c r="E88" s="817" t="s">
        <v>30</v>
      </c>
      <c r="F88" s="817" t="s">
        <v>31</v>
      </c>
      <c r="G88" s="817" t="s">
        <v>32</v>
      </c>
      <c r="H88" s="817" t="s">
        <v>299</v>
      </c>
      <c r="I88" s="817" t="s">
        <v>300</v>
      </c>
      <c r="J88" s="817" t="s">
        <v>301</v>
      </c>
      <c r="K88" s="817" t="s">
        <v>302</v>
      </c>
      <c r="AE88" s="726"/>
      <c r="AF88" s="726"/>
      <c r="AH88" s="725"/>
      <c r="AI88" s="725"/>
      <c r="AJ88" s="725"/>
    </row>
    <row r="89" spans="1:36" ht="13.5">
      <c r="A89" s="818" t="s">
        <v>0</v>
      </c>
      <c r="B89" s="819">
        <v>2</v>
      </c>
      <c r="C89" s="819">
        <v>2</v>
      </c>
      <c r="D89" s="819">
        <v>2</v>
      </c>
      <c r="E89" s="819">
        <v>2</v>
      </c>
      <c r="F89" s="819">
        <v>2</v>
      </c>
      <c r="G89" s="819">
        <v>2</v>
      </c>
      <c r="H89" s="820">
        <v>1</v>
      </c>
      <c r="I89" s="820">
        <v>1</v>
      </c>
      <c r="J89" s="820">
        <v>1</v>
      </c>
      <c r="K89" s="820">
        <v>1</v>
      </c>
      <c r="AE89" s="726"/>
      <c r="AF89" s="726"/>
      <c r="AH89" s="725"/>
      <c r="AI89" s="725"/>
      <c r="AJ89" s="725"/>
    </row>
    <row r="90" spans="1:36" ht="13.5">
      <c r="A90" s="525" t="s">
        <v>1315</v>
      </c>
      <c r="B90" s="821">
        <v>2</v>
      </c>
      <c r="C90" s="821">
        <v>2</v>
      </c>
      <c r="D90" s="821">
        <v>2</v>
      </c>
      <c r="E90" s="821">
        <v>2</v>
      </c>
      <c r="F90" s="821">
        <v>2</v>
      </c>
      <c r="G90" s="821">
        <v>2</v>
      </c>
      <c r="H90" s="822">
        <v>1</v>
      </c>
      <c r="I90" s="822">
        <v>1</v>
      </c>
      <c r="J90" s="822">
        <v>1</v>
      </c>
      <c r="K90" s="822">
        <v>1</v>
      </c>
      <c r="AE90" s="726"/>
      <c r="AF90" s="726"/>
      <c r="AH90" s="725"/>
      <c r="AI90" s="725"/>
      <c r="AJ90" s="725"/>
    </row>
    <row r="91" spans="1:36" ht="13.5">
      <c r="A91" s="525" t="s">
        <v>1316</v>
      </c>
      <c r="B91" s="821">
        <v>2</v>
      </c>
      <c r="C91" s="821">
        <v>2</v>
      </c>
      <c r="D91" s="821">
        <v>2</v>
      </c>
      <c r="E91" s="821">
        <v>2</v>
      </c>
      <c r="F91" s="821">
        <v>2</v>
      </c>
      <c r="G91" s="821">
        <v>2</v>
      </c>
      <c r="H91" s="822">
        <v>1</v>
      </c>
      <c r="I91" s="822">
        <v>1</v>
      </c>
      <c r="J91" s="822">
        <v>1</v>
      </c>
      <c r="K91" s="822">
        <v>1</v>
      </c>
      <c r="AE91" s="726"/>
      <c r="AF91" s="726"/>
      <c r="AH91" s="725"/>
      <c r="AI91" s="725"/>
      <c r="AJ91" s="725"/>
    </row>
    <row r="92" spans="1:36" ht="14.25" thickBot="1">
      <c r="A92" s="823" t="s">
        <v>229</v>
      </c>
      <c r="B92" s="824">
        <v>1</v>
      </c>
      <c r="C92" s="824">
        <v>1</v>
      </c>
      <c r="D92" s="824">
        <v>1</v>
      </c>
      <c r="E92" s="824">
        <v>1</v>
      </c>
      <c r="F92" s="824">
        <v>1</v>
      </c>
      <c r="G92" s="824">
        <v>1</v>
      </c>
      <c r="H92" s="824">
        <v>1</v>
      </c>
      <c r="I92" s="824">
        <v>1</v>
      </c>
      <c r="J92" s="824">
        <v>1</v>
      </c>
      <c r="K92" s="824">
        <v>1</v>
      </c>
      <c r="AE92" s="726"/>
      <c r="AF92" s="726"/>
      <c r="AH92" s="725"/>
      <c r="AI92" s="725"/>
      <c r="AJ92" s="725"/>
    </row>
    <row r="93" spans="1:36">
      <c r="K93" s="725"/>
      <c r="AE93" s="726"/>
      <c r="AF93" s="726"/>
      <c r="AH93" s="725"/>
      <c r="AI93" s="725"/>
      <c r="AJ93" s="725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9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83"/>
    <col min="10" max="10" width="2.25" style="583" customWidth="1"/>
    <col min="11" max="11" width="11.5" style="583" customWidth="1"/>
    <col min="12" max="16384" width="9" style="583"/>
  </cols>
  <sheetData>
    <row r="1" spans="1:19" ht="14.25" thickBot="1">
      <c r="K1" s="579" t="str">
        <f>'2002基准地价'!E2</f>
        <v>商业</v>
      </c>
      <c r="L1" s="579" t="str">
        <f>'2002基准地价'!G2</f>
        <v>四级</v>
      </c>
      <c r="M1" s="580">
        <f>SUMPRODUCT((K3:K12=L1)*(L2:O2=K1)*(L3:O12))</f>
        <v>4405</v>
      </c>
    </row>
    <row r="2" spans="1:19">
      <c r="A2" s="584" t="s">
        <v>1309</v>
      </c>
      <c r="B2" s="585" t="s">
        <v>1305</v>
      </c>
      <c r="C2" s="586"/>
      <c r="D2" s="587" t="s">
        <v>1306</v>
      </c>
      <c r="E2" s="587"/>
      <c r="F2" s="588" t="s">
        <v>1307</v>
      </c>
      <c r="G2" s="587"/>
      <c r="H2" s="588" t="s">
        <v>1308</v>
      </c>
      <c r="I2" s="587"/>
      <c r="K2" s="272"/>
      <c r="L2" s="273" t="s">
        <v>0</v>
      </c>
      <c r="M2" s="273" t="s">
        <v>1315</v>
      </c>
      <c r="N2" s="273" t="s">
        <v>1316</v>
      </c>
      <c r="O2" s="273" t="s">
        <v>229</v>
      </c>
    </row>
    <row r="3" spans="1:19">
      <c r="A3" s="589"/>
      <c r="B3" s="590" t="s">
        <v>1304</v>
      </c>
      <c r="C3" s="590" t="s">
        <v>1303</v>
      </c>
      <c r="D3" s="581" t="s">
        <v>1304</v>
      </c>
      <c r="E3" s="581" t="s">
        <v>1303</v>
      </c>
      <c r="F3" s="581" t="s">
        <v>1304</v>
      </c>
      <c r="G3" s="581" t="s">
        <v>1303</v>
      </c>
      <c r="H3" s="581" t="s">
        <v>1304</v>
      </c>
      <c r="I3" s="581" t="s">
        <v>1303</v>
      </c>
      <c r="K3" s="581" t="s">
        <v>346</v>
      </c>
      <c r="L3" s="582">
        <f>ROUND(AVERAGE(B4:C4),0)</f>
        <v>8480</v>
      </c>
      <c r="M3" s="582">
        <f>ROUND(AVERAGE(D4:E4),0)</f>
        <v>6895</v>
      </c>
      <c r="N3" s="582">
        <f>ROUND(AVERAGE(F4:G4),0)</f>
        <v>5870</v>
      </c>
      <c r="O3" s="582">
        <f>ROUND(AVERAGE(H4:I4),0)</f>
        <v>1500</v>
      </c>
    </row>
    <row r="4" spans="1:19">
      <c r="A4" s="581" t="s">
        <v>346</v>
      </c>
      <c r="B4" s="591">
        <v>7210</v>
      </c>
      <c r="C4" s="591">
        <v>9750</v>
      </c>
      <c r="D4" s="591">
        <v>5540</v>
      </c>
      <c r="E4" s="591">
        <v>8250</v>
      </c>
      <c r="F4" s="591">
        <v>4740</v>
      </c>
      <c r="G4" s="591">
        <v>7000</v>
      </c>
      <c r="H4" s="591">
        <v>1200</v>
      </c>
      <c r="I4" s="591">
        <v>1800</v>
      </c>
      <c r="K4" s="581" t="s">
        <v>406</v>
      </c>
      <c r="L4" s="582">
        <f t="shared" ref="L4:L12" si="0">ROUND(AVERAGE(B5:C5),0)</f>
        <v>6680</v>
      </c>
      <c r="M4" s="582">
        <f t="shared" ref="M4:M12" si="1">ROUND(AVERAGE(D5:E5),0)</f>
        <v>5220</v>
      </c>
      <c r="N4" s="582">
        <f t="shared" ref="N4:N12" si="2">ROUND(AVERAGE(F5:G5),0)</f>
        <v>4780</v>
      </c>
      <c r="O4" s="582">
        <f t="shared" ref="O4:O11" si="3">ROUND(AVERAGE(H5:I5),0)</f>
        <v>1110</v>
      </c>
    </row>
    <row r="5" spans="1:19">
      <c r="A5" s="581" t="s">
        <v>406</v>
      </c>
      <c r="B5" s="591">
        <v>5680</v>
      </c>
      <c r="C5" s="591">
        <v>7680</v>
      </c>
      <c r="D5" s="591">
        <v>4440</v>
      </c>
      <c r="E5" s="591">
        <v>6000</v>
      </c>
      <c r="F5" s="591">
        <v>3800</v>
      </c>
      <c r="G5" s="591">
        <v>5760</v>
      </c>
      <c r="H5" s="591">
        <v>1000</v>
      </c>
      <c r="I5" s="591">
        <v>1220</v>
      </c>
      <c r="K5" s="581" t="s">
        <v>584</v>
      </c>
      <c r="L5" s="582">
        <f t="shared" si="0"/>
        <v>5330</v>
      </c>
      <c r="M5" s="582">
        <f t="shared" si="1"/>
        <v>4280</v>
      </c>
      <c r="N5" s="582">
        <f t="shared" si="2"/>
        <v>3660</v>
      </c>
      <c r="O5" s="582">
        <f t="shared" si="3"/>
        <v>950</v>
      </c>
    </row>
    <row r="6" spans="1:19">
      <c r="A6" s="581" t="s">
        <v>584</v>
      </c>
      <c r="B6" s="591">
        <v>4530</v>
      </c>
      <c r="C6" s="591">
        <v>6130</v>
      </c>
      <c r="D6" s="591">
        <v>3620</v>
      </c>
      <c r="E6" s="591">
        <v>4940</v>
      </c>
      <c r="F6" s="591">
        <v>2730</v>
      </c>
      <c r="G6" s="591">
        <v>4590</v>
      </c>
      <c r="H6" s="591">
        <v>850</v>
      </c>
      <c r="I6" s="591">
        <v>1050</v>
      </c>
      <c r="K6" s="581" t="s">
        <v>254</v>
      </c>
      <c r="L6" s="582">
        <f t="shared" si="0"/>
        <v>4405</v>
      </c>
      <c r="M6" s="582">
        <f t="shared" si="1"/>
        <v>3275</v>
      </c>
      <c r="N6" s="582">
        <f t="shared" si="2"/>
        <v>2845</v>
      </c>
      <c r="O6" s="582">
        <f t="shared" si="3"/>
        <v>750</v>
      </c>
    </row>
    <row r="7" spans="1:19">
      <c r="A7" s="581" t="s">
        <v>254</v>
      </c>
      <c r="B7" s="591">
        <v>3720</v>
      </c>
      <c r="C7" s="591">
        <v>5090</v>
      </c>
      <c r="D7" s="591">
        <v>2650</v>
      </c>
      <c r="E7" s="591">
        <v>3900</v>
      </c>
      <c r="F7" s="591">
        <v>2090</v>
      </c>
      <c r="G7" s="591">
        <v>3600</v>
      </c>
      <c r="H7" s="591">
        <v>600</v>
      </c>
      <c r="I7" s="591">
        <v>900</v>
      </c>
      <c r="K7" s="581" t="s">
        <v>666</v>
      </c>
      <c r="L7" s="582">
        <f t="shared" si="0"/>
        <v>3360</v>
      </c>
      <c r="M7" s="582">
        <f t="shared" si="1"/>
        <v>2375</v>
      </c>
      <c r="N7" s="582">
        <f t="shared" si="2"/>
        <v>2145</v>
      </c>
      <c r="O7" s="582">
        <f t="shared" si="3"/>
        <v>550</v>
      </c>
    </row>
    <row r="8" spans="1:19">
      <c r="A8" s="581" t="s">
        <v>666</v>
      </c>
      <c r="B8" s="591">
        <v>2720</v>
      </c>
      <c r="C8" s="591">
        <v>4000</v>
      </c>
      <c r="D8" s="591">
        <v>1960</v>
      </c>
      <c r="E8" s="591">
        <v>2790</v>
      </c>
      <c r="F8" s="591">
        <v>1500</v>
      </c>
      <c r="G8" s="591">
        <v>2790</v>
      </c>
      <c r="H8" s="591">
        <v>420</v>
      </c>
      <c r="I8" s="591">
        <v>680</v>
      </c>
      <c r="K8" s="581" t="s">
        <v>34</v>
      </c>
      <c r="L8" s="582">
        <f t="shared" si="0"/>
        <v>2435</v>
      </c>
      <c r="M8" s="582">
        <f t="shared" si="1"/>
        <v>1685</v>
      </c>
      <c r="N8" s="582">
        <f t="shared" si="2"/>
        <v>1440</v>
      </c>
      <c r="O8" s="582">
        <f t="shared" si="3"/>
        <v>410</v>
      </c>
    </row>
    <row r="9" spans="1:19">
      <c r="A9" s="581" t="s">
        <v>34</v>
      </c>
      <c r="B9" s="591">
        <v>1970</v>
      </c>
      <c r="C9" s="591">
        <v>2900</v>
      </c>
      <c r="D9" s="591">
        <v>1290</v>
      </c>
      <c r="E9" s="591">
        <v>2080</v>
      </c>
      <c r="F9" s="591">
        <v>1060</v>
      </c>
      <c r="G9" s="591">
        <v>1820</v>
      </c>
      <c r="H9" s="591">
        <v>310</v>
      </c>
      <c r="I9" s="591">
        <v>510</v>
      </c>
      <c r="K9" s="581" t="s">
        <v>669</v>
      </c>
      <c r="L9" s="582">
        <f t="shared" si="0"/>
        <v>1565</v>
      </c>
      <c r="M9" s="582">
        <f t="shared" si="1"/>
        <v>1100</v>
      </c>
      <c r="N9" s="582">
        <f t="shared" si="2"/>
        <v>855</v>
      </c>
      <c r="O9" s="582">
        <f t="shared" si="3"/>
        <v>275</v>
      </c>
    </row>
    <row r="10" spans="1:19">
      <c r="A10" s="581" t="s">
        <v>669</v>
      </c>
      <c r="B10" s="591">
        <v>1150</v>
      </c>
      <c r="C10" s="591">
        <v>1980</v>
      </c>
      <c r="D10" s="591">
        <v>880</v>
      </c>
      <c r="E10" s="591">
        <v>1320</v>
      </c>
      <c r="F10" s="591">
        <v>630</v>
      </c>
      <c r="G10" s="591">
        <v>1080</v>
      </c>
      <c r="H10" s="591">
        <v>220</v>
      </c>
      <c r="I10" s="591">
        <v>330</v>
      </c>
      <c r="K10" s="581" t="s">
        <v>671</v>
      </c>
      <c r="L10" s="582">
        <f t="shared" si="0"/>
        <v>855</v>
      </c>
      <c r="M10" s="582">
        <f t="shared" si="1"/>
        <v>665</v>
      </c>
      <c r="N10" s="582">
        <f t="shared" si="2"/>
        <v>490</v>
      </c>
      <c r="O10" s="582">
        <f t="shared" si="3"/>
        <v>195</v>
      </c>
    </row>
    <row r="11" spans="1:19">
      <c r="A11" s="581" t="s">
        <v>671</v>
      </c>
      <c r="B11" s="591">
        <v>530</v>
      </c>
      <c r="C11" s="591">
        <v>1180</v>
      </c>
      <c r="D11" s="591">
        <v>430</v>
      </c>
      <c r="E11" s="591">
        <v>900</v>
      </c>
      <c r="F11" s="591">
        <v>330</v>
      </c>
      <c r="G11" s="591">
        <v>650</v>
      </c>
      <c r="H11" s="591">
        <v>150</v>
      </c>
      <c r="I11" s="591">
        <v>240</v>
      </c>
      <c r="K11" s="581" t="s">
        <v>673</v>
      </c>
      <c r="L11" s="582">
        <f t="shared" si="0"/>
        <v>395</v>
      </c>
      <c r="M11" s="582">
        <f t="shared" si="1"/>
        <v>325</v>
      </c>
      <c r="N11" s="582">
        <f t="shared" si="2"/>
        <v>275</v>
      </c>
      <c r="O11" s="582">
        <f t="shared" si="3"/>
        <v>135</v>
      </c>
    </row>
    <row r="12" spans="1:19">
      <c r="A12" s="581" t="s">
        <v>673</v>
      </c>
      <c r="B12" s="591">
        <v>250</v>
      </c>
      <c r="C12" s="591">
        <v>540</v>
      </c>
      <c r="D12" s="591">
        <v>200</v>
      </c>
      <c r="E12" s="591">
        <v>450</v>
      </c>
      <c r="F12" s="591">
        <v>180</v>
      </c>
      <c r="G12" s="591">
        <v>370</v>
      </c>
      <c r="H12" s="591">
        <v>100</v>
      </c>
      <c r="I12" s="591">
        <v>170</v>
      </c>
      <c r="K12" s="581" t="s">
        <v>677</v>
      </c>
      <c r="L12" s="582">
        <f t="shared" si="0"/>
        <v>200</v>
      </c>
      <c r="M12" s="582">
        <f t="shared" si="1"/>
        <v>200</v>
      </c>
      <c r="N12" s="582">
        <f t="shared" si="2"/>
        <v>200</v>
      </c>
      <c r="O12" s="582"/>
    </row>
    <row r="13" spans="1:19" ht="14.25" thickBot="1">
      <c r="A13" s="581" t="s">
        <v>677</v>
      </c>
      <c r="B13" s="591">
        <v>140</v>
      </c>
      <c r="C13" s="591">
        <v>260</v>
      </c>
      <c r="D13" s="591">
        <v>140</v>
      </c>
      <c r="E13" s="591">
        <v>260</v>
      </c>
      <c r="F13" s="591">
        <v>140</v>
      </c>
      <c r="G13" s="591">
        <v>260</v>
      </c>
      <c r="H13" s="591"/>
      <c r="I13" s="591"/>
    </row>
    <row r="14" spans="1:19">
      <c r="A14" s="592" t="s">
        <v>1310</v>
      </c>
      <c r="B14" s="581" t="s">
        <v>1304</v>
      </c>
      <c r="C14" s="581" t="s">
        <v>1303</v>
      </c>
      <c r="D14" s="581" t="s">
        <v>1304</v>
      </c>
      <c r="E14" s="581" t="s">
        <v>1303</v>
      </c>
      <c r="F14" s="581" t="s">
        <v>1304</v>
      </c>
      <c r="G14" s="581" t="s">
        <v>1303</v>
      </c>
      <c r="H14" s="581" t="s">
        <v>1304</v>
      </c>
      <c r="I14" s="593" t="s">
        <v>1303</v>
      </c>
      <c r="L14" s="1044" t="s">
        <v>0</v>
      </c>
      <c r="M14" s="273" t="s">
        <v>1315</v>
      </c>
      <c r="N14" s="273" t="s">
        <v>1316</v>
      </c>
      <c r="O14" s="1045" t="s">
        <v>229</v>
      </c>
      <c r="P14" s="1044" t="s">
        <v>0</v>
      </c>
      <c r="Q14" s="273" t="s">
        <v>1315</v>
      </c>
      <c r="R14" s="273" t="s">
        <v>1316</v>
      </c>
      <c r="S14" s="1045" t="s">
        <v>229</v>
      </c>
    </row>
    <row r="15" spans="1:19" ht="14.25">
      <c r="A15" s="581" t="s">
        <v>346</v>
      </c>
      <c r="B15" s="591">
        <v>2660</v>
      </c>
      <c r="C15" s="591">
        <v>4900</v>
      </c>
      <c r="D15" s="591">
        <v>1640</v>
      </c>
      <c r="E15" s="591">
        <v>4500</v>
      </c>
      <c r="F15" s="591">
        <v>1710</v>
      </c>
      <c r="G15" s="591">
        <v>3000</v>
      </c>
      <c r="H15" s="594">
        <v>420</v>
      </c>
      <c r="I15" s="595">
        <v>850</v>
      </c>
      <c r="K15" s="1043" t="s">
        <v>346</v>
      </c>
      <c r="L15" s="1046">
        <v>2660</v>
      </c>
      <c r="M15" s="591">
        <v>1640</v>
      </c>
      <c r="N15" s="591">
        <v>1710</v>
      </c>
      <c r="O15" s="1047">
        <v>420</v>
      </c>
      <c r="P15" s="1046">
        <v>4900</v>
      </c>
      <c r="Q15" s="591">
        <v>4500</v>
      </c>
      <c r="R15" s="591">
        <v>3000</v>
      </c>
      <c r="S15" s="608">
        <v>850</v>
      </c>
    </row>
    <row r="16" spans="1:19" ht="14.25">
      <c r="A16" s="581" t="s">
        <v>406</v>
      </c>
      <c r="B16" s="591">
        <v>1680</v>
      </c>
      <c r="C16" s="591">
        <v>3120</v>
      </c>
      <c r="D16" s="591">
        <v>1460</v>
      </c>
      <c r="E16" s="591">
        <v>2200</v>
      </c>
      <c r="F16" s="591">
        <v>900</v>
      </c>
      <c r="G16" s="591">
        <v>2100</v>
      </c>
      <c r="H16" s="594">
        <v>430</v>
      </c>
      <c r="I16" s="595">
        <v>530</v>
      </c>
      <c r="K16" s="1043" t="s">
        <v>406</v>
      </c>
      <c r="L16" s="1046">
        <v>1680</v>
      </c>
      <c r="M16" s="591">
        <v>1460</v>
      </c>
      <c r="N16" s="591">
        <v>900</v>
      </c>
      <c r="O16" s="1047">
        <v>430</v>
      </c>
      <c r="P16" s="1046">
        <v>3120</v>
      </c>
      <c r="Q16" s="591">
        <v>2200</v>
      </c>
      <c r="R16" s="591">
        <v>2100</v>
      </c>
      <c r="S16" s="608">
        <v>530</v>
      </c>
    </row>
    <row r="17" spans="1:19" ht="14.25">
      <c r="A17" s="581" t="s">
        <v>584</v>
      </c>
      <c r="B17" s="591">
        <v>1500</v>
      </c>
      <c r="C17" s="591">
        <v>2420</v>
      </c>
      <c r="D17" s="591">
        <v>1130</v>
      </c>
      <c r="E17" s="591">
        <v>1690</v>
      </c>
      <c r="F17" s="591">
        <v>550</v>
      </c>
      <c r="G17" s="591">
        <v>1300</v>
      </c>
      <c r="H17" s="594">
        <v>340</v>
      </c>
      <c r="I17" s="595">
        <v>440</v>
      </c>
      <c r="K17" s="1043" t="s">
        <v>584</v>
      </c>
      <c r="L17" s="1046">
        <v>1500</v>
      </c>
      <c r="M17" s="591">
        <v>1130</v>
      </c>
      <c r="N17" s="591">
        <v>550</v>
      </c>
      <c r="O17" s="1047">
        <v>340</v>
      </c>
      <c r="P17" s="1046">
        <v>2420</v>
      </c>
      <c r="Q17" s="591">
        <v>1690</v>
      </c>
      <c r="R17" s="591">
        <v>1300</v>
      </c>
      <c r="S17" s="608">
        <v>440</v>
      </c>
    </row>
    <row r="18" spans="1:19" ht="14.25">
      <c r="A18" s="581" t="s">
        <v>254</v>
      </c>
      <c r="B18" s="591">
        <v>1240</v>
      </c>
      <c r="C18" s="591">
        <v>1860</v>
      </c>
      <c r="D18" s="591">
        <v>880</v>
      </c>
      <c r="E18" s="591">
        <v>1320</v>
      </c>
      <c r="F18" s="591">
        <v>400</v>
      </c>
      <c r="G18" s="591">
        <v>930</v>
      </c>
      <c r="H18" s="594">
        <v>270</v>
      </c>
      <c r="I18" s="595">
        <v>360</v>
      </c>
      <c r="K18" s="1043" t="s">
        <v>254</v>
      </c>
      <c r="L18" s="1046">
        <v>1240</v>
      </c>
      <c r="M18" s="591">
        <v>880</v>
      </c>
      <c r="N18" s="591">
        <v>400</v>
      </c>
      <c r="O18" s="1047">
        <v>270</v>
      </c>
      <c r="P18" s="1046">
        <v>1860</v>
      </c>
      <c r="Q18" s="591">
        <v>1320</v>
      </c>
      <c r="R18" s="591">
        <v>930</v>
      </c>
      <c r="S18" s="608">
        <v>360</v>
      </c>
    </row>
    <row r="19" spans="1:19" ht="14.25">
      <c r="A19" s="581" t="s">
        <v>666</v>
      </c>
      <c r="B19" s="591">
        <v>970</v>
      </c>
      <c r="C19" s="591">
        <v>1450</v>
      </c>
      <c r="D19" s="591">
        <v>660</v>
      </c>
      <c r="E19" s="591">
        <v>990</v>
      </c>
      <c r="F19" s="591">
        <v>300</v>
      </c>
      <c r="G19" s="591">
        <v>680</v>
      </c>
      <c r="H19" s="594">
        <v>195</v>
      </c>
      <c r="I19" s="595">
        <v>300</v>
      </c>
      <c r="K19" s="1043" t="s">
        <v>666</v>
      </c>
      <c r="L19" s="1046">
        <v>970</v>
      </c>
      <c r="M19" s="591">
        <v>660</v>
      </c>
      <c r="N19" s="591">
        <v>300</v>
      </c>
      <c r="O19" s="1047">
        <v>195</v>
      </c>
      <c r="P19" s="1046">
        <v>1450</v>
      </c>
      <c r="Q19" s="591">
        <v>990</v>
      </c>
      <c r="R19" s="591">
        <v>680</v>
      </c>
      <c r="S19" s="608">
        <v>300</v>
      </c>
    </row>
    <row r="20" spans="1:19" ht="14.25">
      <c r="A20" s="581" t="s">
        <v>34</v>
      </c>
      <c r="B20" s="591">
        <v>720</v>
      </c>
      <c r="C20" s="591">
        <v>1090</v>
      </c>
      <c r="D20" s="591">
        <v>500</v>
      </c>
      <c r="E20" s="591">
        <v>740</v>
      </c>
      <c r="F20" s="591">
        <v>190</v>
      </c>
      <c r="G20" s="591">
        <v>430</v>
      </c>
      <c r="H20" s="594">
        <v>135</v>
      </c>
      <c r="I20" s="595">
        <v>225</v>
      </c>
      <c r="K20" s="1043" t="s">
        <v>34</v>
      </c>
      <c r="L20" s="1046">
        <v>720</v>
      </c>
      <c r="M20" s="591">
        <v>500</v>
      </c>
      <c r="N20" s="591">
        <v>190</v>
      </c>
      <c r="O20" s="1047">
        <v>135</v>
      </c>
      <c r="P20" s="1046">
        <v>1090</v>
      </c>
      <c r="Q20" s="591">
        <v>740</v>
      </c>
      <c r="R20" s="591">
        <v>430</v>
      </c>
      <c r="S20" s="608">
        <v>225</v>
      </c>
    </row>
    <row r="21" spans="1:19" ht="14.25">
      <c r="A21" s="581" t="s">
        <v>669</v>
      </c>
      <c r="B21" s="591">
        <v>500</v>
      </c>
      <c r="C21" s="591">
        <v>740</v>
      </c>
      <c r="D21" s="591">
        <v>400</v>
      </c>
      <c r="E21" s="591">
        <v>600</v>
      </c>
      <c r="F21" s="591">
        <v>150</v>
      </c>
      <c r="G21" s="591">
        <v>350</v>
      </c>
      <c r="H21" s="594">
        <v>100</v>
      </c>
      <c r="I21" s="595">
        <v>160</v>
      </c>
      <c r="K21" s="1043" t="s">
        <v>669</v>
      </c>
      <c r="L21" s="1046">
        <v>500</v>
      </c>
      <c r="M21" s="591">
        <v>400</v>
      </c>
      <c r="N21" s="591">
        <v>150</v>
      </c>
      <c r="O21" s="1047">
        <v>100</v>
      </c>
      <c r="P21" s="1046">
        <v>740</v>
      </c>
      <c r="Q21" s="591">
        <v>600</v>
      </c>
      <c r="R21" s="591">
        <v>350</v>
      </c>
      <c r="S21" s="608">
        <v>160</v>
      </c>
    </row>
    <row r="22" spans="1:19" ht="14.25">
      <c r="A22" s="581" t="s">
        <v>671</v>
      </c>
      <c r="B22" s="591">
        <v>360</v>
      </c>
      <c r="C22" s="591">
        <v>540</v>
      </c>
      <c r="D22" s="591">
        <v>250</v>
      </c>
      <c r="E22" s="591">
        <v>470</v>
      </c>
      <c r="F22" s="591">
        <v>120</v>
      </c>
      <c r="G22" s="591">
        <v>280</v>
      </c>
      <c r="H22" s="594">
        <v>60</v>
      </c>
      <c r="I22" s="595">
        <v>100</v>
      </c>
      <c r="K22" s="1043" t="s">
        <v>671</v>
      </c>
      <c r="L22" s="1046">
        <v>360</v>
      </c>
      <c r="M22" s="591">
        <v>250</v>
      </c>
      <c r="N22" s="591">
        <v>120</v>
      </c>
      <c r="O22" s="1047">
        <v>60</v>
      </c>
      <c r="P22" s="1046">
        <v>540</v>
      </c>
      <c r="Q22" s="591">
        <v>470</v>
      </c>
      <c r="R22" s="591">
        <v>280</v>
      </c>
      <c r="S22" s="608">
        <v>100</v>
      </c>
    </row>
    <row r="23" spans="1:19" ht="14.25">
      <c r="A23" s="581" t="s">
        <v>673</v>
      </c>
      <c r="B23" s="591">
        <v>180</v>
      </c>
      <c r="C23" s="591">
        <v>380</v>
      </c>
      <c r="D23" s="591">
        <v>140</v>
      </c>
      <c r="E23" s="591">
        <v>260</v>
      </c>
      <c r="F23" s="591">
        <v>100</v>
      </c>
      <c r="G23" s="591">
        <v>220</v>
      </c>
      <c r="H23" s="594">
        <v>20</v>
      </c>
      <c r="I23" s="595">
        <v>60</v>
      </c>
      <c r="K23" s="1043" t="s">
        <v>673</v>
      </c>
      <c r="L23" s="1046">
        <v>180</v>
      </c>
      <c r="M23" s="591">
        <v>140</v>
      </c>
      <c r="N23" s="591">
        <v>100</v>
      </c>
      <c r="O23" s="1047">
        <v>20</v>
      </c>
      <c r="P23" s="1046">
        <v>380</v>
      </c>
      <c r="Q23" s="591">
        <v>260</v>
      </c>
      <c r="R23" s="591">
        <v>220</v>
      </c>
      <c r="S23" s="608">
        <v>60</v>
      </c>
    </row>
    <row r="24" spans="1:19" ht="15" thickBot="1">
      <c r="A24" s="581" t="s">
        <v>677</v>
      </c>
      <c r="B24" s="591">
        <v>90</v>
      </c>
      <c r="C24" s="591">
        <v>190</v>
      </c>
      <c r="D24" s="591">
        <v>90</v>
      </c>
      <c r="E24" s="591">
        <v>150</v>
      </c>
      <c r="F24" s="591">
        <v>90</v>
      </c>
      <c r="G24" s="591">
        <v>150</v>
      </c>
      <c r="H24" s="594"/>
      <c r="I24" s="595"/>
      <c r="K24" s="1043" t="s">
        <v>677</v>
      </c>
      <c r="L24" s="1048">
        <v>90</v>
      </c>
      <c r="M24" s="1049">
        <v>90</v>
      </c>
      <c r="N24" s="1049">
        <v>90</v>
      </c>
      <c r="O24" s="1050"/>
      <c r="P24" s="1048">
        <v>190</v>
      </c>
      <c r="Q24" s="1049">
        <v>150</v>
      </c>
      <c r="R24" s="1049">
        <v>150</v>
      </c>
      <c r="S24" s="619"/>
    </row>
  </sheetData>
  <sheetProtection password="C66D" sheet="1" objects="1" scenarios="1"/>
  <phoneticPr fontId="109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99"/>
    <col min="2" max="4" width="15" style="599" customWidth="1"/>
    <col min="5" max="7" width="15.125" style="599" customWidth="1"/>
    <col min="8" max="16384" width="9" style="599"/>
  </cols>
  <sheetData>
    <row r="1" spans="1:7">
      <c r="A1" s="1949" t="s">
        <v>1322</v>
      </c>
      <c r="B1" s="1946" t="s">
        <v>1323</v>
      </c>
      <c r="C1" s="1947"/>
      <c r="D1" s="1948"/>
      <c r="E1" s="1946" t="s">
        <v>1324</v>
      </c>
      <c r="F1" s="1947"/>
      <c r="G1" s="1948"/>
    </row>
    <row r="2" spans="1:7">
      <c r="A2" s="1950"/>
      <c r="B2" s="600" t="s">
        <v>1325</v>
      </c>
      <c r="C2" s="601" t="s">
        <v>1326</v>
      </c>
      <c r="D2" s="602" t="s">
        <v>1327</v>
      </c>
      <c r="E2" s="600" t="s">
        <v>1325</v>
      </c>
      <c r="F2" s="601" t="s">
        <v>1326</v>
      </c>
      <c r="G2" s="602" t="s">
        <v>1327</v>
      </c>
    </row>
    <row r="3" spans="1:7" ht="14.25">
      <c r="A3" s="603">
        <v>0.1</v>
      </c>
      <c r="B3" s="604">
        <v>1.5</v>
      </c>
      <c r="C3" s="605">
        <v>1.4370000000000001</v>
      </c>
      <c r="D3" s="606">
        <v>1.4179999999999999</v>
      </c>
      <c r="E3" s="607">
        <f>ROUND(B3/1.232,3)</f>
        <v>1.218</v>
      </c>
      <c r="F3" s="595">
        <f>ROUND(C3/1.189,3)</f>
        <v>1.2090000000000001</v>
      </c>
      <c r="G3" s="608">
        <f>ROUND(D3/1.177,3)</f>
        <v>1.2050000000000001</v>
      </c>
    </row>
    <row r="4" spans="1:7" ht="14.25">
      <c r="A4" s="603">
        <v>0.2</v>
      </c>
      <c r="B4" s="604">
        <v>1.4670000000000001</v>
      </c>
      <c r="C4" s="605">
        <v>1.4059999999999999</v>
      </c>
      <c r="D4" s="606">
        <v>1.387</v>
      </c>
      <c r="E4" s="607">
        <f t="shared" ref="E4:E67" si="0">ROUND(B4/1.232,3)</f>
        <v>1.1910000000000001</v>
      </c>
      <c r="F4" s="595">
        <f t="shared" ref="F4:F67" si="1">ROUND(C4/1.189,3)</f>
        <v>1.1830000000000001</v>
      </c>
      <c r="G4" s="608">
        <f t="shared" ref="G4:G67" si="2">ROUND(D4/1.177,3)</f>
        <v>1.1779999999999999</v>
      </c>
    </row>
    <row r="5" spans="1:7" ht="14.25">
      <c r="A5" s="603">
        <v>0.3</v>
      </c>
      <c r="B5" s="604">
        <v>1.4350000000000001</v>
      </c>
      <c r="C5" s="605">
        <v>1.375</v>
      </c>
      <c r="D5" s="606">
        <v>1.3580000000000001</v>
      </c>
      <c r="E5" s="607">
        <f t="shared" si="0"/>
        <v>1.165</v>
      </c>
      <c r="F5" s="595">
        <f t="shared" si="1"/>
        <v>1.1559999999999999</v>
      </c>
      <c r="G5" s="608">
        <f t="shared" si="2"/>
        <v>1.1539999999999999</v>
      </c>
    </row>
    <row r="6" spans="1:7" ht="14.25">
      <c r="A6" s="603">
        <v>0.4</v>
      </c>
      <c r="B6" s="604">
        <v>1.4039999999999999</v>
      </c>
      <c r="C6" s="605">
        <v>1.3460000000000001</v>
      </c>
      <c r="D6" s="606">
        <v>1.329</v>
      </c>
      <c r="E6" s="607">
        <f t="shared" si="0"/>
        <v>1.1399999999999999</v>
      </c>
      <c r="F6" s="595">
        <f t="shared" si="1"/>
        <v>1.1319999999999999</v>
      </c>
      <c r="G6" s="608">
        <f t="shared" si="2"/>
        <v>1.129</v>
      </c>
    </row>
    <row r="7" spans="1:7" ht="14.25">
      <c r="A7" s="603">
        <v>0.5</v>
      </c>
      <c r="B7" s="604">
        <v>1.3740000000000001</v>
      </c>
      <c r="C7" s="605">
        <v>1.3180000000000001</v>
      </c>
      <c r="D7" s="606">
        <v>1.3009999999999999</v>
      </c>
      <c r="E7" s="607">
        <f t="shared" si="0"/>
        <v>1.115</v>
      </c>
      <c r="F7" s="595">
        <f t="shared" si="1"/>
        <v>1.1080000000000001</v>
      </c>
      <c r="G7" s="608">
        <f t="shared" si="2"/>
        <v>1.105</v>
      </c>
    </row>
    <row r="8" spans="1:7" ht="14.25">
      <c r="A8" s="603">
        <v>0.6</v>
      </c>
      <c r="B8" s="604">
        <v>1.3440000000000001</v>
      </c>
      <c r="C8" s="605">
        <v>1.29</v>
      </c>
      <c r="D8" s="606">
        <v>1.2749999999999999</v>
      </c>
      <c r="E8" s="607">
        <f t="shared" si="0"/>
        <v>1.091</v>
      </c>
      <c r="F8" s="595">
        <f t="shared" si="1"/>
        <v>1.085</v>
      </c>
      <c r="G8" s="608">
        <f t="shared" si="2"/>
        <v>1.083</v>
      </c>
    </row>
    <row r="9" spans="1:7" ht="14.25">
      <c r="A9" s="603">
        <v>0.7</v>
      </c>
      <c r="B9" s="604">
        <v>1.3149999999999999</v>
      </c>
      <c r="C9" s="605">
        <v>1.2629999999999999</v>
      </c>
      <c r="D9" s="606">
        <v>1.2490000000000001</v>
      </c>
      <c r="E9" s="607">
        <f t="shared" si="0"/>
        <v>1.0669999999999999</v>
      </c>
      <c r="F9" s="595">
        <f t="shared" si="1"/>
        <v>1.0620000000000001</v>
      </c>
      <c r="G9" s="608">
        <f t="shared" si="2"/>
        <v>1.0609999999999999</v>
      </c>
    </row>
    <row r="10" spans="1:7" ht="14.25">
      <c r="A10" s="603">
        <v>0.8</v>
      </c>
      <c r="B10" s="604">
        <v>1.2869999999999999</v>
      </c>
      <c r="C10" s="605">
        <v>1.238</v>
      </c>
      <c r="D10" s="606">
        <v>1.224</v>
      </c>
      <c r="E10" s="607">
        <f t="shared" si="0"/>
        <v>1.0449999999999999</v>
      </c>
      <c r="F10" s="595">
        <f t="shared" si="1"/>
        <v>1.0409999999999999</v>
      </c>
      <c r="G10" s="608">
        <f t="shared" si="2"/>
        <v>1.04</v>
      </c>
    </row>
    <row r="11" spans="1:7" ht="14.25">
      <c r="A11" s="603">
        <v>0.9</v>
      </c>
      <c r="B11" s="604">
        <v>1.2589999999999999</v>
      </c>
      <c r="C11" s="605">
        <v>1.2130000000000001</v>
      </c>
      <c r="D11" s="606">
        <v>1.2</v>
      </c>
      <c r="E11" s="607">
        <f t="shared" si="0"/>
        <v>1.022</v>
      </c>
      <c r="F11" s="595">
        <f t="shared" si="1"/>
        <v>1.02</v>
      </c>
      <c r="G11" s="608">
        <f t="shared" si="2"/>
        <v>1.02</v>
      </c>
    </row>
    <row r="12" spans="1:7" ht="14.25">
      <c r="A12" s="603">
        <v>1</v>
      </c>
      <c r="B12" s="604">
        <v>1.232</v>
      </c>
      <c r="C12" s="605">
        <v>1.1890000000000001</v>
      </c>
      <c r="D12" s="606">
        <v>1.177</v>
      </c>
      <c r="E12" s="607">
        <f t="shared" si="0"/>
        <v>1</v>
      </c>
      <c r="F12" s="595">
        <f t="shared" si="1"/>
        <v>1</v>
      </c>
      <c r="G12" s="608">
        <f t="shared" si="2"/>
        <v>1</v>
      </c>
    </row>
    <row r="13" spans="1:7" ht="14.25">
      <c r="A13" s="603">
        <v>1.1000000000000001</v>
      </c>
      <c r="B13" s="604">
        <v>1.2050000000000001</v>
      </c>
      <c r="C13" s="605">
        <v>1.1659999999999999</v>
      </c>
      <c r="D13" s="606">
        <v>1.155</v>
      </c>
      <c r="E13" s="607">
        <f t="shared" si="0"/>
        <v>0.97799999999999998</v>
      </c>
      <c r="F13" s="595">
        <f t="shared" si="1"/>
        <v>0.98099999999999998</v>
      </c>
      <c r="G13" s="608">
        <f t="shared" si="2"/>
        <v>0.98099999999999998</v>
      </c>
    </row>
    <row r="14" spans="1:7" ht="14.25">
      <c r="A14" s="603">
        <v>1.2</v>
      </c>
      <c r="B14" s="604">
        <v>1.18</v>
      </c>
      <c r="C14" s="605">
        <v>1.1439999999999999</v>
      </c>
      <c r="D14" s="606">
        <v>1.1339999999999999</v>
      </c>
      <c r="E14" s="607">
        <f t="shared" si="0"/>
        <v>0.95799999999999996</v>
      </c>
      <c r="F14" s="595">
        <f t="shared" si="1"/>
        <v>0.96199999999999997</v>
      </c>
      <c r="G14" s="608">
        <f t="shared" si="2"/>
        <v>0.96299999999999997</v>
      </c>
    </row>
    <row r="15" spans="1:7" ht="14.25">
      <c r="A15" s="603">
        <v>1.3</v>
      </c>
      <c r="B15" s="604">
        <v>1.155</v>
      </c>
      <c r="C15" s="605">
        <v>1.123</v>
      </c>
      <c r="D15" s="606">
        <v>1.1140000000000001</v>
      </c>
      <c r="E15" s="607">
        <f t="shared" si="0"/>
        <v>0.93799999999999994</v>
      </c>
      <c r="F15" s="595">
        <f t="shared" si="1"/>
        <v>0.94399999999999995</v>
      </c>
      <c r="G15" s="608">
        <f t="shared" si="2"/>
        <v>0.94599999999999995</v>
      </c>
    </row>
    <row r="16" spans="1:7" ht="14.25">
      <c r="A16" s="603">
        <v>1.4</v>
      </c>
      <c r="B16" s="604">
        <v>1.131</v>
      </c>
      <c r="C16" s="605">
        <v>1.103</v>
      </c>
      <c r="D16" s="606">
        <v>1.095</v>
      </c>
      <c r="E16" s="607">
        <f t="shared" si="0"/>
        <v>0.91800000000000004</v>
      </c>
      <c r="F16" s="595">
        <f t="shared" si="1"/>
        <v>0.92800000000000005</v>
      </c>
      <c r="G16" s="608">
        <f t="shared" si="2"/>
        <v>0.93</v>
      </c>
    </row>
    <row r="17" spans="1:20" ht="14.25">
      <c r="A17" s="603">
        <v>1.5</v>
      </c>
      <c r="B17" s="604">
        <v>1.107</v>
      </c>
      <c r="C17" s="605">
        <v>1.083</v>
      </c>
      <c r="D17" s="606">
        <v>1.077</v>
      </c>
      <c r="E17" s="607">
        <f t="shared" si="0"/>
        <v>0.89900000000000002</v>
      </c>
      <c r="F17" s="595">
        <f t="shared" si="1"/>
        <v>0.91100000000000003</v>
      </c>
      <c r="G17" s="608">
        <f t="shared" si="2"/>
        <v>0.91500000000000004</v>
      </c>
    </row>
    <row r="18" spans="1:20" ht="14.25">
      <c r="A18" s="603">
        <v>1.6</v>
      </c>
      <c r="B18" s="604">
        <v>1.0840000000000001</v>
      </c>
      <c r="C18" s="605">
        <v>1.0649999999999999</v>
      </c>
      <c r="D18" s="606">
        <v>1.06</v>
      </c>
      <c r="E18" s="607">
        <f t="shared" si="0"/>
        <v>0.88</v>
      </c>
      <c r="F18" s="595">
        <f t="shared" si="1"/>
        <v>0.89600000000000002</v>
      </c>
      <c r="G18" s="608">
        <f t="shared" si="2"/>
        <v>0.90100000000000002</v>
      </c>
    </row>
    <row r="19" spans="1:20" ht="14.25">
      <c r="A19" s="603">
        <v>1.7</v>
      </c>
      <c r="B19" s="604">
        <v>1.0620000000000001</v>
      </c>
      <c r="C19" s="605">
        <v>1.0469999999999999</v>
      </c>
      <c r="D19" s="606">
        <v>1.0429999999999999</v>
      </c>
      <c r="E19" s="607">
        <f t="shared" si="0"/>
        <v>0.86199999999999999</v>
      </c>
      <c r="F19" s="595">
        <f t="shared" si="1"/>
        <v>0.88100000000000001</v>
      </c>
      <c r="G19" s="608">
        <f t="shared" si="2"/>
        <v>0.88600000000000001</v>
      </c>
    </row>
    <row r="20" spans="1:20" ht="14.25">
      <c r="A20" s="603">
        <v>1.8</v>
      </c>
      <c r="B20" s="604">
        <v>1.0409999999999999</v>
      </c>
      <c r="C20" s="605">
        <v>1.0309999999999999</v>
      </c>
      <c r="D20" s="606">
        <v>1.028</v>
      </c>
      <c r="E20" s="607">
        <f t="shared" si="0"/>
        <v>0.84499999999999997</v>
      </c>
      <c r="F20" s="595">
        <f t="shared" si="1"/>
        <v>0.86699999999999999</v>
      </c>
      <c r="G20" s="608">
        <f t="shared" si="2"/>
        <v>0.873</v>
      </c>
    </row>
    <row r="21" spans="1:20" ht="14.25">
      <c r="A21" s="603">
        <v>1.9</v>
      </c>
      <c r="B21" s="604">
        <v>1.02</v>
      </c>
      <c r="C21" s="605">
        <v>1.0149999999999999</v>
      </c>
      <c r="D21" s="606">
        <v>1.014</v>
      </c>
      <c r="E21" s="607">
        <f t="shared" si="0"/>
        <v>0.82799999999999996</v>
      </c>
      <c r="F21" s="595">
        <f t="shared" si="1"/>
        <v>0.85399999999999998</v>
      </c>
      <c r="G21" s="608">
        <f t="shared" si="2"/>
        <v>0.86199999999999999</v>
      </c>
    </row>
    <row r="22" spans="1:20" ht="14.25">
      <c r="A22" s="603">
        <v>2</v>
      </c>
      <c r="B22" s="604">
        <v>1</v>
      </c>
      <c r="C22" s="605">
        <v>1</v>
      </c>
      <c r="D22" s="606">
        <v>1</v>
      </c>
      <c r="E22" s="607">
        <f t="shared" si="0"/>
        <v>0.81200000000000006</v>
      </c>
      <c r="F22" s="595">
        <f t="shared" si="1"/>
        <v>0.84099999999999997</v>
      </c>
      <c r="G22" s="608">
        <f t="shared" si="2"/>
        <v>0.85</v>
      </c>
    </row>
    <row r="23" spans="1:20" ht="14.25">
      <c r="A23" s="609">
        <v>2.1</v>
      </c>
      <c r="B23" s="610">
        <v>0.98</v>
      </c>
      <c r="C23" s="605">
        <v>0.98599999999999999</v>
      </c>
      <c r="D23" s="606">
        <v>0.98799999999999999</v>
      </c>
      <c r="E23" s="607">
        <f t="shared" si="0"/>
        <v>0.79500000000000004</v>
      </c>
      <c r="F23" s="595">
        <f t="shared" si="1"/>
        <v>0.82899999999999996</v>
      </c>
      <c r="G23" s="608">
        <f t="shared" si="2"/>
        <v>0.83899999999999997</v>
      </c>
      <c r="H23" s="611"/>
      <c r="I23" s="612"/>
      <c r="J23" s="612"/>
      <c r="K23" s="611"/>
      <c r="L23" s="611"/>
      <c r="M23" s="611"/>
      <c r="N23" s="611"/>
      <c r="O23" s="611"/>
      <c r="P23" s="611"/>
      <c r="Q23" s="612"/>
      <c r="R23" s="612"/>
      <c r="S23" s="611"/>
      <c r="T23" s="611"/>
    </row>
    <row r="24" spans="1:20" ht="14.25">
      <c r="A24" s="609">
        <v>2.2000000000000002</v>
      </c>
      <c r="B24" s="610">
        <v>0.96199999999999997</v>
      </c>
      <c r="C24" s="605">
        <v>0.97299999999999998</v>
      </c>
      <c r="D24" s="606">
        <v>0.97599999999999998</v>
      </c>
      <c r="E24" s="607">
        <f t="shared" si="0"/>
        <v>0.78100000000000003</v>
      </c>
      <c r="F24" s="595">
        <f t="shared" si="1"/>
        <v>0.81799999999999995</v>
      </c>
      <c r="G24" s="608">
        <f t="shared" si="2"/>
        <v>0.82899999999999996</v>
      </c>
      <c r="H24" s="611"/>
      <c r="I24" s="612"/>
      <c r="J24" s="612"/>
      <c r="K24" s="611"/>
      <c r="L24" s="611"/>
      <c r="M24" s="611"/>
      <c r="N24" s="611"/>
      <c r="O24" s="611"/>
      <c r="P24" s="611"/>
      <c r="Q24" s="612"/>
      <c r="R24" s="612"/>
      <c r="S24" s="611"/>
      <c r="T24" s="611"/>
    </row>
    <row r="25" spans="1:20" ht="14.25">
      <c r="A25" s="609">
        <v>2.2999999999999998</v>
      </c>
      <c r="B25" s="610">
        <v>0.94399999999999995</v>
      </c>
      <c r="C25" s="605">
        <v>0.96099999999999997</v>
      </c>
      <c r="D25" s="606">
        <v>0.96599999999999997</v>
      </c>
      <c r="E25" s="607">
        <f t="shared" si="0"/>
        <v>0.76600000000000001</v>
      </c>
      <c r="F25" s="595">
        <f t="shared" si="1"/>
        <v>0.80800000000000005</v>
      </c>
      <c r="G25" s="608">
        <f t="shared" si="2"/>
        <v>0.82099999999999995</v>
      </c>
      <c r="H25" s="611"/>
      <c r="I25" s="612"/>
      <c r="J25" s="612"/>
      <c r="K25" s="611"/>
      <c r="L25" s="611"/>
      <c r="M25" s="611"/>
      <c r="N25" s="611"/>
      <c r="O25" s="611"/>
      <c r="P25" s="611"/>
      <c r="Q25" s="612"/>
      <c r="R25" s="612"/>
      <c r="S25" s="611"/>
      <c r="T25" s="611"/>
    </row>
    <row r="26" spans="1:20" ht="14.25">
      <c r="A26" s="609">
        <v>2.4</v>
      </c>
      <c r="B26" s="610">
        <v>0.92600000000000005</v>
      </c>
      <c r="C26" s="605">
        <v>0.95</v>
      </c>
      <c r="D26" s="606">
        <v>0.95599999999999996</v>
      </c>
      <c r="E26" s="607">
        <f t="shared" si="0"/>
        <v>0.752</v>
      </c>
      <c r="F26" s="595">
        <f t="shared" si="1"/>
        <v>0.79900000000000004</v>
      </c>
      <c r="G26" s="608">
        <f t="shared" si="2"/>
        <v>0.81200000000000006</v>
      </c>
      <c r="H26" s="611"/>
      <c r="I26" s="612"/>
      <c r="J26" s="612"/>
      <c r="K26" s="611"/>
      <c r="L26" s="611"/>
      <c r="M26" s="611"/>
      <c r="N26" s="611"/>
      <c r="O26" s="611"/>
      <c r="P26" s="611"/>
      <c r="Q26" s="612"/>
      <c r="R26" s="612"/>
      <c r="S26" s="611"/>
      <c r="T26" s="611"/>
    </row>
    <row r="27" spans="1:20" ht="14.25">
      <c r="A27" s="609">
        <v>2.5</v>
      </c>
      <c r="B27" s="610">
        <v>0.91</v>
      </c>
      <c r="C27" s="605">
        <v>0.94</v>
      </c>
      <c r="D27" s="606">
        <v>0.94699999999999995</v>
      </c>
      <c r="E27" s="607">
        <f t="shared" si="0"/>
        <v>0.73899999999999999</v>
      </c>
      <c r="F27" s="595">
        <f t="shared" si="1"/>
        <v>0.79100000000000004</v>
      </c>
      <c r="G27" s="608">
        <f t="shared" si="2"/>
        <v>0.80500000000000005</v>
      </c>
      <c r="H27" s="611"/>
      <c r="I27" s="612"/>
      <c r="J27" s="612"/>
      <c r="K27" s="611"/>
      <c r="L27" s="611"/>
      <c r="M27" s="611"/>
      <c r="N27" s="611"/>
      <c r="O27" s="611"/>
      <c r="P27" s="611"/>
      <c r="Q27" s="612"/>
      <c r="R27" s="612"/>
      <c r="S27" s="611"/>
      <c r="T27" s="611"/>
    </row>
    <row r="28" spans="1:20" ht="14.25">
      <c r="A28" s="609">
        <v>2.6</v>
      </c>
      <c r="B28" s="610">
        <v>0.89400000000000002</v>
      </c>
      <c r="C28" s="605">
        <v>0.93100000000000005</v>
      </c>
      <c r="D28" s="606">
        <v>0.94</v>
      </c>
      <c r="E28" s="607">
        <f t="shared" si="0"/>
        <v>0.72599999999999998</v>
      </c>
      <c r="F28" s="595">
        <f t="shared" si="1"/>
        <v>0.78300000000000003</v>
      </c>
      <c r="G28" s="608">
        <f t="shared" si="2"/>
        <v>0.79900000000000004</v>
      </c>
      <c r="H28" s="611"/>
      <c r="I28" s="612"/>
      <c r="J28" s="612"/>
      <c r="K28" s="611"/>
      <c r="L28" s="611"/>
      <c r="M28" s="611"/>
      <c r="N28" s="611"/>
      <c r="O28" s="611"/>
      <c r="P28" s="611"/>
      <c r="Q28" s="612"/>
      <c r="R28" s="612"/>
      <c r="S28" s="611"/>
      <c r="T28" s="611"/>
    </row>
    <row r="29" spans="1:20" ht="14.25">
      <c r="A29" s="609">
        <v>2.7</v>
      </c>
      <c r="B29" s="610">
        <v>0.879</v>
      </c>
      <c r="C29" s="605">
        <v>0.92200000000000004</v>
      </c>
      <c r="D29" s="606">
        <v>0.93300000000000005</v>
      </c>
      <c r="E29" s="607">
        <f t="shared" si="0"/>
        <v>0.71299999999999997</v>
      </c>
      <c r="F29" s="595">
        <f t="shared" si="1"/>
        <v>0.77500000000000002</v>
      </c>
      <c r="G29" s="608">
        <f t="shared" si="2"/>
        <v>0.79300000000000004</v>
      </c>
      <c r="H29" s="611"/>
      <c r="I29" s="612"/>
      <c r="J29" s="612"/>
      <c r="K29" s="611"/>
      <c r="L29" s="611"/>
      <c r="M29" s="611"/>
      <c r="N29" s="611"/>
      <c r="O29" s="611"/>
      <c r="P29" s="611"/>
      <c r="Q29" s="612"/>
      <c r="R29" s="612"/>
      <c r="S29" s="611"/>
      <c r="T29" s="611"/>
    </row>
    <row r="30" spans="1:20" ht="14.25">
      <c r="A30" s="609">
        <v>2.8</v>
      </c>
      <c r="B30" s="610">
        <v>0.86399999999999999</v>
      </c>
      <c r="C30" s="605">
        <v>0.91500000000000004</v>
      </c>
      <c r="D30" s="606">
        <v>0.92700000000000005</v>
      </c>
      <c r="E30" s="607">
        <f t="shared" si="0"/>
        <v>0.70099999999999996</v>
      </c>
      <c r="F30" s="595">
        <f t="shared" si="1"/>
        <v>0.77</v>
      </c>
      <c r="G30" s="608">
        <f t="shared" si="2"/>
        <v>0.78800000000000003</v>
      </c>
      <c r="H30" s="611"/>
      <c r="I30" s="612"/>
      <c r="J30" s="612"/>
      <c r="K30" s="611"/>
      <c r="L30" s="611"/>
      <c r="M30" s="611"/>
      <c r="N30" s="611"/>
      <c r="O30" s="611"/>
      <c r="P30" s="611"/>
      <c r="Q30" s="612"/>
      <c r="R30" s="612"/>
      <c r="S30" s="611"/>
      <c r="T30" s="611"/>
    </row>
    <row r="31" spans="1:20" ht="14.25">
      <c r="A31" s="609">
        <v>2.9</v>
      </c>
      <c r="B31" s="610">
        <v>0.85</v>
      </c>
      <c r="C31" s="605">
        <v>0.90800000000000003</v>
      </c>
      <c r="D31" s="606">
        <v>0.92200000000000004</v>
      </c>
      <c r="E31" s="607">
        <f t="shared" si="0"/>
        <v>0.69</v>
      </c>
      <c r="F31" s="595">
        <f t="shared" si="1"/>
        <v>0.76400000000000001</v>
      </c>
      <c r="G31" s="608">
        <f t="shared" si="2"/>
        <v>0.78300000000000003</v>
      </c>
      <c r="H31" s="611"/>
      <c r="I31" s="612"/>
      <c r="J31" s="612"/>
      <c r="K31" s="611"/>
      <c r="L31" s="611"/>
      <c r="M31" s="611"/>
      <c r="N31" s="611"/>
      <c r="O31" s="611"/>
      <c r="P31" s="611"/>
      <c r="Q31" s="612"/>
      <c r="R31" s="612"/>
      <c r="S31" s="611"/>
      <c r="T31" s="611"/>
    </row>
    <row r="32" spans="1:20" ht="14.25">
      <c r="A32" s="609">
        <v>3</v>
      </c>
      <c r="B32" s="610">
        <v>0.83699999999999997</v>
      </c>
      <c r="C32" s="605">
        <v>0.90300000000000002</v>
      </c>
      <c r="D32" s="606">
        <v>0.91800000000000004</v>
      </c>
      <c r="E32" s="607">
        <f t="shared" si="0"/>
        <v>0.67900000000000005</v>
      </c>
      <c r="F32" s="595">
        <f t="shared" si="1"/>
        <v>0.75900000000000001</v>
      </c>
      <c r="G32" s="608">
        <f t="shared" si="2"/>
        <v>0.78</v>
      </c>
      <c r="H32" s="611"/>
      <c r="I32" s="612"/>
      <c r="J32" s="612"/>
      <c r="K32" s="611"/>
      <c r="L32" s="611"/>
      <c r="M32" s="611"/>
      <c r="N32" s="611"/>
      <c r="O32" s="611"/>
      <c r="P32" s="611"/>
      <c r="Q32" s="612"/>
      <c r="R32" s="612"/>
      <c r="S32" s="611"/>
      <c r="T32" s="611"/>
    </row>
    <row r="33" spans="1:20" ht="14.25">
      <c r="A33" s="609">
        <v>3.1</v>
      </c>
      <c r="B33" s="610">
        <v>0.82499999999999996</v>
      </c>
      <c r="C33" s="605">
        <v>0.89800000000000002</v>
      </c>
      <c r="D33" s="606">
        <v>0.91500000000000004</v>
      </c>
      <c r="E33" s="607">
        <f t="shared" si="0"/>
        <v>0.67</v>
      </c>
      <c r="F33" s="595">
        <f t="shared" si="1"/>
        <v>0.755</v>
      </c>
      <c r="G33" s="608">
        <f t="shared" si="2"/>
        <v>0.77700000000000002</v>
      </c>
      <c r="H33" s="611"/>
      <c r="I33" s="612"/>
      <c r="J33" s="612"/>
      <c r="K33" s="611"/>
      <c r="L33" s="611"/>
      <c r="M33" s="611"/>
      <c r="N33" s="611"/>
      <c r="O33" s="611"/>
      <c r="P33" s="611"/>
      <c r="Q33" s="612"/>
      <c r="R33" s="612"/>
      <c r="S33" s="611"/>
      <c r="T33" s="611"/>
    </row>
    <row r="34" spans="1:20" ht="14.25">
      <c r="A34" s="609">
        <v>3.2</v>
      </c>
      <c r="B34" s="610">
        <v>0.81299999999999994</v>
      </c>
      <c r="C34" s="605">
        <v>0.89400000000000002</v>
      </c>
      <c r="D34" s="606">
        <v>0.91300000000000003</v>
      </c>
      <c r="E34" s="607">
        <f t="shared" si="0"/>
        <v>0.66</v>
      </c>
      <c r="F34" s="595">
        <f t="shared" si="1"/>
        <v>0.752</v>
      </c>
      <c r="G34" s="608">
        <f t="shared" si="2"/>
        <v>0.77600000000000002</v>
      </c>
      <c r="H34" s="611"/>
      <c r="I34" s="612"/>
      <c r="J34" s="612"/>
      <c r="K34" s="611"/>
      <c r="L34" s="611"/>
      <c r="M34" s="611"/>
      <c r="N34" s="611"/>
      <c r="O34" s="611"/>
      <c r="P34" s="611"/>
      <c r="Q34" s="612"/>
      <c r="R34" s="612"/>
      <c r="S34" s="611"/>
      <c r="T34" s="611"/>
    </row>
    <row r="35" spans="1:20" ht="14.25">
      <c r="A35" s="609">
        <v>3.3</v>
      </c>
      <c r="B35" s="610">
        <v>0.80200000000000005</v>
      </c>
      <c r="C35" s="605">
        <v>0.89100000000000001</v>
      </c>
      <c r="D35" s="606">
        <v>0.91200000000000003</v>
      </c>
      <c r="E35" s="607">
        <f t="shared" si="0"/>
        <v>0.65100000000000002</v>
      </c>
      <c r="F35" s="595">
        <f t="shared" si="1"/>
        <v>0.749</v>
      </c>
      <c r="G35" s="608">
        <f t="shared" si="2"/>
        <v>0.77500000000000002</v>
      </c>
      <c r="H35" s="611"/>
      <c r="I35" s="612"/>
      <c r="J35" s="612"/>
      <c r="K35" s="611"/>
      <c r="L35" s="611"/>
      <c r="M35" s="611"/>
      <c r="N35" s="611"/>
      <c r="O35" s="611"/>
      <c r="P35" s="611"/>
      <c r="Q35" s="612"/>
      <c r="R35" s="612"/>
      <c r="S35" s="611"/>
      <c r="T35" s="611"/>
    </row>
    <row r="36" spans="1:20" ht="14.25">
      <c r="A36" s="609">
        <v>3.4</v>
      </c>
      <c r="B36" s="610">
        <v>0.79100000000000004</v>
      </c>
      <c r="C36" s="605">
        <v>0.88900000000000001</v>
      </c>
      <c r="D36" s="606">
        <v>0.91200000000000003</v>
      </c>
      <c r="E36" s="607">
        <f t="shared" si="0"/>
        <v>0.64200000000000002</v>
      </c>
      <c r="F36" s="595">
        <f t="shared" si="1"/>
        <v>0.748</v>
      </c>
      <c r="G36" s="608">
        <f t="shared" si="2"/>
        <v>0.77500000000000002</v>
      </c>
      <c r="H36" s="611"/>
      <c r="I36" s="612"/>
      <c r="J36" s="612"/>
      <c r="K36" s="611"/>
      <c r="L36" s="611"/>
      <c r="M36" s="611"/>
      <c r="N36" s="611"/>
      <c r="O36" s="611"/>
      <c r="P36" s="611"/>
      <c r="Q36" s="612"/>
      <c r="R36" s="612"/>
      <c r="S36" s="611"/>
      <c r="T36" s="611"/>
    </row>
    <row r="37" spans="1:20" ht="14.25">
      <c r="A37" s="609">
        <v>3.5</v>
      </c>
      <c r="B37" s="610">
        <v>0.78200000000000003</v>
      </c>
      <c r="C37" s="605">
        <v>0.88800000000000001</v>
      </c>
      <c r="D37" s="606">
        <v>0.91200000000000003</v>
      </c>
      <c r="E37" s="607">
        <f t="shared" si="0"/>
        <v>0.63500000000000001</v>
      </c>
      <c r="F37" s="595">
        <f t="shared" si="1"/>
        <v>0.747</v>
      </c>
      <c r="G37" s="608">
        <f t="shared" si="2"/>
        <v>0.77500000000000002</v>
      </c>
      <c r="H37" s="611"/>
      <c r="I37" s="612"/>
      <c r="J37" s="612"/>
      <c r="K37" s="611"/>
      <c r="L37" s="611"/>
      <c r="M37" s="611"/>
      <c r="N37" s="611"/>
      <c r="O37" s="611"/>
      <c r="P37" s="611"/>
      <c r="Q37" s="612"/>
      <c r="R37" s="612"/>
      <c r="S37" s="611"/>
      <c r="T37" s="611"/>
    </row>
    <row r="38" spans="1:20" ht="14.25">
      <c r="A38" s="609">
        <v>3.6</v>
      </c>
      <c r="B38" s="610">
        <v>0.77300000000000002</v>
      </c>
      <c r="C38" s="605">
        <v>0.88800000000000001</v>
      </c>
      <c r="D38" s="606">
        <v>0.91400000000000003</v>
      </c>
      <c r="E38" s="607">
        <f t="shared" si="0"/>
        <v>0.627</v>
      </c>
      <c r="F38" s="595">
        <f t="shared" si="1"/>
        <v>0.747</v>
      </c>
      <c r="G38" s="608">
        <f t="shared" si="2"/>
        <v>0.77700000000000002</v>
      </c>
      <c r="H38" s="611"/>
      <c r="I38" s="612"/>
      <c r="J38" s="612"/>
      <c r="K38" s="611"/>
      <c r="L38" s="611"/>
      <c r="M38" s="611"/>
      <c r="N38" s="611"/>
      <c r="O38" s="611"/>
      <c r="P38" s="611"/>
      <c r="Q38" s="612"/>
      <c r="R38" s="612"/>
      <c r="S38" s="611"/>
      <c r="T38" s="611"/>
    </row>
    <row r="39" spans="1:20" ht="14.25">
      <c r="A39" s="609">
        <v>3.7</v>
      </c>
      <c r="B39" s="610">
        <v>0.76400000000000001</v>
      </c>
      <c r="C39" s="605">
        <v>0.88900000000000001</v>
      </c>
      <c r="D39" s="606">
        <v>0.91700000000000004</v>
      </c>
      <c r="E39" s="607">
        <f t="shared" si="0"/>
        <v>0.62</v>
      </c>
      <c r="F39" s="595">
        <f t="shared" si="1"/>
        <v>0.748</v>
      </c>
      <c r="G39" s="608">
        <f t="shared" si="2"/>
        <v>0.77900000000000003</v>
      </c>
      <c r="H39" s="611"/>
      <c r="I39" s="612"/>
      <c r="J39" s="612"/>
      <c r="K39" s="611"/>
      <c r="L39" s="611"/>
      <c r="M39" s="611"/>
      <c r="N39" s="611"/>
      <c r="O39" s="611"/>
      <c r="P39" s="611"/>
      <c r="Q39" s="612"/>
      <c r="R39" s="612"/>
      <c r="S39" s="611"/>
      <c r="T39" s="611"/>
    </row>
    <row r="40" spans="1:20" ht="14.25">
      <c r="A40" s="609">
        <v>3.8</v>
      </c>
      <c r="B40" s="610">
        <v>0.75700000000000001</v>
      </c>
      <c r="C40" s="605">
        <v>0.89</v>
      </c>
      <c r="D40" s="606">
        <v>0.92</v>
      </c>
      <c r="E40" s="607">
        <f t="shared" si="0"/>
        <v>0.61399999999999999</v>
      </c>
      <c r="F40" s="595">
        <f t="shared" si="1"/>
        <v>0.749</v>
      </c>
      <c r="G40" s="608">
        <f t="shared" si="2"/>
        <v>0.78200000000000003</v>
      </c>
      <c r="H40" s="611"/>
      <c r="I40" s="612"/>
      <c r="J40" s="612"/>
      <c r="K40" s="611"/>
      <c r="L40" s="611"/>
      <c r="M40" s="611"/>
      <c r="N40" s="611"/>
      <c r="O40" s="611"/>
      <c r="P40" s="611"/>
      <c r="Q40" s="612"/>
      <c r="R40" s="612"/>
      <c r="S40" s="611"/>
      <c r="T40" s="611"/>
    </row>
    <row r="41" spans="1:20" ht="14.25">
      <c r="A41" s="609">
        <v>3.9</v>
      </c>
      <c r="B41" s="610">
        <v>0.75</v>
      </c>
      <c r="C41" s="605">
        <v>0.89300000000000002</v>
      </c>
      <c r="D41" s="606">
        <v>0.92500000000000004</v>
      </c>
      <c r="E41" s="607">
        <f t="shared" si="0"/>
        <v>0.60899999999999999</v>
      </c>
      <c r="F41" s="595">
        <f t="shared" si="1"/>
        <v>0.751</v>
      </c>
      <c r="G41" s="608">
        <f t="shared" si="2"/>
        <v>0.78600000000000003</v>
      </c>
      <c r="H41" s="611"/>
      <c r="I41" s="612"/>
      <c r="J41" s="612"/>
      <c r="K41" s="611"/>
      <c r="L41" s="611"/>
      <c r="M41" s="611"/>
      <c r="N41" s="611"/>
      <c r="O41" s="611"/>
      <c r="P41" s="611"/>
      <c r="Q41" s="612"/>
      <c r="R41" s="612"/>
      <c r="S41" s="611"/>
      <c r="T41" s="611"/>
    </row>
    <row r="42" spans="1:20" ht="14.25">
      <c r="A42" s="609">
        <v>4</v>
      </c>
      <c r="B42" s="610">
        <v>0.74299999999999999</v>
      </c>
      <c r="C42" s="605">
        <v>0.89600000000000002</v>
      </c>
      <c r="D42" s="606">
        <v>0.93100000000000005</v>
      </c>
      <c r="E42" s="607">
        <f t="shared" si="0"/>
        <v>0.60299999999999998</v>
      </c>
      <c r="F42" s="595">
        <f t="shared" si="1"/>
        <v>0.754</v>
      </c>
      <c r="G42" s="608">
        <f t="shared" si="2"/>
        <v>0.79100000000000004</v>
      </c>
      <c r="H42" s="611"/>
      <c r="I42" s="612"/>
      <c r="J42" s="612"/>
      <c r="K42" s="611"/>
      <c r="L42" s="611"/>
      <c r="M42" s="611"/>
      <c r="N42" s="611"/>
      <c r="O42" s="611"/>
      <c r="P42" s="611"/>
      <c r="Q42" s="612"/>
      <c r="R42" s="612"/>
      <c r="S42" s="611"/>
      <c r="T42" s="611"/>
    </row>
    <row r="43" spans="1:20" ht="14.25">
      <c r="A43" s="603">
        <v>4.0999999999999996</v>
      </c>
      <c r="B43" s="604">
        <v>0.73899999999999999</v>
      </c>
      <c r="C43" s="605">
        <v>0.89300000000000002</v>
      </c>
      <c r="D43" s="606">
        <v>0.92800000000000005</v>
      </c>
      <c r="E43" s="607">
        <f t="shared" si="0"/>
        <v>0.6</v>
      </c>
      <c r="F43" s="595">
        <f t="shared" si="1"/>
        <v>0.751</v>
      </c>
      <c r="G43" s="608">
        <f t="shared" si="2"/>
        <v>0.78800000000000003</v>
      </c>
      <c r="H43" s="611"/>
      <c r="I43" s="612"/>
      <c r="J43" s="612"/>
      <c r="K43" s="611"/>
      <c r="L43" s="611"/>
      <c r="M43" s="611"/>
      <c r="N43" s="611"/>
      <c r="O43" s="611"/>
      <c r="P43" s="611"/>
      <c r="Q43" s="612"/>
      <c r="R43" s="612"/>
      <c r="S43" s="611"/>
      <c r="T43" s="611"/>
    </row>
    <row r="44" spans="1:20" ht="14.25">
      <c r="A44" s="603">
        <v>4.2</v>
      </c>
      <c r="B44" s="604">
        <v>0.73499999999999999</v>
      </c>
      <c r="C44" s="605">
        <v>0.89</v>
      </c>
      <c r="D44" s="606">
        <v>0.92600000000000005</v>
      </c>
      <c r="E44" s="607">
        <f t="shared" si="0"/>
        <v>0.59699999999999998</v>
      </c>
      <c r="F44" s="595">
        <f t="shared" si="1"/>
        <v>0.749</v>
      </c>
      <c r="G44" s="608">
        <f t="shared" si="2"/>
        <v>0.78700000000000003</v>
      </c>
      <c r="H44" s="611"/>
      <c r="I44" s="612"/>
      <c r="J44" s="612"/>
      <c r="K44" s="611"/>
      <c r="L44" s="611"/>
      <c r="M44" s="611"/>
      <c r="N44" s="611"/>
      <c r="O44" s="611"/>
      <c r="P44" s="611"/>
      <c r="Q44" s="612"/>
      <c r="R44" s="612"/>
      <c r="S44" s="611"/>
      <c r="T44" s="611"/>
    </row>
    <row r="45" spans="1:20" ht="14.25">
      <c r="A45" s="603">
        <v>4.3</v>
      </c>
      <c r="B45" s="604">
        <v>0.73199999999999998</v>
      </c>
      <c r="C45" s="605">
        <v>0.88700000000000001</v>
      </c>
      <c r="D45" s="606">
        <v>0.92400000000000004</v>
      </c>
      <c r="E45" s="607">
        <f t="shared" si="0"/>
        <v>0.59399999999999997</v>
      </c>
      <c r="F45" s="595">
        <f t="shared" si="1"/>
        <v>0.746</v>
      </c>
      <c r="G45" s="608">
        <f t="shared" si="2"/>
        <v>0.78500000000000003</v>
      </c>
      <c r="H45" s="611"/>
      <c r="I45" s="612"/>
      <c r="J45" s="612"/>
      <c r="K45" s="611"/>
      <c r="L45" s="611"/>
      <c r="M45" s="611"/>
      <c r="N45" s="611"/>
      <c r="O45" s="611"/>
      <c r="P45" s="611"/>
      <c r="Q45" s="612"/>
      <c r="R45" s="612"/>
      <c r="S45" s="611"/>
      <c r="T45" s="611"/>
    </row>
    <row r="46" spans="1:20" ht="14.25">
      <c r="A46" s="603">
        <v>4.4000000000000004</v>
      </c>
      <c r="B46" s="604">
        <v>0.72799999999999998</v>
      </c>
      <c r="C46" s="605">
        <v>0.88500000000000001</v>
      </c>
      <c r="D46" s="606">
        <v>0.92200000000000004</v>
      </c>
      <c r="E46" s="607">
        <f t="shared" si="0"/>
        <v>0.59099999999999997</v>
      </c>
      <c r="F46" s="595">
        <f t="shared" si="1"/>
        <v>0.74399999999999999</v>
      </c>
      <c r="G46" s="608">
        <f t="shared" si="2"/>
        <v>0.78300000000000003</v>
      </c>
      <c r="H46" s="611"/>
      <c r="I46" s="612"/>
      <c r="J46" s="612"/>
      <c r="K46" s="611"/>
      <c r="L46" s="611"/>
      <c r="M46" s="611"/>
      <c r="N46" s="611"/>
      <c r="O46" s="611"/>
      <c r="P46" s="611"/>
      <c r="Q46" s="612"/>
      <c r="R46" s="612"/>
      <c r="S46" s="611"/>
      <c r="T46" s="611"/>
    </row>
    <row r="47" spans="1:20" ht="14.25">
      <c r="A47" s="603">
        <v>4.5</v>
      </c>
      <c r="B47" s="604">
        <v>0.72399999999999998</v>
      </c>
      <c r="C47" s="605">
        <v>0.88200000000000001</v>
      </c>
      <c r="D47" s="606">
        <v>0.91900000000000004</v>
      </c>
      <c r="E47" s="607">
        <f t="shared" si="0"/>
        <v>0.58799999999999997</v>
      </c>
      <c r="F47" s="595">
        <f t="shared" si="1"/>
        <v>0.74199999999999999</v>
      </c>
      <c r="G47" s="608">
        <f t="shared" si="2"/>
        <v>0.78100000000000003</v>
      </c>
      <c r="H47" s="611"/>
      <c r="I47" s="612"/>
      <c r="J47" s="612"/>
      <c r="K47" s="611"/>
      <c r="L47" s="611"/>
      <c r="M47" s="611"/>
      <c r="N47" s="611"/>
      <c r="O47" s="611"/>
      <c r="P47" s="611"/>
      <c r="Q47" s="612"/>
      <c r="R47" s="612"/>
      <c r="S47" s="611"/>
      <c r="T47" s="611"/>
    </row>
    <row r="48" spans="1:20" ht="14.25">
      <c r="A48" s="603">
        <v>4.5999999999999996</v>
      </c>
      <c r="B48" s="604">
        <v>0.72</v>
      </c>
      <c r="C48" s="605">
        <v>0.879</v>
      </c>
      <c r="D48" s="606">
        <v>0.91700000000000004</v>
      </c>
      <c r="E48" s="607">
        <f t="shared" si="0"/>
        <v>0.58399999999999996</v>
      </c>
      <c r="F48" s="595">
        <f t="shared" si="1"/>
        <v>0.73899999999999999</v>
      </c>
      <c r="G48" s="608">
        <f t="shared" si="2"/>
        <v>0.77900000000000003</v>
      </c>
      <c r="H48" s="611"/>
      <c r="I48" s="612"/>
      <c r="J48" s="612"/>
      <c r="K48" s="611"/>
      <c r="L48" s="611"/>
      <c r="M48" s="611"/>
      <c r="N48" s="611"/>
      <c r="O48" s="611"/>
      <c r="P48" s="611"/>
      <c r="Q48" s="612"/>
      <c r="R48" s="612"/>
      <c r="S48" s="611"/>
      <c r="T48" s="611"/>
    </row>
    <row r="49" spans="1:20" ht="14.25">
      <c r="A49" s="603">
        <v>4.7</v>
      </c>
      <c r="B49" s="604">
        <v>0.71699999999999997</v>
      </c>
      <c r="C49" s="605">
        <v>0.876</v>
      </c>
      <c r="D49" s="606">
        <v>0.91500000000000004</v>
      </c>
      <c r="E49" s="607">
        <f t="shared" si="0"/>
        <v>0.58199999999999996</v>
      </c>
      <c r="F49" s="595">
        <f t="shared" si="1"/>
        <v>0.73699999999999999</v>
      </c>
      <c r="G49" s="608">
        <f t="shared" si="2"/>
        <v>0.77700000000000002</v>
      </c>
      <c r="H49" s="611"/>
      <c r="I49" s="612"/>
      <c r="J49" s="612"/>
      <c r="K49" s="611"/>
      <c r="L49" s="611"/>
      <c r="M49" s="611"/>
      <c r="N49" s="611"/>
      <c r="O49" s="611"/>
      <c r="P49" s="611"/>
      <c r="Q49" s="612"/>
      <c r="R49" s="612"/>
      <c r="S49" s="611"/>
      <c r="T49" s="611"/>
    </row>
    <row r="50" spans="1:20" ht="14.25">
      <c r="A50" s="603">
        <v>4.8</v>
      </c>
      <c r="B50" s="604">
        <v>0.71299999999999997</v>
      </c>
      <c r="C50" s="605">
        <v>0.874</v>
      </c>
      <c r="D50" s="606">
        <v>0.91300000000000003</v>
      </c>
      <c r="E50" s="607">
        <f t="shared" si="0"/>
        <v>0.57899999999999996</v>
      </c>
      <c r="F50" s="595">
        <f t="shared" si="1"/>
        <v>0.73499999999999999</v>
      </c>
      <c r="G50" s="608">
        <f t="shared" si="2"/>
        <v>0.77600000000000002</v>
      </c>
      <c r="H50" s="611"/>
      <c r="I50" s="612"/>
      <c r="J50" s="612"/>
      <c r="K50" s="611"/>
      <c r="L50" s="611"/>
      <c r="M50" s="611"/>
      <c r="N50" s="611"/>
      <c r="O50" s="611"/>
      <c r="P50" s="611"/>
      <c r="Q50" s="612"/>
      <c r="R50" s="612"/>
      <c r="S50" s="611"/>
      <c r="T50" s="611"/>
    </row>
    <row r="51" spans="1:20" ht="14.25">
      <c r="A51" s="603">
        <v>4.9000000000000004</v>
      </c>
      <c r="B51" s="604">
        <v>0.70899999999999996</v>
      </c>
      <c r="C51" s="605">
        <v>0.871</v>
      </c>
      <c r="D51" s="606">
        <v>0.91100000000000003</v>
      </c>
      <c r="E51" s="607">
        <f t="shared" si="0"/>
        <v>0.57499999999999996</v>
      </c>
      <c r="F51" s="595">
        <f t="shared" si="1"/>
        <v>0.73299999999999998</v>
      </c>
      <c r="G51" s="608">
        <f t="shared" si="2"/>
        <v>0.77400000000000002</v>
      </c>
      <c r="H51" s="611"/>
      <c r="I51" s="612"/>
      <c r="J51" s="612"/>
      <c r="K51" s="611"/>
      <c r="L51" s="611"/>
      <c r="M51" s="611"/>
      <c r="N51" s="611"/>
      <c r="O51" s="611"/>
      <c r="P51" s="611"/>
      <c r="Q51" s="612"/>
      <c r="R51" s="612"/>
      <c r="S51" s="611"/>
      <c r="T51" s="611"/>
    </row>
    <row r="52" spans="1:20" ht="14.25">
      <c r="A52" s="603">
        <v>5</v>
      </c>
      <c r="B52" s="604">
        <v>0.70599999999999996</v>
      </c>
      <c r="C52" s="605">
        <v>0.86799999999999999</v>
      </c>
      <c r="D52" s="606">
        <v>0.90900000000000003</v>
      </c>
      <c r="E52" s="607">
        <f t="shared" si="0"/>
        <v>0.57299999999999995</v>
      </c>
      <c r="F52" s="595">
        <f t="shared" si="1"/>
        <v>0.73</v>
      </c>
      <c r="G52" s="608">
        <f t="shared" si="2"/>
        <v>0.77200000000000002</v>
      </c>
      <c r="H52" s="611"/>
      <c r="I52" s="612"/>
      <c r="J52" s="612"/>
      <c r="K52" s="611"/>
      <c r="L52" s="611"/>
      <c r="M52" s="611"/>
      <c r="N52" s="611"/>
      <c r="O52" s="611"/>
      <c r="P52" s="611"/>
      <c r="Q52" s="612"/>
      <c r="R52" s="612"/>
      <c r="S52" s="611"/>
      <c r="T52" s="611"/>
    </row>
    <row r="53" spans="1:20" ht="14.25">
      <c r="A53" s="603">
        <v>5.0999999999999996</v>
      </c>
      <c r="B53" s="604">
        <v>0.70199999999999996</v>
      </c>
      <c r="C53" s="605">
        <v>0.86499999999999999</v>
      </c>
      <c r="D53" s="606">
        <v>0.90600000000000003</v>
      </c>
      <c r="E53" s="607">
        <f t="shared" si="0"/>
        <v>0.56999999999999995</v>
      </c>
      <c r="F53" s="595">
        <f t="shared" si="1"/>
        <v>0.72799999999999998</v>
      </c>
      <c r="G53" s="608">
        <f t="shared" si="2"/>
        <v>0.77</v>
      </c>
      <c r="H53" s="611"/>
      <c r="I53" s="612"/>
      <c r="J53" s="612"/>
      <c r="K53" s="611"/>
      <c r="L53" s="611"/>
      <c r="M53" s="611"/>
      <c r="N53" s="611"/>
      <c r="O53" s="611"/>
      <c r="P53" s="611"/>
      <c r="Q53" s="612"/>
      <c r="R53" s="612"/>
      <c r="S53" s="611"/>
      <c r="T53" s="611"/>
    </row>
    <row r="54" spans="1:20" ht="14.25">
      <c r="A54" s="603">
        <v>5.2</v>
      </c>
      <c r="B54" s="604">
        <v>0.69799999999999995</v>
      </c>
      <c r="C54" s="605">
        <v>0.86199999999999999</v>
      </c>
      <c r="D54" s="606">
        <v>0.90400000000000003</v>
      </c>
      <c r="E54" s="607">
        <f t="shared" si="0"/>
        <v>0.56699999999999995</v>
      </c>
      <c r="F54" s="595">
        <f t="shared" si="1"/>
        <v>0.72499999999999998</v>
      </c>
      <c r="G54" s="608">
        <f t="shared" si="2"/>
        <v>0.76800000000000002</v>
      </c>
      <c r="H54" s="611"/>
      <c r="I54" s="612"/>
      <c r="J54" s="612"/>
      <c r="K54" s="611"/>
      <c r="L54" s="611"/>
      <c r="M54" s="611"/>
      <c r="N54" s="611"/>
      <c r="O54" s="611"/>
      <c r="P54" s="611"/>
      <c r="Q54" s="612"/>
      <c r="R54" s="612"/>
      <c r="S54" s="611"/>
      <c r="T54" s="611"/>
    </row>
    <row r="55" spans="1:20" ht="14.25">
      <c r="A55" s="603">
        <v>5.3</v>
      </c>
      <c r="B55" s="604">
        <v>0.69399999999999995</v>
      </c>
      <c r="C55" s="605">
        <v>0.86</v>
      </c>
      <c r="D55" s="606">
        <v>0.90200000000000002</v>
      </c>
      <c r="E55" s="607">
        <f t="shared" si="0"/>
        <v>0.56299999999999994</v>
      </c>
      <c r="F55" s="595">
        <f t="shared" si="1"/>
        <v>0.72299999999999998</v>
      </c>
      <c r="G55" s="608">
        <f t="shared" si="2"/>
        <v>0.76600000000000001</v>
      </c>
      <c r="H55" s="611"/>
      <c r="I55" s="612"/>
      <c r="J55" s="612"/>
      <c r="K55" s="611"/>
      <c r="L55" s="611"/>
      <c r="M55" s="611"/>
      <c r="N55" s="611"/>
      <c r="O55" s="611"/>
      <c r="P55" s="611"/>
      <c r="Q55" s="612"/>
      <c r="R55" s="612"/>
      <c r="S55" s="611"/>
      <c r="T55" s="611"/>
    </row>
    <row r="56" spans="1:20" ht="14.25">
      <c r="A56" s="603">
        <v>5.4</v>
      </c>
      <c r="B56" s="604">
        <v>0.69099999999999995</v>
      </c>
      <c r="C56" s="605">
        <v>0.85699999999999998</v>
      </c>
      <c r="D56" s="606">
        <v>0.9</v>
      </c>
      <c r="E56" s="607">
        <f t="shared" si="0"/>
        <v>0.56100000000000005</v>
      </c>
      <c r="F56" s="595">
        <f t="shared" si="1"/>
        <v>0.72099999999999997</v>
      </c>
      <c r="G56" s="608">
        <f t="shared" si="2"/>
        <v>0.76500000000000001</v>
      </c>
      <c r="H56" s="611"/>
      <c r="I56" s="612"/>
      <c r="J56" s="612"/>
      <c r="K56" s="611"/>
      <c r="L56" s="611"/>
      <c r="M56" s="611"/>
      <c r="N56" s="611"/>
      <c r="O56" s="611"/>
      <c r="P56" s="611"/>
      <c r="Q56" s="612"/>
      <c r="R56" s="612"/>
      <c r="S56" s="611"/>
      <c r="T56" s="611"/>
    </row>
    <row r="57" spans="1:20" ht="14.25">
      <c r="A57" s="603">
        <v>5.5</v>
      </c>
      <c r="B57" s="604">
        <v>0.68700000000000006</v>
      </c>
      <c r="C57" s="605">
        <v>0.85399999999999998</v>
      </c>
      <c r="D57" s="606">
        <v>0.89800000000000002</v>
      </c>
      <c r="E57" s="607">
        <f t="shared" si="0"/>
        <v>0.55800000000000005</v>
      </c>
      <c r="F57" s="595">
        <f t="shared" si="1"/>
        <v>0.71799999999999997</v>
      </c>
      <c r="G57" s="608">
        <f t="shared" si="2"/>
        <v>0.76300000000000001</v>
      </c>
      <c r="H57" s="611"/>
      <c r="I57" s="612"/>
      <c r="J57" s="612"/>
      <c r="K57" s="611"/>
      <c r="L57" s="611"/>
      <c r="M57" s="611"/>
      <c r="N57" s="611"/>
      <c r="O57" s="611"/>
      <c r="P57" s="611"/>
      <c r="Q57" s="612"/>
      <c r="R57" s="612"/>
      <c r="S57" s="611"/>
      <c r="T57" s="611"/>
    </row>
    <row r="58" spans="1:20" ht="14.25">
      <c r="A58" s="603">
        <v>5.6</v>
      </c>
      <c r="B58" s="604">
        <v>0.68300000000000005</v>
      </c>
      <c r="C58" s="605">
        <v>0.85099999999999998</v>
      </c>
      <c r="D58" s="606">
        <v>0.89500000000000002</v>
      </c>
      <c r="E58" s="607">
        <f t="shared" si="0"/>
        <v>0.55400000000000005</v>
      </c>
      <c r="F58" s="595">
        <f t="shared" si="1"/>
        <v>0.71599999999999997</v>
      </c>
      <c r="G58" s="608">
        <f t="shared" si="2"/>
        <v>0.76</v>
      </c>
      <c r="H58" s="611"/>
      <c r="I58" s="612"/>
      <c r="J58" s="612"/>
      <c r="K58" s="611"/>
      <c r="L58" s="611"/>
      <c r="M58" s="611"/>
      <c r="N58" s="611"/>
      <c r="O58" s="611"/>
      <c r="P58" s="611"/>
      <c r="Q58" s="612"/>
      <c r="R58" s="612"/>
      <c r="S58" s="611"/>
      <c r="T58" s="611"/>
    </row>
    <row r="59" spans="1:20" ht="14.25">
      <c r="A59" s="603">
        <v>5.7</v>
      </c>
      <c r="B59" s="604">
        <v>0.67900000000000005</v>
      </c>
      <c r="C59" s="605">
        <v>0.84899999999999998</v>
      </c>
      <c r="D59" s="606">
        <v>0.89300000000000002</v>
      </c>
      <c r="E59" s="607">
        <f t="shared" si="0"/>
        <v>0.55100000000000005</v>
      </c>
      <c r="F59" s="595">
        <f t="shared" si="1"/>
        <v>0.71399999999999997</v>
      </c>
      <c r="G59" s="608">
        <f t="shared" si="2"/>
        <v>0.75900000000000001</v>
      </c>
      <c r="H59" s="611"/>
      <c r="I59" s="612"/>
      <c r="J59" s="612"/>
      <c r="K59" s="611"/>
      <c r="L59" s="611"/>
      <c r="M59" s="611"/>
      <c r="N59" s="611"/>
      <c r="O59" s="611"/>
      <c r="P59" s="611"/>
      <c r="Q59" s="612"/>
      <c r="R59" s="612"/>
      <c r="S59" s="611"/>
      <c r="T59" s="611"/>
    </row>
    <row r="60" spans="1:20" ht="14.25">
      <c r="A60" s="603">
        <v>5.8</v>
      </c>
      <c r="B60" s="604">
        <v>0.67600000000000005</v>
      </c>
      <c r="C60" s="605">
        <v>0.84599999999999997</v>
      </c>
      <c r="D60" s="606">
        <v>0.89100000000000001</v>
      </c>
      <c r="E60" s="607">
        <f t="shared" si="0"/>
        <v>0.54900000000000004</v>
      </c>
      <c r="F60" s="595">
        <f t="shared" si="1"/>
        <v>0.71199999999999997</v>
      </c>
      <c r="G60" s="608">
        <f t="shared" si="2"/>
        <v>0.75700000000000001</v>
      </c>
      <c r="H60" s="611"/>
      <c r="I60" s="612"/>
      <c r="J60" s="612"/>
      <c r="K60" s="611"/>
      <c r="L60" s="611"/>
      <c r="M60" s="611"/>
      <c r="N60" s="611"/>
      <c r="O60" s="611"/>
      <c r="P60" s="611"/>
      <c r="Q60" s="612"/>
      <c r="R60" s="612"/>
      <c r="S60" s="611"/>
      <c r="T60" s="611"/>
    </row>
    <row r="61" spans="1:20" ht="14.25">
      <c r="A61" s="603">
        <v>5.9</v>
      </c>
      <c r="B61" s="604">
        <v>0.67200000000000004</v>
      </c>
      <c r="C61" s="605">
        <v>0.84299999999999997</v>
      </c>
      <c r="D61" s="606">
        <v>0.88900000000000001</v>
      </c>
      <c r="E61" s="607">
        <f t="shared" si="0"/>
        <v>0.54500000000000004</v>
      </c>
      <c r="F61" s="595">
        <f t="shared" si="1"/>
        <v>0.70899999999999996</v>
      </c>
      <c r="G61" s="608">
        <f t="shared" si="2"/>
        <v>0.755</v>
      </c>
      <c r="H61" s="611"/>
      <c r="I61" s="612"/>
      <c r="J61" s="612"/>
      <c r="K61" s="611"/>
      <c r="L61" s="611"/>
      <c r="M61" s="611"/>
      <c r="N61" s="611"/>
      <c r="O61" s="611"/>
      <c r="P61" s="611"/>
      <c r="Q61" s="612"/>
      <c r="R61" s="612"/>
      <c r="S61" s="611"/>
      <c r="T61" s="611"/>
    </row>
    <row r="62" spans="1:20" ht="14.25">
      <c r="A62" s="603">
        <v>6</v>
      </c>
      <c r="B62" s="604">
        <v>0.66800000000000004</v>
      </c>
      <c r="C62" s="605">
        <v>0.84</v>
      </c>
      <c r="D62" s="606">
        <v>0.88700000000000001</v>
      </c>
      <c r="E62" s="607">
        <f t="shared" si="0"/>
        <v>0.54200000000000004</v>
      </c>
      <c r="F62" s="595">
        <f t="shared" si="1"/>
        <v>0.70599999999999996</v>
      </c>
      <c r="G62" s="608">
        <f t="shared" si="2"/>
        <v>0.754</v>
      </c>
      <c r="H62" s="611"/>
      <c r="I62" s="612"/>
      <c r="J62" s="612"/>
      <c r="K62" s="611"/>
      <c r="L62" s="611"/>
      <c r="M62" s="611"/>
      <c r="N62" s="611"/>
      <c r="O62" s="611"/>
      <c r="P62" s="611"/>
      <c r="Q62" s="612"/>
      <c r="R62" s="612"/>
      <c r="S62" s="611"/>
      <c r="T62" s="611"/>
    </row>
    <row r="63" spans="1:20" ht="14.25">
      <c r="A63" s="609">
        <v>6.1</v>
      </c>
      <c r="B63" s="610">
        <v>0.66400000000000003</v>
      </c>
      <c r="C63" s="605">
        <v>0.83699999999999997</v>
      </c>
      <c r="D63" s="606">
        <v>0.88400000000000001</v>
      </c>
      <c r="E63" s="607">
        <f t="shared" si="0"/>
        <v>0.53900000000000003</v>
      </c>
      <c r="F63" s="595">
        <f t="shared" si="1"/>
        <v>0.70399999999999996</v>
      </c>
      <c r="G63" s="608">
        <f t="shared" si="2"/>
        <v>0.751</v>
      </c>
      <c r="H63" s="611"/>
      <c r="I63" s="612"/>
      <c r="J63" s="612"/>
      <c r="K63" s="611"/>
      <c r="L63" s="611"/>
      <c r="M63" s="611"/>
      <c r="N63" s="611"/>
      <c r="O63" s="611"/>
      <c r="P63" s="611"/>
      <c r="Q63" s="612"/>
      <c r="R63" s="612"/>
      <c r="S63" s="611"/>
      <c r="T63" s="611"/>
    </row>
    <row r="64" spans="1:20" ht="14.25">
      <c r="A64" s="609">
        <v>6.2</v>
      </c>
      <c r="B64" s="610">
        <v>0.66100000000000003</v>
      </c>
      <c r="C64" s="605">
        <v>0.83499999999999996</v>
      </c>
      <c r="D64" s="606">
        <v>0.88200000000000001</v>
      </c>
      <c r="E64" s="607">
        <f t="shared" si="0"/>
        <v>0.53700000000000003</v>
      </c>
      <c r="F64" s="595">
        <f t="shared" si="1"/>
        <v>0.70199999999999996</v>
      </c>
      <c r="G64" s="608">
        <f t="shared" si="2"/>
        <v>0.749</v>
      </c>
      <c r="H64" s="611"/>
      <c r="I64" s="612"/>
      <c r="J64" s="612"/>
      <c r="K64" s="611"/>
      <c r="L64" s="611"/>
      <c r="M64" s="611"/>
      <c r="N64" s="611"/>
      <c r="O64" s="611"/>
      <c r="P64" s="611"/>
      <c r="Q64" s="612"/>
      <c r="R64" s="612"/>
      <c r="S64" s="611"/>
      <c r="T64" s="611"/>
    </row>
    <row r="65" spans="1:20" ht="14.25">
      <c r="A65" s="609">
        <v>6.3</v>
      </c>
      <c r="B65" s="610">
        <v>0.65700000000000003</v>
      </c>
      <c r="C65" s="605">
        <v>0.83199999999999996</v>
      </c>
      <c r="D65" s="606">
        <v>0.88</v>
      </c>
      <c r="E65" s="607">
        <f t="shared" si="0"/>
        <v>0.53300000000000003</v>
      </c>
      <c r="F65" s="595">
        <f t="shared" si="1"/>
        <v>0.7</v>
      </c>
      <c r="G65" s="608">
        <f t="shared" si="2"/>
        <v>0.748</v>
      </c>
      <c r="H65" s="611"/>
      <c r="I65" s="612"/>
      <c r="J65" s="612"/>
      <c r="K65" s="611"/>
      <c r="L65" s="611"/>
      <c r="M65" s="611"/>
      <c r="N65" s="611"/>
      <c r="O65" s="611"/>
      <c r="P65" s="611"/>
      <c r="Q65" s="612"/>
      <c r="R65" s="612"/>
      <c r="S65" s="611"/>
      <c r="T65" s="611"/>
    </row>
    <row r="66" spans="1:20" ht="14.25">
      <c r="A66" s="609">
        <v>6.4</v>
      </c>
      <c r="B66" s="610">
        <v>0.65300000000000002</v>
      </c>
      <c r="C66" s="605">
        <v>0.82899999999999996</v>
      </c>
      <c r="D66" s="606">
        <v>0.878</v>
      </c>
      <c r="E66" s="607">
        <f t="shared" si="0"/>
        <v>0.53</v>
      </c>
      <c r="F66" s="595">
        <f t="shared" si="1"/>
        <v>0.69699999999999995</v>
      </c>
      <c r="G66" s="608">
        <f t="shared" si="2"/>
        <v>0.746</v>
      </c>
      <c r="H66" s="611"/>
      <c r="I66" s="612"/>
      <c r="J66" s="612"/>
      <c r="K66" s="611"/>
      <c r="L66" s="611"/>
      <c r="M66" s="611"/>
      <c r="N66" s="611"/>
      <c r="O66" s="611"/>
      <c r="P66" s="611"/>
      <c r="Q66" s="612"/>
      <c r="R66" s="612"/>
      <c r="S66" s="611"/>
      <c r="T66" s="611"/>
    </row>
    <row r="67" spans="1:20" ht="14.25">
      <c r="A67" s="609">
        <v>6.5</v>
      </c>
      <c r="B67" s="610">
        <v>0.65</v>
      </c>
      <c r="C67" s="605">
        <v>0.82599999999999996</v>
      </c>
      <c r="D67" s="606">
        <v>0.876</v>
      </c>
      <c r="E67" s="607">
        <f t="shared" si="0"/>
        <v>0.52800000000000002</v>
      </c>
      <c r="F67" s="595">
        <f t="shared" si="1"/>
        <v>0.69499999999999995</v>
      </c>
      <c r="G67" s="608">
        <f t="shared" si="2"/>
        <v>0.74399999999999999</v>
      </c>
      <c r="H67" s="611"/>
      <c r="I67" s="612"/>
      <c r="J67" s="612"/>
      <c r="K67" s="611"/>
      <c r="L67" s="611"/>
      <c r="M67" s="611"/>
      <c r="N67" s="611"/>
      <c r="O67" s="611"/>
      <c r="P67" s="611"/>
      <c r="Q67" s="612"/>
      <c r="R67" s="612"/>
      <c r="S67" s="611"/>
      <c r="T67" s="611"/>
    </row>
    <row r="68" spans="1:20" ht="14.25">
      <c r="A68" s="609">
        <v>6.6</v>
      </c>
      <c r="B68" s="610">
        <v>0.64600000000000002</v>
      </c>
      <c r="C68" s="605">
        <v>0.82399999999999995</v>
      </c>
      <c r="D68" s="606">
        <v>0.873</v>
      </c>
      <c r="E68" s="607">
        <f t="shared" ref="E68:E102" si="3">ROUND(B68/1.232,3)</f>
        <v>0.52400000000000002</v>
      </c>
      <c r="F68" s="595">
        <f t="shared" ref="F68:F102" si="4">ROUND(C68/1.189,3)</f>
        <v>0.69299999999999995</v>
      </c>
      <c r="G68" s="608">
        <f t="shared" ref="G68:G102" si="5">ROUND(D68/1.177,3)</f>
        <v>0.74199999999999999</v>
      </c>
      <c r="H68" s="611"/>
      <c r="I68" s="612"/>
      <c r="J68" s="612"/>
      <c r="K68" s="611"/>
      <c r="L68" s="611"/>
      <c r="M68" s="611"/>
      <c r="N68" s="611"/>
      <c r="O68" s="611"/>
      <c r="P68" s="611"/>
      <c r="Q68" s="612"/>
      <c r="R68" s="612"/>
      <c r="S68" s="611"/>
      <c r="T68" s="611"/>
    </row>
    <row r="69" spans="1:20" ht="14.25">
      <c r="A69" s="609">
        <v>6.7</v>
      </c>
      <c r="B69" s="610">
        <v>0.64200000000000002</v>
      </c>
      <c r="C69" s="605">
        <v>0.82099999999999995</v>
      </c>
      <c r="D69" s="606">
        <v>0.871</v>
      </c>
      <c r="E69" s="607">
        <f t="shared" si="3"/>
        <v>0.52100000000000002</v>
      </c>
      <c r="F69" s="595">
        <f t="shared" si="4"/>
        <v>0.69</v>
      </c>
      <c r="G69" s="608">
        <f t="shared" si="5"/>
        <v>0.74</v>
      </c>
      <c r="H69" s="611"/>
      <c r="I69" s="612"/>
      <c r="J69" s="612"/>
      <c r="K69" s="611"/>
      <c r="L69" s="611"/>
      <c r="M69" s="611"/>
      <c r="N69" s="611"/>
      <c r="O69" s="611"/>
      <c r="P69" s="611"/>
      <c r="Q69" s="612"/>
      <c r="R69" s="612"/>
      <c r="S69" s="611"/>
      <c r="T69" s="611"/>
    </row>
    <row r="70" spans="1:20" ht="14.25">
      <c r="A70" s="609">
        <v>6.8</v>
      </c>
      <c r="B70" s="610">
        <v>0.63800000000000001</v>
      </c>
      <c r="C70" s="605">
        <v>0.81799999999999995</v>
      </c>
      <c r="D70" s="606">
        <v>0.86899999999999999</v>
      </c>
      <c r="E70" s="607">
        <f t="shared" si="3"/>
        <v>0.51800000000000002</v>
      </c>
      <c r="F70" s="595">
        <f t="shared" si="4"/>
        <v>0.68799999999999994</v>
      </c>
      <c r="G70" s="608">
        <f t="shared" si="5"/>
        <v>0.73799999999999999</v>
      </c>
      <c r="H70" s="611"/>
      <c r="I70" s="612"/>
      <c r="J70" s="612"/>
      <c r="K70" s="611"/>
      <c r="L70" s="611"/>
      <c r="M70" s="611"/>
      <c r="N70" s="611"/>
      <c r="O70" s="611"/>
      <c r="P70" s="611"/>
      <c r="Q70" s="612"/>
      <c r="R70" s="612"/>
      <c r="S70" s="611"/>
      <c r="T70" s="611"/>
    </row>
    <row r="71" spans="1:20" ht="14.25">
      <c r="A71" s="609">
        <v>6.9</v>
      </c>
      <c r="B71" s="610">
        <v>0.63500000000000001</v>
      </c>
      <c r="C71" s="605">
        <v>0.81499999999999995</v>
      </c>
      <c r="D71" s="606">
        <v>0.86699999999999999</v>
      </c>
      <c r="E71" s="607">
        <f t="shared" si="3"/>
        <v>0.51500000000000001</v>
      </c>
      <c r="F71" s="595">
        <f t="shared" si="4"/>
        <v>0.68500000000000005</v>
      </c>
      <c r="G71" s="608">
        <f t="shared" si="5"/>
        <v>0.73699999999999999</v>
      </c>
      <c r="H71" s="611"/>
      <c r="I71" s="612"/>
      <c r="J71" s="612"/>
      <c r="K71" s="611"/>
      <c r="L71" s="611"/>
      <c r="M71" s="611"/>
      <c r="N71" s="611"/>
      <c r="O71" s="611"/>
      <c r="P71" s="611"/>
      <c r="Q71" s="612"/>
      <c r="R71" s="612"/>
      <c r="S71" s="611"/>
      <c r="T71" s="611"/>
    </row>
    <row r="72" spans="1:20" ht="14.25">
      <c r="A72" s="609">
        <v>7</v>
      </c>
      <c r="B72" s="610">
        <v>0.63100000000000001</v>
      </c>
      <c r="C72" s="605">
        <v>0.81200000000000006</v>
      </c>
      <c r="D72" s="606">
        <v>0.86499999999999999</v>
      </c>
      <c r="E72" s="607">
        <f t="shared" si="3"/>
        <v>0.51200000000000001</v>
      </c>
      <c r="F72" s="595">
        <f t="shared" si="4"/>
        <v>0.68300000000000005</v>
      </c>
      <c r="G72" s="608">
        <f t="shared" si="5"/>
        <v>0.73499999999999999</v>
      </c>
      <c r="H72" s="611"/>
      <c r="I72" s="612"/>
      <c r="J72" s="612"/>
      <c r="K72" s="611"/>
      <c r="L72" s="611"/>
      <c r="M72" s="611"/>
      <c r="N72" s="611"/>
      <c r="O72" s="611"/>
      <c r="P72" s="611"/>
      <c r="Q72" s="612"/>
      <c r="R72" s="612"/>
      <c r="S72" s="611"/>
      <c r="T72" s="611"/>
    </row>
    <row r="73" spans="1:20" ht="14.25">
      <c r="A73" s="609">
        <v>7.1</v>
      </c>
      <c r="B73" s="610">
        <v>0.627</v>
      </c>
      <c r="C73" s="605">
        <v>0.81</v>
      </c>
      <c r="D73" s="606">
        <v>0.86299999999999999</v>
      </c>
      <c r="E73" s="607">
        <f t="shared" si="3"/>
        <v>0.50900000000000001</v>
      </c>
      <c r="F73" s="595">
        <f t="shared" si="4"/>
        <v>0.68100000000000005</v>
      </c>
      <c r="G73" s="608">
        <f t="shared" si="5"/>
        <v>0.73299999999999998</v>
      </c>
      <c r="H73" s="611"/>
      <c r="I73" s="612"/>
      <c r="J73" s="612"/>
      <c r="K73" s="611"/>
      <c r="L73" s="611"/>
      <c r="M73" s="611"/>
      <c r="N73" s="611"/>
      <c r="O73" s="611"/>
      <c r="P73" s="611"/>
      <c r="Q73" s="612"/>
      <c r="R73" s="612"/>
      <c r="S73" s="611"/>
      <c r="T73" s="611"/>
    </row>
    <row r="74" spans="1:20" ht="14.25">
      <c r="A74" s="609">
        <v>7.2</v>
      </c>
      <c r="B74" s="610">
        <v>0.623</v>
      </c>
      <c r="C74" s="605">
        <v>0.80700000000000005</v>
      </c>
      <c r="D74" s="606">
        <v>0.86</v>
      </c>
      <c r="E74" s="607">
        <f t="shared" si="3"/>
        <v>0.50600000000000001</v>
      </c>
      <c r="F74" s="595">
        <f t="shared" si="4"/>
        <v>0.67900000000000005</v>
      </c>
      <c r="G74" s="608">
        <f t="shared" si="5"/>
        <v>0.73099999999999998</v>
      </c>
      <c r="H74" s="611"/>
      <c r="I74" s="612"/>
      <c r="J74" s="612"/>
      <c r="K74" s="611"/>
      <c r="L74" s="611"/>
      <c r="M74" s="611"/>
      <c r="N74" s="611"/>
      <c r="O74" s="611"/>
      <c r="P74" s="611"/>
      <c r="Q74" s="612"/>
      <c r="R74" s="612"/>
      <c r="S74" s="611"/>
      <c r="T74" s="611"/>
    </row>
    <row r="75" spans="1:20" ht="14.25">
      <c r="A75" s="609">
        <v>7.3</v>
      </c>
      <c r="B75" s="610">
        <v>0.62</v>
      </c>
      <c r="C75" s="605">
        <v>0.80400000000000005</v>
      </c>
      <c r="D75" s="606">
        <v>0.85799999999999998</v>
      </c>
      <c r="E75" s="607">
        <f t="shared" si="3"/>
        <v>0.503</v>
      </c>
      <c r="F75" s="595">
        <f t="shared" si="4"/>
        <v>0.67600000000000005</v>
      </c>
      <c r="G75" s="608">
        <f t="shared" si="5"/>
        <v>0.72899999999999998</v>
      </c>
      <c r="H75" s="611"/>
      <c r="I75" s="612"/>
      <c r="J75" s="612"/>
      <c r="K75" s="611"/>
      <c r="L75" s="611"/>
      <c r="M75" s="611"/>
      <c r="N75" s="611"/>
      <c r="O75" s="611"/>
      <c r="P75" s="611"/>
      <c r="Q75" s="612"/>
      <c r="R75" s="612"/>
      <c r="S75" s="611"/>
      <c r="T75" s="611"/>
    </row>
    <row r="76" spans="1:20" ht="14.25">
      <c r="A76" s="609">
        <v>7.4</v>
      </c>
      <c r="B76" s="610">
        <v>0.61599999999999999</v>
      </c>
      <c r="C76" s="605">
        <v>0.80100000000000005</v>
      </c>
      <c r="D76" s="606">
        <v>0.85599999999999998</v>
      </c>
      <c r="E76" s="607">
        <f t="shared" si="3"/>
        <v>0.5</v>
      </c>
      <c r="F76" s="595">
        <f t="shared" si="4"/>
        <v>0.67400000000000004</v>
      </c>
      <c r="G76" s="608">
        <f t="shared" si="5"/>
        <v>0.72699999999999998</v>
      </c>
      <c r="H76" s="611"/>
      <c r="I76" s="612"/>
      <c r="J76" s="612"/>
      <c r="K76" s="611"/>
      <c r="L76" s="611"/>
      <c r="M76" s="611"/>
      <c r="N76" s="611"/>
      <c r="O76" s="611"/>
      <c r="P76" s="611"/>
      <c r="Q76" s="612"/>
      <c r="R76" s="612"/>
      <c r="S76" s="611"/>
      <c r="T76" s="611"/>
    </row>
    <row r="77" spans="1:20" ht="14.25">
      <c r="A77" s="609">
        <v>7.5</v>
      </c>
      <c r="B77" s="610">
        <v>0.61199999999999999</v>
      </c>
      <c r="C77" s="605">
        <v>0.79900000000000004</v>
      </c>
      <c r="D77" s="606">
        <v>0.85399999999999998</v>
      </c>
      <c r="E77" s="607">
        <f t="shared" si="3"/>
        <v>0.497</v>
      </c>
      <c r="F77" s="595">
        <f t="shared" si="4"/>
        <v>0.67200000000000004</v>
      </c>
      <c r="G77" s="608">
        <f t="shared" si="5"/>
        <v>0.72599999999999998</v>
      </c>
      <c r="H77" s="611"/>
      <c r="I77" s="612"/>
      <c r="J77" s="612"/>
      <c r="K77" s="611"/>
      <c r="L77" s="611"/>
      <c r="M77" s="611"/>
      <c r="N77" s="611"/>
      <c r="O77" s="611"/>
      <c r="P77" s="611"/>
      <c r="Q77" s="612"/>
      <c r="R77" s="612"/>
      <c r="S77" s="611"/>
      <c r="T77" s="611"/>
    </row>
    <row r="78" spans="1:20" ht="14.25">
      <c r="A78" s="609">
        <v>7.6</v>
      </c>
      <c r="B78" s="610">
        <v>0.60899999999999999</v>
      </c>
      <c r="C78" s="605">
        <v>0.79600000000000004</v>
      </c>
      <c r="D78" s="606">
        <v>0.85199999999999998</v>
      </c>
      <c r="E78" s="607">
        <f t="shared" si="3"/>
        <v>0.49399999999999999</v>
      </c>
      <c r="F78" s="595">
        <f t="shared" si="4"/>
        <v>0.66900000000000004</v>
      </c>
      <c r="G78" s="608">
        <f t="shared" si="5"/>
        <v>0.72399999999999998</v>
      </c>
      <c r="H78" s="611"/>
      <c r="I78" s="612"/>
      <c r="J78" s="612"/>
      <c r="K78" s="611"/>
      <c r="L78" s="611"/>
      <c r="M78" s="611"/>
      <c r="N78" s="611"/>
      <c r="O78" s="611"/>
      <c r="P78" s="611"/>
      <c r="Q78" s="612"/>
      <c r="R78" s="612"/>
      <c r="S78" s="611"/>
      <c r="T78" s="611"/>
    </row>
    <row r="79" spans="1:20" ht="14.25">
      <c r="A79" s="609">
        <v>7.7</v>
      </c>
      <c r="B79" s="610">
        <v>0.60499999999999998</v>
      </c>
      <c r="C79" s="605">
        <v>0.79300000000000004</v>
      </c>
      <c r="D79" s="606">
        <v>0.84899999999999998</v>
      </c>
      <c r="E79" s="607">
        <f t="shared" si="3"/>
        <v>0.49099999999999999</v>
      </c>
      <c r="F79" s="595">
        <f t="shared" si="4"/>
        <v>0.66700000000000004</v>
      </c>
      <c r="G79" s="608">
        <f t="shared" si="5"/>
        <v>0.72099999999999997</v>
      </c>
      <c r="H79" s="611"/>
      <c r="I79" s="612"/>
      <c r="J79" s="612"/>
      <c r="K79" s="611"/>
      <c r="L79" s="611"/>
      <c r="M79" s="611"/>
      <c r="N79" s="611"/>
      <c r="O79" s="611"/>
      <c r="P79" s="611"/>
      <c r="Q79" s="612"/>
      <c r="R79" s="612"/>
      <c r="S79" s="611"/>
      <c r="T79" s="611"/>
    </row>
    <row r="80" spans="1:20" ht="14.25">
      <c r="A80" s="609">
        <v>7.8</v>
      </c>
      <c r="B80" s="610">
        <v>0.60099999999999998</v>
      </c>
      <c r="C80" s="605">
        <v>0.79</v>
      </c>
      <c r="D80" s="606">
        <v>0.84699999999999998</v>
      </c>
      <c r="E80" s="607">
        <f t="shared" si="3"/>
        <v>0.48799999999999999</v>
      </c>
      <c r="F80" s="595">
        <f t="shared" si="4"/>
        <v>0.66400000000000003</v>
      </c>
      <c r="G80" s="608">
        <f t="shared" si="5"/>
        <v>0.72</v>
      </c>
      <c r="H80" s="611"/>
      <c r="I80" s="612"/>
      <c r="J80" s="612"/>
      <c r="K80" s="611"/>
      <c r="L80" s="611"/>
      <c r="M80" s="611"/>
      <c r="N80" s="611"/>
      <c r="O80" s="611"/>
      <c r="P80" s="611"/>
      <c r="Q80" s="612"/>
      <c r="R80" s="612"/>
      <c r="S80" s="611"/>
      <c r="T80" s="611"/>
    </row>
    <row r="81" spans="1:20" ht="14.25">
      <c r="A81" s="609">
        <v>7.9</v>
      </c>
      <c r="B81" s="610">
        <v>0.59699999999999998</v>
      </c>
      <c r="C81" s="605">
        <v>0.78700000000000003</v>
      </c>
      <c r="D81" s="606">
        <v>0.84499999999999997</v>
      </c>
      <c r="E81" s="607">
        <f t="shared" si="3"/>
        <v>0.48499999999999999</v>
      </c>
      <c r="F81" s="595">
        <f t="shared" si="4"/>
        <v>0.66200000000000003</v>
      </c>
      <c r="G81" s="608">
        <f t="shared" si="5"/>
        <v>0.71799999999999997</v>
      </c>
      <c r="H81" s="611"/>
      <c r="I81" s="612"/>
      <c r="J81" s="612"/>
      <c r="K81" s="611"/>
      <c r="L81" s="611"/>
      <c r="M81" s="611"/>
      <c r="N81" s="611"/>
      <c r="O81" s="611"/>
      <c r="P81" s="611"/>
      <c r="Q81" s="612"/>
      <c r="R81" s="612"/>
      <c r="S81" s="611"/>
      <c r="T81" s="611"/>
    </row>
    <row r="82" spans="1:20" ht="14.25">
      <c r="A82" s="609">
        <v>8</v>
      </c>
      <c r="B82" s="610">
        <v>0.59399999999999997</v>
      </c>
      <c r="C82" s="605">
        <v>0.78500000000000003</v>
      </c>
      <c r="D82" s="606">
        <v>0.84299999999999997</v>
      </c>
      <c r="E82" s="607">
        <f t="shared" si="3"/>
        <v>0.48199999999999998</v>
      </c>
      <c r="F82" s="595">
        <f t="shared" si="4"/>
        <v>0.66</v>
      </c>
      <c r="G82" s="608">
        <f t="shared" si="5"/>
        <v>0.71599999999999997</v>
      </c>
      <c r="H82" s="611"/>
      <c r="I82" s="612"/>
      <c r="J82" s="612"/>
      <c r="K82" s="611"/>
      <c r="L82" s="611"/>
      <c r="M82" s="611"/>
      <c r="N82" s="611"/>
      <c r="O82" s="611"/>
      <c r="P82" s="611"/>
      <c r="Q82" s="612"/>
      <c r="R82" s="612"/>
      <c r="S82" s="611"/>
      <c r="T82" s="611"/>
    </row>
    <row r="83" spans="1:20" ht="14.25">
      <c r="A83" s="603">
        <v>8.1</v>
      </c>
      <c r="B83" s="604">
        <v>0.59</v>
      </c>
      <c r="C83" s="605">
        <v>0.78200000000000003</v>
      </c>
      <c r="D83" s="606">
        <v>0.84099999999999997</v>
      </c>
      <c r="E83" s="607">
        <f t="shared" si="3"/>
        <v>0.47899999999999998</v>
      </c>
      <c r="F83" s="595">
        <f t="shared" si="4"/>
        <v>0.65800000000000003</v>
      </c>
      <c r="G83" s="608">
        <f t="shared" si="5"/>
        <v>0.71499999999999997</v>
      </c>
      <c r="H83" s="611"/>
      <c r="I83" s="612"/>
      <c r="J83" s="612"/>
      <c r="K83" s="611"/>
      <c r="L83" s="611"/>
      <c r="M83" s="611"/>
      <c r="N83" s="611"/>
      <c r="O83" s="611"/>
      <c r="P83" s="611"/>
      <c r="Q83" s="612"/>
      <c r="R83" s="612"/>
      <c r="S83" s="611"/>
      <c r="T83" s="611"/>
    </row>
    <row r="84" spans="1:20" ht="14.25">
      <c r="A84" s="603">
        <v>8.1999999999999993</v>
      </c>
      <c r="B84" s="604">
        <v>0.58599999999999997</v>
      </c>
      <c r="C84" s="605">
        <v>0.77900000000000003</v>
      </c>
      <c r="D84" s="606">
        <v>0.83799999999999997</v>
      </c>
      <c r="E84" s="607">
        <f t="shared" si="3"/>
        <v>0.47599999999999998</v>
      </c>
      <c r="F84" s="595">
        <f t="shared" si="4"/>
        <v>0.65500000000000003</v>
      </c>
      <c r="G84" s="608">
        <f t="shared" si="5"/>
        <v>0.71199999999999997</v>
      </c>
      <c r="H84" s="611"/>
      <c r="I84" s="612"/>
      <c r="J84" s="612"/>
      <c r="K84" s="611"/>
      <c r="L84" s="611"/>
      <c r="M84" s="611"/>
      <c r="N84" s="611"/>
      <c r="O84" s="611"/>
      <c r="P84" s="611"/>
      <c r="Q84" s="612"/>
      <c r="R84" s="612"/>
      <c r="S84" s="611"/>
      <c r="T84" s="611"/>
    </row>
    <row r="85" spans="1:20" ht="14.25">
      <c r="A85" s="603">
        <v>8.3000000000000007</v>
      </c>
      <c r="B85" s="604">
        <v>0.58199999999999996</v>
      </c>
      <c r="C85" s="605">
        <v>0.77600000000000002</v>
      </c>
      <c r="D85" s="606">
        <v>0.83599999999999997</v>
      </c>
      <c r="E85" s="607">
        <f t="shared" si="3"/>
        <v>0.47199999999999998</v>
      </c>
      <c r="F85" s="595">
        <f t="shared" si="4"/>
        <v>0.65300000000000002</v>
      </c>
      <c r="G85" s="608">
        <f t="shared" si="5"/>
        <v>0.71</v>
      </c>
      <c r="H85" s="611"/>
      <c r="I85" s="612"/>
      <c r="J85" s="612"/>
      <c r="K85" s="611"/>
      <c r="L85" s="611"/>
      <c r="M85" s="611"/>
      <c r="N85" s="611"/>
      <c r="O85" s="611"/>
      <c r="P85" s="611"/>
      <c r="Q85" s="612"/>
      <c r="R85" s="612"/>
      <c r="S85" s="611"/>
      <c r="T85" s="611"/>
    </row>
    <row r="86" spans="1:20" ht="14.25">
      <c r="A86" s="603">
        <v>8.4</v>
      </c>
      <c r="B86" s="604">
        <v>0.57899999999999996</v>
      </c>
      <c r="C86" s="605">
        <v>0.77300000000000002</v>
      </c>
      <c r="D86" s="606">
        <v>0.83399999999999996</v>
      </c>
      <c r="E86" s="607">
        <f t="shared" si="3"/>
        <v>0.47</v>
      </c>
      <c r="F86" s="595">
        <f t="shared" si="4"/>
        <v>0.65</v>
      </c>
      <c r="G86" s="608">
        <f t="shared" si="5"/>
        <v>0.70899999999999996</v>
      </c>
      <c r="H86" s="611"/>
      <c r="I86" s="612"/>
      <c r="J86" s="612"/>
      <c r="K86" s="611"/>
      <c r="L86" s="611"/>
      <c r="M86" s="611"/>
      <c r="N86" s="611"/>
      <c r="O86" s="611"/>
      <c r="P86" s="611"/>
      <c r="Q86" s="612"/>
      <c r="R86" s="612"/>
      <c r="S86" s="611"/>
      <c r="T86" s="611"/>
    </row>
    <row r="87" spans="1:20" ht="14.25">
      <c r="A87" s="603">
        <v>8.5</v>
      </c>
      <c r="B87" s="604">
        <v>0.57499999999999996</v>
      </c>
      <c r="C87" s="605">
        <v>0.77100000000000002</v>
      </c>
      <c r="D87" s="606">
        <v>0.83199999999999996</v>
      </c>
      <c r="E87" s="607">
        <f t="shared" si="3"/>
        <v>0.46700000000000003</v>
      </c>
      <c r="F87" s="595">
        <f t="shared" si="4"/>
        <v>0.64800000000000002</v>
      </c>
      <c r="G87" s="608">
        <f t="shared" si="5"/>
        <v>0.70699999999999996</v>
      </c>
      <c r="H87" s="611"/>
      <c r="I87" s="612"/>
      <c r="J87" s="612"/>
      <c r="K87" s="611"/>
      <c r="L87" s="611"/>
      <c r="M87" s="611"/>
      <c r="N87" s="611"/>
      <c r="O87" s="611"/>
      <c r="P87" s="611"/>
      <c r="Q87" s="612"/>
      <c r="R87" s="612"/>
      <c r="S87" s="611"/>
      <c r="T87" s="611"/>
    </row>
    <row r="88" spans="1:20" ht="14.25">
      <c r="A88" s="603">
        <v>8.6</v>
      </c>
      <c r="B88" s="604">
        <v>0.57099999999999995</v>
      </c>
      <c r="C88" s="605">
        <v>0.76800000000000002</v>
      </c>
      <c r="D88" s="606">
        <v>0.83</v>
      </c>
      <c r="E88" s="607">
        <f t="shared" si="3"/>
        <v>0.46300000000000002</v>
      </c>
      <c r="F88" s="595">
        <f t="shared" si="4"/>
        <v>0.64600000000000002</v>
      </c>
      <c r="G88" s="608">
        <f t="shared" si="5"/>
        <v>0.70499999999999996</v>
      </c>
      <c r="H88" s="611"/>
      <c r="I88" s="612"/>
      <c r="J88" s="612"/>
      <c r="K88" s="611"/>
      <c r="L88" s="611"/>
      <c r="M88" s="611"/>
      <c r="N88" s="611"/>
      <c r="O88" s="611"/>
      <c r="P88" s="611"/>
      <c r="Q88" s="612"/>
      <c r="R88" s="612"/>
      <c r="S88" s="611"/>
      <c r="T88" s="611"/>
    </row>
    <row r="89" spans="1:20" ht="14.25">
      <c r="A89" s="603">
        <v>8.6999999999999993</v>
      </c>
      <c r="B89" s="604">
        <v>0.56699999999999995</v>
      </c>
      <c r="C89" s="605">
        <v>0.76500000000000001</v>
      </c>
      <c r="D89" s="606">
        <v>0.82699999999999996</v>
      </c>
      <c r="E89" s="607">
        <f t="shared" si="3"/>
        <v>0.46</v>
      </c>
      <c r="F89" s="595">
        <f t="shared" si="4"/>
        <v>0.64300000000000002</v>
      </c>
      <c r="G89" s="608">
        <f t="shared" si="5"/>
        <v>0.70299999999999996</v>
      </c>
      <c r="H89" s="611"/>
      <c r="I89" s="612"/>
      <c r="J89" s="612"/>
      <c r="K89" s="611"/>
      <c r="L89" s="611"/>
      <c r="M89" s="611"/>
      <c r="N89" s="611"/>
      <c r="O89" s="611"/>
      <c r="P89" s="611"/>
      <c r="Q89" s="612"/>
      <c r="R89" s="612"/>
      <c r="S89" s="611"/>
      <c r="T89" s="611"/>
    </row>
    <row r="90" spans="1:20" ht="14.25">
      <c r="A90" s="603">
        <v>8.8000000000000007</v>
      </c>
      <c r="B90" s="604">
        <v>0.56399999999999995</v>
      </c>
      <c r="C90" s="605">
        <v>0.76200000000000001</v>
      </c>
      <c r="D90" s="606">
        <v>0.82499999999999996</v>
      </c>
      <c r="E90" s="607">
        <f t="shared" si="3"/>
        <v>0.45800000000000002</v>
      </c>
      <c r="F90" s="595">
        <f t="shared" si="4"/>
        <v>0.64100000000000001</v>
      </c>
      <c r="G90" s="608">
        <f t="shared" si="5"/>
        <v>0.70099999999999996</v>
      </c>
      <c r="H90" s="611"/>
      <c r="I90" s="612"/>
      <c r="J90" s="612"/>
      <c r="K90" s="611"/>
      <c r="L90" s="611"/>
      <c r="M90" s="611"/>
      <c r="N90" s="611"/>
      <c r="O90" s="611"/>
      <c r="P90" s="611"/>
      <c r="Q90" s="612"/>
      <c r="R90" s="612"/>
      <c r="S90" s="611"/>
      <c r="T90" s="611"/>
    </row>
    <row r="91" spans="1:20" ht="14.25">
      <c r="A91" s="603">
        <v>8.9</v>
      </c>
      <c r="B91" s="604">
        <v>0.56000000000000005</v>
      </c>
      <c r="C91" s="605">
        <v>0.76</v>
      </c>
      <c r="D91" s="606">
        <v>0.82299999999999995</v>
      </c>
      <c r="E91" s="607">
        <f t="shared" si="3"/>
        <v>0.45500000000000002</v>
      </c>
      <c r="F91" s="595">
        <f t="shared" si="4"/>
        <v>0.63900000000000001</v>
      </c>
      <c r="G91" s="608">
        <f t="shared" si="5"/>
        <v>0.69899999999999995</v>
      </c>
      <c r="H91" s="611"/>
      <c r="I91" s="612"/>
      <c r="J91" s="612"/>
      <c r="K91" s="611"/>
      <c r="L91" s="611"/>
      <c r="M91" s="611"/>
      <c r="N91" s="611"/>
      <c r="O91" s="611"/>
      <c r="P91" s="611"/>
      <c r="Q91" s="612"/>
      <c r="R91" s="612"/>
      <c r="S91" s="611"/>
      <c r="T91" s="611"/>
    </row>
    <row r="92" spans="1:20" ht="14.25">
      <c r="A92" s="603">
        <v>9</v>
      </c>
      <c r="B92" s="604">
        <v>0.55600000000000005</v>
      </c>
      <c r="C92" s="605">
        <v>0.75700000000000001</v>
      </c>
      <c r="D92" s="606">
        <v>0.82099999999999995</v>
      </c>
      <c r="E92" s="607">
        <f t="shared" si="3"/>
        <v>0.45100000000000001</v>
      </c>
      <c r="F92" s="595">
        <f t="shared" si="4"/>
        <v>0.63700000000000001</v>
      </c>
      <c r="G92" s="608">
        <f t="shared" si="5"/>
        <v>0.69799999999999995</v>
      </c>
      <c r="H92" s="611"/>
      <c r="I92" s="612"/>
      <c r="J92" s="612"/>
      <c r="K92" s="611"/>
      <c r="L92" s="611"/>
      <c r="M92" s="611"/>
      <c r="N92" s="611"/>
      <c r="O92" s="611"/>
      <c r="P92" s="611"/>
      <c r="Q92" s="612"/>
      <c r="R92" s="612"/>
      <c r="S92" s="611"/>
      <c r="T92" s="611"/>
    </row>
    <row r="93" spans="1:20" ht="14.25">
      <c r="A93" s="603">
        <v>9.1</v>
      </c>
      <c r="B93" s="604">
        <v>0.55300000000000005</v>
      </c>
      <c r="C93" s="605">
        <v>0.754</v>
      </c>
      <c r="D93" s="606">
        <v>0.81899999999999995</v>
      </c>
      <c r="E93" s="607">
        <f t="shared" si="3"/>
        <v>0.44900000000000001</v>
      </c>
      <c r="F93" s="595">
        <f t="shared" si="4"/>
        <v>0.63400000000000001</v>
      </c>
      <c r="G93" s="608">
        <f t="shared" si="5"/>
        <v>0.69599999999999995</v>
      </c>
      <c r="H93" s="611"/>
      <c r="I93" s="612"/>
      <c r="J93" s="612"/>
      <c r="K93" s="611"/>
      <c r="L93" s="611"/>
      <c r="M93" s="611"/>
      <c r="N93" s="611"/>
      <c r="O93" s="611"/>
      <c r="P93" s="611"/>
      <c r="Q93" s="612"/>
      <c r="R93" s="612"/>
      <c r="S93" s="611"/>
      <c r="T93" s="611"/>
    </row>
    <row r="94" spans="1:20" ht="14.25">
      <c r="A94" s="603">
        <v>9.1999999999999993</v>
      </c>
      <c r="B94" s="604">
        <v>0.54900000000000004</v>
      </c>
      <c r="C94" s="605">
        <v>0.751</v>
      </c>
      <c r="D94" s="606">
        <v>0.81699999999999995</v>
      </c>
      <c r="E94" s="607">
        <f t="shared" si="3"/>
        <v>0.44600000000000001</v>
      </c>
      <c r="F94" s="595">
        <f t="shared" si="4"/>
        <v>0.63200000000000001</v>
      </c>
      <c r="G94" s="608">
        <f t="shared" si="5"/>
        <v>0.69399999999999995</v>
      </c>
      <c r="H94" s="611"/>
      <c r="I94" s="612"/>
      <c r="J94" s="612"/>
      <c r="K94" s="611"/>
      <c r="L94" s="611"/>
      <c r="M94" s="611"/>
      <c r="N94" s="611"/>
      <c r="O94" s="611"/>
      <c r="P94" s="611"/>
      <c r="Q94" s="612"/>
      <c r="R94" s="612"/>
      <c r="S94" s="611"/>
      <c r="T94" s="611"/>
    </row>
    <row r="95" spans="1:20" ht="14.25">
      <c r="A95" s="603">
        <v>9.3000000000000007</v>
      </c>
      <c r="B95" s="604">
        <v>0.54500000000000004</v>
      </c>
      <c r="C95" s="605">
        <v>0.748</v>
      </c>
      <c r="D95" s="606">
        <v>0.81399999999999995</v>
      </c>
      <c r="E95" s="607">
        <f t="shared" si="3"/>
        <v>0.442</v>
      </c>
      <c r="F95" s="595">
        <f t="shared" si="4"/>
        <v>0.629</v>
      </c>
      <c r="G95" s="608">
        <f t="shared" si="5"/>
        <v>0.69199999999999995</v>
      </c>
      <c r="H95" s="611"/>
      <c r="I95" s="612"/>
      <c r="J95" s="612"/>
      <c r="K95" s="611"/>
      <c r="L95" s="611"/>
      <c r="M95" s="611"/>
      <c r="N95" s="611"/>
      <c r="O95" s="611"/>
      <c r="P95" s="611"/>
      <c r="Q95" s="612"/>
      <c r="R95" s="612"/>
      <c r="S95" s="611"/>
      <c r="T95" s="611"/>
    </row>
    <row r="96" spans="1:20" ht="14.25">
      <c r="A96" s="603">
        <v>9.4</v>
      </c>
      <c r="B96" s="604">
        <v>0.54100000000000004</v>
      </c>
      <c r="C96" s="605">
        <v>0.746</v>
      </c>
      <c r="D96" s="606">
        <v>0.81200000000000006</v>
      </c>
      <c r="E96" s="607">
        <f t="shared" si="3"/>
        <v>0.439</v>
      </c>
      <c r="F96" s="595">
        <f t="shared" si="4"/>
        <v>0.627</v>
      </c>
      <c r="G96" s="608">
        <f t="shared" si="5"/>
        <v>0.69</v>
      </c>
      <c r="H96" s="611"/>
      <c r="I96" s="612"/>
      <c r="J96" s="612"/>
      <c r="K96" s="611"/>
      <c r="L96" s="611"/>
      <c r="M96" s="611"/>
      <c r="N96" s="611"/>
      <c r="O96" s="611"/>
      <c r="P96" s="611"/>
      <c r="Q96" s="612"/>
      <c r="R96" s="612"/>
      <c r="S96" s="611"/>
      <c r="T96" s="611"/>
    </row>
    <row r="97" spans="1:20" ht="14.25">
      <c r="A97" s="603">
        <v>9.5</v>
      </c>
      <c r="B97" s="604">
        <v>0.53800000000000003</v>
      </c>
      <c r="C97" s="605">
        <v>0.74299999999999999</v>
      </c>
      <c r="D97" s="606">
        <v>0.81</v>
      </c>
      <c r="E97" s="607">
        <f t="shared" si="3"/>
        <v>0.437</v>
      </c>
      <c r="F97" s="595">
        <f t="shared" si="4"/>
        <v>0.625</v>
      </c>
      <c r="G97" s="608">
        <f t="shared" si="5"/>
        <v>0.68799999999999994</v>
      </c>
      <c r="H97" s="611"/>
      <c r="I97" s="612"/>
      <c r="J97" s="612"/>
      <c r="K97" s="611"/>
      <c r="L97" s="611"/>
      <c r="M97" s="611"/>
      <c r="N97" s="611"/>
      <c r="O97" s="611"/>
      <c r="P97" s="611"/>
      <c r="Q97" s="612"/>
      <c r="R97" s="612"/>
      <c r="S97" s="611"/>
      <c r="T97" s="611"/>
    </row>
    <row r="98" spans="1:20" ht="14.25">
      <c r="A98" s="603">
        <v>9.6</v>
      </c>
      <c r="B98" s="604">
        <v>0.53400000000000003</v>
      </c>
      <c r="C98" s="605">
        <v>0.74</v>
      </c>
      <c r="D98" s="606">
        <v>0.80800000000000005</v>
      </c>
      <c r="E98" s="607">
        <f t="shared" si="3"/>
        <v>0.433</v>
      </c>
      <c r="F98" s="595">
        <f t="shared" si="4"/>
        <v>0.622</v>
      </c>
      <c r="G98" s="608">
        <f t="shared" si="5"/>
        <v>0.68600000000000005</v>
      </c>
      <c r="H98" s="611"/>
      <c r="I98" s="612"/>
      <c r="J98" s="612"/>
      <c r="K98" s="611"/>
      <c r="L98" s="611"/>
      <c r="M98" s="611"/>
      <c r="N98" s="611"/>
      <c r="O98" s="611"/>
      <c r="P98" s="611"/>
      <c r="Q98" s="612"/>
      <c r="R98" s="612"/>
      <c r="S98" s="611"/>
      <c r="T98" s="611"/>
    </row>
    <row r="99" spans="1:20" ht="14.25">
      <c r="A99" s="603">
        <v>9.6999999999999993</v>
      </c>
      <c r="B99" s="604">
        <v>0.53</v>
      </c>
      <c r="C99" s="605">
        <v>0.73699999999999999</v>
      </c>
      <c r="D99" s="606">
        <v>0.80600000000000005</v>
      </c>
      <c r="E99" s="607">
        <f t="shared" si="3"/>
        <v>0.43</v>
      </c>
      <c r="F99" s="595">
        <f t="shared" si="4"/>
        <v>0.62</v>
      </c>
      <c r="G99" s="608">
        <f t="shared" si="5"/>
        <v>0.68500000000000005</v>
      </c>
      <c r="H99" s="611"/>
      <c r="I99" s="612"/>
      <c r="J99" s="612"/>
      <c r="K99" s="611"/>
      <c r="L99" s="611"/>
      <c r="M99" s="611"/>
      <c r="N99" s="611"/>
      <c r="O99" s="611"/>
      <c r="P99" s="611"/>
      <c r="Q99" s="612"/>
      <c r="R99" s="612"/>
      <c r="S99" s="611"/>
      <c r="T99" s="611"/>
    </row>
    <row r="100" spans="1:20" ht="14.25">
      <c r="A100" s="603">
        <v>9.8000000000000007</v>
      </c>
      <c r="B100" s="604">
        <v>0.52600000000000002</v>
      </c>
      <c r="C100" s="605">
        <v>0.73499999999999999</v>
      </c>
      <c r="D100" s="606">
        <v>0.80300000000000005</v>
      </c>
      <c r="E100" s="607">
        <f t="shared" si="3"/>
        <v>0.42699999999999999</v>
      </c>
      <c r="F100" s="595">
        <f t="shared" si="4"/>
        <v>0.61799999999999999</v>
      </c>
      <c r="G100" s="608">
        <f t="shared" si="5"/>
        <v>0.68200000000000005</v>
      </c>
      <c r="H100" s="611"/>
      <c r="I100" s="612"/>
      <c r="J100" s="612"/>
      <c r="K100" s="611"/>
      <c r="L100" s="611"/>
      <c r="M100" s="611"/>
      <c r="N100" s="611"/>
      <c r="O100" s="611"/>
      <c r="P100" s="611"/>
      <c r="Q100" s="612"/>
      <c r="R100" s="612"/>
      <c r="S100" s="611"/>
      <c r="T100" s="611"/>
    </row>
    <row r="101" spans="1:20" ht="14.25">
      <c r="A101" s="603">
        <v>9.9</v>
      </c>
      <c r="B101" s="604">
        <v>0.52300000000000002</v>
      </c>
      <c r="C101" s="605">
        <v>0.73199999999999998</v>
      </c>
      <c r="D101" s="606">
        <v>0.80100000000000005</v>
      </c>
      <c r="E101" s="607">
        <f t="shared" si="3"/>
        <v>0.42499999999999999</v>
      </c>
      <c r="F101" s="595">
        <f t="shared" si="4"/>
        <v>0.61599999999999999</v>
      </c>
      <c r="G101" s="608">
        <f t="shared" si="5"/>
        <v>0.68100000000000005</v>
      </c>
      <c r="H101" s="611"/>
      <c r="I101" s="612"/>
      <c r="J101" s="612"/>
      <c r="K101" s="611"/>
      <c r="L101" s="611"/>
      <c r="M101" s="611"/>
      <c r="N101" s="611"/>
      <c r="O101" s="611"/>
      <c r="P101" s="611"/>
      <c r="Q101" s="612"/>
      <c r="R101" s="612"/>
      <c r="S101" s="611"/>
      <c r="T101" s="611"/>
    </row>
    <row r="102" spans="1:20" ht="15" thickBot="1">
      <c r="A102" s="613">
        <v>10</v>
      </c>
      <c r="B102" s="614">
        <v>0.51900000000000002</v>
      </c>
      <c r="C102" s="615">
        <v>0.72899999999999998</v>
      </c>
      <c r="D102" s="616">
        <v>0.79900000000000004</v>
      </c>
      <c r="E102" s="617">
        <f t="shared" si="3"/>
        <v>0.42099999999999999</v>
      </c>
      <c r="F102" s="618">
        <f t="shared" si="4"/>
        <v>0.61299999999999999</v>
      </c>
      <c r="G102" s="619">
        <f t="shared" si="5"/>
        <v>0.67900000000000005</v>
      </c>
      <c r="H102" s="611"/>
      <c r="I102" s="612"/>
      <c r="J102" s="612"/>
      <c r="K102" s="611"/>
      <c r="L102" s="611"/>
      <c r="M102" s="611"/>
      <c r="N102" s="611"/>
      <c r="O102" s="611"/>
      <c r="P102" s="611"/>
      <c r="Q102" s="612"/>
      <c r="R102" s="612"/>
      <c r="S102" s="611"/>
      <c r="T102" s="611"/>
    </row>
  </sheetData>
  <mergeCells count="3">
    <mergeCell ref="E1:G1"/>
    <mergeCell ref="A1:A2"/>
    <mergeCell ref="B1:D1"/>
  </mergeCells>
  <phoneticPr fontId="109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27" customWidth="1"/>
    <col min="2" max="16384" width="9" style="527"/>
  </cols>
  <sheetData>
    <row r="1" spans="1:21">
      <c r="A1" s="565" t="s">
        <v>1330</v>
      </c>
      <c r="B1" s="551" t="s">
        <v>346</v>
      </c>
      <c r="C1" s="555" t="s">
        <v>346</v>
      </c>
      <c r="D1" s="551" t="s">
        <v>406</v>
      </c>
      <c r="E1" s="552" t="s">
        <v>406</v>
      </c>
      <c r="F1" s="557" t="s">
        <v>584</v>
      </c>
      <c r="G1" s="555" t="s">
        <v>584</v>
      </c>
      <c r="H1" s="551" t="s">
        <v>254</v>
      </c>
      <c r="I1" s="552" t="s">
        <v>254</v>
      </c>
      <c r="J1" s="557" t="s">
        <v>666</v>
      </c>
      <c r="K1" s="555" t="s">
        <v>666</v>
      </c>
      <c r="L1" s="551" t="s">
        <v>34</v>
      </c>
      <c r="M1" s="552" t="s">
        <v>34</v>
      </c>
      <c r="N1" s="557" t="s">
        <v>669</v>
      </c>
      <c r="O1" s="555" t="s">
        <v>669</v>
      </c>
      <c r="P1" s="551" t="s">
        <v>671</v>
      </c>
      <c r="Q1" s="552" t="s">
        <v>671</v>
      </c>
      <c r="R1" s="557" t="s">
        <v>673</v>
      </c>
      <c r="S1" s="555" t="s">
        <v>673</v>
      </c>
      <c r="T1" s="551" t="s">
        <v>677</v>
      </c>
      <c r="U1" s="552" t="s">
        <v>677</v>
      </c>
    </row>
    <row r="2" spans="1:21" ht="12.75" thickBot="1">
      <c r="A2" s="566"/>
      <c r="B2" s="553" t="s">
        <v>1335</v>
      </c>
      <c r="C2" s="556" t="s">
        <v>1336</v>
      </c>
      <c r="D2" s="553" t="s">
        <v>1335</v>
      </c>
      <c r="E2" s="554" t="s">
        <v>1336</v>
      </c>
      <c r="F2" s="558" t="s">
        <v>1335</v>
      </c>
      <c r="G2" s="556" t="s">
        <v>1336</v>
      </c>
      <c r="H2" s="553" t="s">
        <v>1335</v>
      </c>
      <c r="I2" s="554" t="s">
        <v>1336</v>
      </c>
      <c r="J2" s="558" t="s">
        <v>1335</v>
      </c>
      <c r="K2" s="556" t="s">
        <v>1336</v>
      </c>
      <c r="L2" s="553" t="s">
        <v>1335</v>
      </c>
      <c r="M2" s="554" t="s">
        <v>1336</v>
      </c>
      <c r="N2" s="558" t="s">
        <v>1335</v>
      </c>
      <c r="O2" s="556" t="s">
        <v>1336</v>
      </c>
      <c r="P2" s="553" t="s">
        <v>1335</v>
      </c>
      <c r="Q2" s="554" t="s">
        <v>1336</v>
      </c>
      <c r="R2" s="558" t="s">
        <v>1335</v>
      </c>
      <c r="S2" s="556" t="s">
        <v>1336</v>
      </c>
      <c r="T2" s="553" t="s">
        <v>1331</v>
      </c>
      <c r="U2" s="554" t="s">
        <v>1332</v>
      </c>
    </row>
    <row r="3" spans="1:21">
      <c r="A3" s="530" t="s">
        <v>898</v>
      </c>
      <c r="B3" s="567">
        <f>0-C3</f>
        <v>-4.4999999999999998E-2</v>
      </c>
      <c r="C3" s="568">
        <v>4.4999999999999998E-2</v>
      </c>
      <c r="D3" s="569">
        <f>0-E3</f>
        <v>-4.4999999999999998E-2</v>
      </c>
      <c r="E3" s="570">
        <v>4.4999999999999998E-2</v>
      </c>
      <c r="F3" s="567">
        <f>0-G3</f>
        <v>-4.4999999999999998E-2</v>
      </c>
      <c r="G3" s="568">
        <v>4.4999999999999998E-2</v>
      </c>
      <c r="H3" s="569">
        <f>0-I3</f>
        <v>-4.4999999999999998E-2</v>
      </c>
      <c r="I3" s="570">
        <v>4.4999999999999998E-2</v>
      </c>
      <c r="J3" s="567">
        <f>0-K3</f>
        <v>-0.06</v>
      </c>
      <c r="K3" s="568">
        <v>0.06</v>
      </c>
      <c r="L3" s="562">
        <v>-0.06</v>
      </c>
      <c r="M3" s="570">
        <v>5.3999999999999999E-2</v>
      </c>
      <c r="N3" s="567">
        <f>0-O3</f>
        <v>-7.4999999999999997E-2</v>
      </c>
      <c r="O3" s="568">
        <v>7.4999999999999997E-2</v>
      </c>
      <c r="P3" s="562">
        <v>-0.114</v>
      </c>
      <c r="Q3" s="570">
        <v>0.111</v>
      </c>
      <c r="R3" s="559">
        <v>-0.114</v>
      </c>
      <c r="S3" s="568">
        <v>0.105</v>
      </c>
      <c r="T3" s="569">
        <f>0-U3</f>
        <v>-0.09</v>
      </c>
      <c r="U3" s="539">
        <v>0.09</v>
      </c>
    </row>
    <row r="4" spans="1:21">
      <c r="A4" s="531" t="s">
        <v>12</v>
      </c>
      <c r="B4" s="571">
        <f t="shared" ref="B4:B9" si="0">0-C4</f>
        <v>-2.2499999999999999E-2</v>
      </c>
      <c r="C4" s="572">
        <v>2.2499999999999999E-2</v>
      </c>
      <c r="D4" s="573">
        <f t="shared" ref="D4:D9" si="1">0-E4</f>
        <v>-2.2499999999999999E-2</v>
      </c>
      <c r="E4" s="574">
        <v>2.2499999999999999E-2</v>
      </c>
      <c r="F4" s="571">
        <f t="shared" ref="F4:F9" si="2">0-G4</f>
        <v>-2.2499999999999999E-2</v>
      </c>
      <c r="G4" s="572">
        <v>2.2499999999999999E-2</v>
      </c>
      <c r="H4" s="573">
        <f t="shared" ref="H4:H9" si="3">0-I4</f>
        <v>-2.2499999999999999E-2</v>
      </c>
      <c r="I4" s="574">
        <v>2.2499999999999999E-2</v>
      </c>
      <c r="J4" s="571">
        <f t="shared" ref="J4:J9" si="4">0-K4</f>
        <v>-0.03</v>
      </c>
      <c r="K4" s="572">
        <v>0.03</v>
      </c>
      <c r="L4" s="563">
        <v>-0.03</v>
      </c>
      <c r="M4" s="574">
        <v>2.7E-2</v>
      </c>
      <c r="N4" s="571">
        <f>0-O4</f>
        <v>-3.7499999999999999E-2</v>
      </c>
      <c r="O4" s="572">
        <v>3.7499999999999999E-2</v>
      </c>
      <c r="P4" s="563">
        <v>-5.7000000000000002E-2</v>
      </c>
      <c r="Q4" s="574">
        <v>5.5500000000000001E-2</v>
      </c>
      <c r="R4" s="560">
        <v>-5.7000000000000002E-2</v>
      </c>
      <c r="S4" s="572">
        <v>5.2499999999999998E-2</v>
      </c>
      <c r="T4" s="573">
        <f t="shared" ref="T4:T9" si="5">0-U4</f>
        <v>-4.4999999999999998E-2</v>
      </c>
      <c r="U4" s="541">
        <v>4.4999999999999998E-2</v>
      </c>
    </row>
    <row r="5" spans="1:21">
      <c r="A5" s="531" t="s">
        <v>16</v>
      </c>
      <c r="B5" s="571">
        <f t="shared" si="0"/>
        <v>-1.4999999999999999E-2</v>
      </c>
      <c r="C5" s="572">
        <v>1.4999999999999999E-2</v>
      </c>
      <c r="D5" s="573">
        <f t="shared" si="1"/>
        <v>-1.4999999999999999E-2</v>
      </c>
      <c r="E5" s="574">
        <v>1.4999999999999999E-2</v>
      </c>
      <c r="F5" s="571">
        <f t="shared" si="2"/>
        <v>-1.4999999999999999E-2</v>
      </c>
      <c r="G5" s="572">
        <v>1.4999999999999999E-2</v>
      </c>
      <c r="H5" s="573">
        <f t="shared" si="3"/>
        <v>-1.4999999999999999E-2</v>
      </c>
      <c r="I5" s="574">
        <v>1.4999999999999999E-2</v>
      </c>
      <c r="J5" s="571">
        <f t="shared" si="4"/>
        <v>-0.02</v>
      </c>
      <c r="K5" s="572">
        <v>0.02</v>
      </c>
      <c r="L5" s="563">
        <v>-0.02</v>
      </c>
      <c r="M5" s="574">
        <v>1.7999999999999999E-2</v>
      </c>
      <c r="N5" s="571">
        <f t="shared" ref="N5:N7" si="6">0-O5</f>
        <v>-2.5000000000000001E-2</v>
      </c>
      <c r="O5" s="572">
        <v>2.5000000000000001E-2</v>
      </c>
      <c r="P5" s="563">
        <v>-3.7999999999999999E-2</v>
      </c>
      <c r="Q5" s="574">
        <v>3.6999999999999998E-2</v>
      </c>
      <c r="R5" s="560">
        <v>-3.7999999999999999E-2</v>
      </c>
      <c r="S5" s="572">
        <v>3.5000000000000003E-2</v>
      </c>
      <c r="T5" s="573">
        <f t="shared" si="5"/>
        <v>-0.03</v>
      </c>
      <c r="U5" s="541">
        <v>0.03</v>
      </c>
    </row>
    <row r="6" spans="1:21">
      <c r="A6" s="531" t="s">
        <v>901</v>
      </c>
      <c r="B6" s="571">
        <f t="shared" si="0"/>
        <v>-0.03</v>
      </c>
      <c r="C6" s="572">
        <v>0.03</v>
      </c>
      <c r="D6" s="573">
        <f t="shared" si="1"/>
        <v>-0.03</v>
      </c>
      <c r="E6" s="574">
        <v>0.03</v>
      </c>
      <c r="F6" s="571">
        <f t="shared" si="2"/>
        <v>-0.03</v>
      </c>
      <c r="G6" s="572">
        <v>0.03</v>
      </c>
      <c r="H6" s="573">
        <f t="shared" si="3"/>
        <v>-0.03</v>
      </c>
      <c r="I6" s="574">
        <v>0.03</v>
      </c>
      <c r="J6" s="571">
        <f t="shared" si="4"/>
        <v>-0.04</v>
      </c>
      <c r="K6" s="572">
        <v>0.04</v>
      </c>
      <c r="L6" s="563">
        <v>-0.04</v>
      </c>
      <c r="M6" s="574">
        <v>3.5999999999999997E-2</v>
      </c>
      <c r="N6" s="571">
        <f t="shared" si="6"/>
        <v>-0.05</v>
      </c>
      <c r="O6" s="572">
        <v>0.05</v>
      </c>
      <c r="P6" s="563">
        <v>-7.5999999999999998E-2</v>
      </c>
      <c r="Q6" s="574">
        <v>7.3999999999999996E-2</v>
      </c>
      <c r="R6" s="560">
        <v>-7.5999999999999998E-2</v>
      </c>
      <c r="S6" s="572">
        <v>7.0000000000000007E-2</v>
      </c>
      <c r="T6" s="573">
        <f t="shared" si="5"/>
        <v>-0.06</v>
      </c>
      <c r="U6" s="541">
        <v>0.06</v>
      </c>
    </row>
    <row r="7" spans="1:21">
      <c r="A7" s="531" t="s">
        <v>902</v>
      </c>
      <c r="B7" s="571">
        <f t="shared" si="0"/>
        <v>-1.4999999999999999E-2</v>
      </c>
      <c r="C7" s="572">
        <v>1.4999999999999999E-2</v>
      </c>
      <c r="D7" s="573">
        <f t="shared" si="1"/>
        <v>-1.4999999999999999E-2</v>
      </c>
      <c r="E7" s="574">
        <v>1.4999999999999999E-2</v>
      </c>
      <c r="F7" s="571">
        <f t="shared" si="2"/>
        <v>-1.4999999999999999E-2</v>
      </c>
      <c r="G7" s="572">
        <v>1.4999999999999999E-2</v>
      </c>
      <c r="H7" s="573">
        <f t="shared" si="3"/>
        <v>-1.4999999999999999E-2</v>
      </c>
      <c r="I7" s="574">
        <v>1.4999999999999999E-2</v>
      </c>
      <c r="J7" s="571">
        <f t="shared" si="4"/>
        <v>-0.02</v>
      </c>
      <c r="K7" s="572">
        <v>0.02</v>
      </c>
      <c r="L7" s="563">
        <v>-0.02</v>
      </c>
      <c r="M7" s="574">
        <v>1.7999999999999999E-2</v>
      </c>
      <c r="N7" s="571">
        <f t="shared" si="6"/>
        <v>-2.5000000000000001E-2</v>
      </c>
      <c r="O7" s="572">
        <v>2.5000000000000001E-2</v>
      </c>
      <c r="P7" s="563">
        <v>-3.7999999999999999E-2</v>
      </c>
      <c r="Q7" s="574">
        <v>3.6999999999999998E-2</v>
      </c>
      <c r="R7" s="560">
        <v>-3.7999999999999999E-2</v>
      </c>
      <c r="S7" s="572">
        <v>3.5000000000000003E-2</v>
      </c>
      <c r="T7" s="573">
        <f t="shared" si="5"/>
        <v>-0.03</v>
      </c>
      <c r="U7" s="541">
        <v>0.03</v>
      </c>
    </row>
    <row r="8" spans="1:21">
      <c r="A8" s="531" t="s">
        <v>903</v>
      </c>
      <c r="B8" s="571">
        <f t="shared" si="0"/>
        <v>-1.2E-2</v>
      </c>
      <c r="C8" s="572">
        <v>1.2E-2</v>
      </c>
      <c r="D8" s="573">
        <f t="shared" si="1"/>
        <v>-1.2E-2</v>
      </c>
      <c r="E8" s="574">
        <v>1.2E-2</v>
      </c>
      <c r="F8" s="571">
        <f t="shared" si="2"/>
        <v>-1.2E-2</v>
      </c>
      <c r="G8" s="572">
        <v>1.2E-2</v>
      </c>
      <c r="H8" s="573">
        <f t="shared" si="3"/>
        <v>-1.2E-2</v>
      </c>
      <c r="I8" s="574">
        <v>1.2E-2</v>
      </c>
      <c r="J8" s="571">
        <f t="shared" si="4"/>
        <v>-1.6E-2</v>
      </c>
      <c r="K8" s="572">
        <v>1.6E-2</v>
      </c>
      <c r="L8" s="563">
        <v>-1.6E-2</v>
      </c>
      <c r="M8" s="574">
        <v>1.44E-2</v>
      </c>
      <c r="N8" s="571">
        <f>0-O8</f>
        <v>-0.02</v>
      </c>
      <c r="O8" s="572">
        <v>0.02</v>
      </c>
      <c r="P8" s="563">
        <v>-3.04E-2</v>
      </c>
      <c r="Q8" s="574">
        <v>2.9600000000000001E-2</v>
      </c>
      <c r="R8" s="560">
        <v>-3.04E-2</v>
      </c>
      <c r="S8" s="572">
        <v>2.8000000000000001E-2</v>
      </c>
      <c r="T8" s="573">
        <f t="shared" si="5"/>
        <v>-2.4E-2</v>
      </c>
      <c r="U8" s="541">
        <v>2.4E-2</v>
      </c>
    </row>
    <row r="9" spans="1:21" ht="12.75" thickBot="1">
      <c r="A9" s="532" t="s">
        <v>905</v>
      </c>
      <c r="B9" s="575">
        <f t="shared" si="0"/>
        <v>-1.0500000000000001E-2</v>
      </c>
      <c r="C9" s="576">
        <v>1.0500000000000001E-2</v>
      </c>
      <c r="D9" s="577">
        <f t="shared" si="1"/>
        <v>-1.0500000000000001E-2</v>
      </c>
      <c r="E9" s="578">
        <v>1.0500000000000001E-2</v>
      </c>
      <c r="F9" s="575">
        <f t="shared" si="2"/>
        <v>-1.0500000000000001E-2</v>
      </c>
      <c r="G9" s="576">
        <v>1.0500000000000001E-2</v>
      </c>
      <c r="H9" s="577">
        <f t="shared" si="3"/>
        <v>-1.0500000000000001E-2</v>
      </c>
      <c r="I9" s="578">
        <v>1.0500000000000001E-2</v>
      </c>
      <c r="J9" s="575">
        <f t="shared" si="4"/>
        <v>-1.4E-2</v>
      </c>
      <c r="K9" s="576">
        <v>1.4E-2</v>
      </c>
      <c r="L9" s="564">
        <v>-1.4E-2</v>
      </c>
      <c r="M9" s="578">
        <v>1.26E-2</v>
      </c>
      <c r="N9" s="575">
        <f>0-O9</f>
        <v>-1.7500000000000002E-2</v>
      </c>
      <c r="O9" s="576">
        <v>1.7500000000000002E-2</v>
      </c>
      <c r="P9" s="564">
        <v>-2.6599999999999999E-2</v>
      </c>
      <c r="Q9" s="578">
        <v>2.5899999999999999E-2</v>
      </c>
      <c r="R9" s="561">
        <v>-2.6599999999999999E-2</v>
      </c>
      <c r="S9" s="576">
        <v>2.4500000000000001E-2</v>
      </c>
      <c r="T9" s="577">
        <f t="shared" si="5"/>
        <v>-2.1000000000000001E-2</v>
      </c>
      <c r="U9" s="544">
        <v>2.1000000000000001E-2</v>
      </c>
    </row>
    <row r="10" spans="1:21">
      <c r="A10" s="530" t="s">
        <v>907</v>
      </c>
      <c r="B10" s="567">
        <f>0-C10</f>
        <v>-0.04</v>
      </c>
      <c r="C10" s="568">
        <v>0.04</v>
      </c>
      <c r="D10" s="569">
        <f>0-E10</f>
        <v>-0.03</v>
      </c>
      <c r="E10" s="570">
        <v>0.03</v>
      </c>
      <c r="F10" s="567">
        <f>0-G10</f>
        <v>-0.03</v>
      </c>
      <c r="G10" s="568">
        <v>0.03</v>
      </c>
      <c r="H10" s="569">
        <f>0-I10</f>
        <v>-0.04</v>
      </c>
      <c r="I10" s="570">
        <v>0.04</v>
      </c>
      <c r="J10" s="559">
        <v>-3.5999999999999997E-2</v>
      </c>
      <c r="K10" s="568">
        <v>3.4000000000000002E-2</v>
      </c>
      <c r="L10" s="562">
        <v>-4.8000000000000001E-2</v>
      </c>
      <c r="M10" s="570">
        <v>4.5999999999999999E-2</v>
      </c>
      <c r="N10" s="567">
        <f>0-O10</f>
        <v>-0.04</v>
      </c>
      <c r="O10" s="568">
        <v>0.04</v>
      </c>
      <c r="P10" s="562">
        <v>-7.1999999999999995E-2</v>
      </c>
      <c r="Q10" s="570">
        <v>6.8000000000000005E-2</v>
      </c>
      <c r="R10" s="559">
        <v>-0.08</v>
      </c>
      <c r="S10" s="568">
        <v>7.1999999999999995E-2</v>
      </c>
      <c r="T10" s="569">
        <f>0-U10</f>
        <v>-0.06</v>
      </c>
      <c r="U10" s="539">
        <v>0.06</v>
      </c>
    </row>
    <row r="11" spans="1:21">
      <c r="A11" s="531" t="s">
        <v>12</v>
      </c>
      <c r="B11" s="571">
        <f t="shared" ref="B11:B16" si="7">0-C11</f>
        <v>-0.05</v>
      </c>
      <c r="C11" s="572">
        <v>0.05</v>
      </c>
      <c r="D11" s="573">
        <f t="shared" ref="D11:F16" si="8">0-E11</f>
        <v>-3.7499999999999999E-2</v>
      </c>
      <c r="E11" s="574">
        <v>3.7499999999999999E-2</v>
      </c>
      <c r="F11" s="571">
        <f t="shared" si="8"/>
        <v>-3.7499999999999999E-2</v>
      </c>
      <c r="G11" s="572">
        <v>3.7499999999999999E-2</v>
      </c>
      <c r="H11" s="573">
        <f t="shared" ref="H11:H16" si="9">0-I11</f>
        <v>-0.05</v>
      </c>
      <c r="I11" s="574">
        <v>0.05</v>
      </c>
      <c r="J11" s="560">
        <v>-4.4999999999999998E-2</v>
      </c>
      <c r="K11" s="572">
        <v>4.2500000000000003E-2</v>
      </c>
      <c r="L11" s="563">
        <v>-0.06</v>
      </c>
      <c r="M11" s="574">
        <v>5.7500000000000002E-2</v>
      </c>
      <c r="N11" s="571">
        <f t="shared" ref="N11:N16" si="10">0-O11</f>
        <v>-0.05</v>
      </c>
      <c r="O11" s="572">
        <v>0.05</v>
      </c>
      <c r="P11" s="563">
        <v>-0.09</v>
      </c>
      <c r="Q11" s="574">
        <v>8.5000000000000006E-2</v>
      </c>
      <c r="R11" s="560">
        <v>-0.1</v>
      </c>
      <c r="S11" s="572">
        <v>0.09</v>
      </c>
      <c r="T11" s="573">
        <f t="shared" ref="T11:T16" si="11">0-U11</f>
        <v>-7.4999999999999997E-2</v>
      </c>
      <c r="U11" s="541">
        <v>7.4999999999999997E-2</v>
      </c>
    </row>
    <row r="12" spans="1:21">
      <c r="A12" s="531" t="s">
        <v>16</v>
      </c>
      <c r="B12" s="571">
        <f t="shared" si="7"/>
        <v>-0.02</v>
      </c>
      <c r="C12" s="572">
        <v>0.02</v>
      </c>
      <c r="D12" s="573">
        <f t="shared" si="8"/>
        <v>-1.4999999999999999E-2</v>
      </c>
      <c r="E12" s="574">
        <v>1.4999999999999999E-2</v>
      </c>
      <c r="F12" s="571">
        <f t="shared" si="8"/>
        <v>-1.4999999999999999E-2</v>
      </c>
      <c r="G12" s="572">
        <v>1.4999999999999999E-2</v>
      </c>
      <c r="H12" s="573">
        <f t="shared" si="9"/>
        <v>-0.02</v>
      </c>
      <c r="I12" s="574">
        <v>0.02</v>
      </c>
      <c r="J12" s="560">
        <v>-1.7999999999999999E-2</v>
      </c>
      <c r="K12" s="572">
        <v>1.7000000000000001E-2</v>
      </c>
      <c r="L12" s="563">
        <v>-2.4E-2</v>
      </c>
      <c r="M12" s="574">
        <v>2.3E-2</v>
      </c>
      <c r="N12" s="571">
        <f t="shared" si="10"/>
        <v>-0.02</v>
      </c>
      <c r="O12" s="572">
        <v>0.02</v>
      </c>
      <c r="P12" s="563">
        <v>-3.5999999999999997E-2</v>
      </c>
      <c r="Q12" s="574">
        <v>3.4000000000000002E-2</v>
      </c>
      <c r="R12" s="560">
        <v>-0.04</v>
      </c>
      <c r="S12" s="572">
        <v>3.5999999999999997E-2</v>
      </c>
      <c r="T12" s="573">
        <f t="shared" si="11"/>
        <v>-0.03</v>
      </c>
      <c r="U12" s="541">
        <v>0.03</v>
      </c>
    </row>
    <row r="13" spans="1:21">
      <c r="A13" s="531" t="s">
        <v>901</v>
      </c>
      <c r="B13" s="571">
        <f t="shared" si="7"/>
        <v>-0.02</v>
      </c>
      <c r="C13" s="572">
        <v>0.02</v>
      </c>
      <c r="D13" s="573">
        <f t="shared" si="8"/>
        <v>-1.4999999999999999E-2</v>
      </c>
      <c r="E13" s="574">
        <v>1.4999999999999999E-2</v>
      </c>
      <c r="F13" s="571">
        <f t="shared" si="8"/>
        <v>-1.4999999999999999E-2</v>
      </c>
      <c r="G13" s="572">
        <v>1.4999999999999999E-2</v>
      </c>
      <c r="H13" s="573">
        <f t="shared" si="9"/>
        <v>-0.02</v>
      </c>
      <c r="I13" s="574">
        <v>0.02</v>
      </c>
      <c r="J13" s="560">
        <v>-1.7999999999999999E-2</v>
      </c>
      <c r="K13" s="572">
        <v>1.7000000000000001E-2</v>
      </c>
      <c r="L13" s="563">
        <v>-2.4E-2</v>
      </c>
      <c r="M13" s="574">
        <v>2.3E-2</v>
      </c>
      <c r="N13" s="571">
        <f t="shared" si="10"/>
        <v>-0.02</v>
      </c>
      <c r="O13" s="572">
        <v>0.02</v>
      </c>
      <c r="P13" s="563">
        <v>-3.5999999999999997E-2</v>
      </c>
      <c r="Q13" s="574">
        <v>3.4000000000000002E-2</v>
      </c>
      <c r="R13" s="560">
        <v>-0.04</v>
      </c>
      <c r="S13" s="572">
        <v>3.5999999999999997E-2</v>
      </c>
      <c r="T13" s="573">
        <f t="shared" si="11"/>
        <v>-0.03</v>
      </c>
      <c r="U13" s="541">
        <v>0.03</v>
      </c>
    </row>
    <row r="14" spans="1:21">
      <c r="A14" s="531" t="s">
        <v>902</v>
      </c>
      <c r="B14" s="571">
        <f t="shared" si="7"/>
        <v>-0.03</v>
      </c>
      <c r="C14" s="572">
        <v>0.03</v>
      </c>
      <c r="D14" s="573">
        <f t="shared" si="8"/>
        <v>-2.2499999999999999E-2</v>
      </c>
      <c r="E14" s="574">
        <v>2.2499999999999999E-2</v>
      </c>
      <c r="F14" s="571">
        <f t="shared" si="8"/>
        <v>-2.2499999999999999E-2</v>
      </c>
      <c r="G14" s="572">
        <v>2.2499999999999999E-2</v>
      </c>
      <c r="H14" s="573">
        <f t="shared" si="9"/>
        <v>-0.03</v>
      </c>
      <c r="I14" s="574">
        <v>0.03</v>
      </c>
      <c r="J14" s="560">
        <v>-2.7E-2</v>
      </c>
      <c r="K14" s="572">
        <v>2.5499999999999998E-2</v>
      </c>
      <c r="L14" s="563">
        <v>-3.5999999999999997E-2</v>
      </c>
      <c r="M14" s="574">
        <v>3.4500000000000003E-2</v>
      </c>
      <c r="N14" s="571">
        <f t="shared" si="10"/>
        <v>-0.03</v>
      </c>
      <c r="O14" s="572">
        <v>0.03</v>
      </c>
      <c r="P14" s="563">
        <v>-5.3999999999999999E-2</v>
      </c>
      <c r="Q14" s="574">
        <v>5.0999999999999997E-2</v>
      </c>
      <c r="R14" s="560">
        <v>-0.06</v>
      </c>
      <c r="S14" s="572">
        <v>5.3999999999999999E-2</v>
      </c>
      <c r="T14" s="573">
        <f t="shared" si="11"/>
        <v>-4.4999999999999998E-2</v>
      </c>
      <c r="U14" s="541">
        <v>4.4999999999999998E-2</v>
      </c>
    </row>
    <row r="15" spans="1:21">
      <c r="A15" s="531" t="s">
        <v>903</v>
      </c>
      <c r="B15" s="571">
        <f t="shared" si="7"/>
        <v>-1.6E-2</v>
      </c>
      <c r="C15" s="572">
        <v>1.6E-2</v>
      </c>
      <c r="D15" s="573">
        <f t="shared" si="8"/>
        <v>-1.2E-2</v>
      </c>
      <c r="E15" s="574">
        <v>1.2E-2</v>
      </c>
      <c r="F15" s="571">
        <f t="shared" si="8"/>
        <v>-1.2E-2</v>
      </c>
      <c r="G15" s="572">
        <v>1.2E-2</v>
      </c>
      <c r="H15" s="573">
        <f t="shared" si="9"/>
        <v>-1.6E-2</v>
      </c>
      <c r="I15" s="574">
        <v>1.6E-2</v>
      </c>
      <c r="J15" s="560">
        <v>-1.44E-2</v>
      </c>
      <c r="K15" s="572">
        <v>1.3599999999999999E-2</v>
      </c>
      <c r="L15" s="563">
        <v>-1.9199999999999998E-2</v>
      </c>
      <c r="M15" s="574">
        <v>1.84E-2</v>
      </c>
      <c r="N15" s="571">
        <f t="shared" si="10"/>
        <v>-1.6E-2</v>
      </c>
      <c r="O15" s="572">
        <v>1.6E-2</v>
      </c>
      <c r="P15" s="563">
        <v>-2.8799999999999999E-2</v>
      </c>
      <c r="Q15" s="574">
        <v>2.7199999999999998E-2</v>
      </c>
      <c r="R15" s="560">
        <v>-3.2000000000000001E-2</v>
      </c>
      <c r="S15" s="572">
        <v>2.8799999999999999E-2</v>
      </c>
      <c r="T15" s="573">
        <f t="shared" si="11"/>
        <v>-2.4E-2</v>
      </c>
      <c r="U15" s="541">
        <v>2.4E-2</v>
      </c>
    </row>
    <row r="16" spans="1:21" ht="12" customHeight="1" thickBot="1">
      <c r="A16" s="532" t="s">
        <v>1328</v>
      </c>
      <c r="B16" s="575">
        <f t="shared" si="7"/>
        <v>-2.4E-2</v>
      </c>
      <c r="C16" s="576">
        <v>2.4E-2</v>
      </c>
      <c r="D16" s="577">
        <f t="shared" si="8"/>
        <v>-1.7999999999999999E-2</v>
      </c>
      <c r="E16" s="578">
        <v>1.7999999999999999E-2</v>
      </c>
      <c r="F16" s="575">
        <f t="shared" si="8"/>
        <v>-1.7999999999999999E-2</v>
      </c>
      <c r="G16" s="576">
        <v>1.7999999999999999E-2</v>
      </c>
      <c r="H16" s="577">
        <f t="shared" si="9"/>
        <v>-2.4E-2</v>
      </c>
      <c r="I16" s="578">
        <v>2.4E-2</v>
      </c>
      <c r="J16" s="561">
        <v>-2.1600000000000001E-2</v>
      </c>
      <c r="K16" s="576">
        <v>2.0400000000000001E-2</v>
      </c>
      <c r="L16" s="564">
        <v>-2.8799999999999999E-2</v>
      </c>
      <c r="M16" s="578">
        <v>2.76E-2</v>
      </c>
      <c r="N16" s="575">
        <f t="shared" si="10"/>
        <v>-2.4E-2</v>
      </c>
      <c r="O16" s="576">
        <v>2.4E-2</v>
      </c>
      <c r="P16" s="564">
        <v>-4.3200000000000002E-2</v>
      </c>
      <c r="Q16" s="578">
        <v>4.0800000000000003E-2</v>
      </c>
      <c r="R16" s="561">
        <v>-4.8000000000000001E-2</v>
      </c>
      <c r="S16" s="576">
        <v>4.3200000000000002E-2</v>
      </c>
      <c r="T16" s="577">
        <f t="shared" si="11"/>
        <v>-3.5999999999999997E-2</v>
      </c>
      <c r="U16" s="544">
        <v>3.5999999999999997E-2</v>
      </c>
    </row>
    <row r="17" spans="1:21">
      <c r="A17" s="530" t="s">
        <v>17</v>
      </c>
      <c r="B17" s="567">
        <f>0-C17</f>
        <v>-0.02</v>
      </c>
      <c r="C17" s="568">
        <v>0.02</v>
      </c>
      <c r="D17" s="569">
        <f t="shared" ref="D17:D24" si="12">0-E17</f>
        <v>-2.1000000000000001E-2</v>
      </c>
      <c r="E17" s="570">
        <v>2.1000000000000001E-2</v>
      </c>
      <c r="F17" s="559">
        <v>-1.4999999999999999E-2</v>
      </c>
      <c r="G17" s="568">
        <v>2.5000000000000001E-2</v>
      </c>
      <c r="H17" s="562">
        <v>-1.7000000000000001E-2</v>
      </c>
      <c r="I17" s="570">
        <v>2.5999999999999999E-2</v>
      </c>
      <c r="J17" s="567">
        <f>0-K17</f>
        <v>-0.03</v>
      </c>
      <c r="K17" s="568">
        <v>0.03</v>
      </c>
      <c r="L17" s="569">
        <f t="shared" ref="L17:L24" si="13">0-M17</f>
        <v>-2.5999999999999999E-2</v>
      </c>
      <c r="M17" s="570">
        <v>2.5999999999999999E-2</v>
      </c>
      <c r="N17" s="559">
        <v>-2.7E-2</v>
      </c>
      <c r="O17" s="568">
        <v>2.5999999999999999E-2</v>
      </c>
      <c r="P17" s="569">
        <f t="shared" ref="P17:P24" si="14">0-Q17</f>
        <v>-3.3000000000000002E-2</v>
      </c>
      <c r="Q17" s="570">
        <v>3.3000000000000002E-2</v>
      </c>
      <c r="R17" s="559">
        <v>-3.5999999999999997E-2</v>
      </c>
      <c r="S17" s="568">
        <v>3.2000000000000001E-2</v>
      </c>
      <c r="T17" s="569">
        <f>0-U17</f>
        <v>-0.03</v>
      </c>
      <c r="U17" s="570">
        <v>0.03</v>
      </c>
    </row>
    <row r="18" spans="1:21">
      <c r="A18" s="531" t="s">
        <v>12</v>
      </c>
      <c r="B18" s="571">
        <f t="shared" ref="B18:B24" si="15">0-C18</f>
        <v>-0.04</v>
      </c>
      <c r="C18" s="572">
        <v>0.04</v>
      </c>
      <c r="D18" s="573">
        <f t="shared" si="12"/>
        <v>-4.2000000000000003E-2</v>
      </c>
      <c r="E18" s="574">
        <v>4.2000000000000003E-2</v>
      </c>
      <c r="F18" s="560">
        <v>-0.03</v>
      </c>
      <c r="G18" s="572">
        <v>0.05</v>
      </c>
      <c r="H18" s="563">
        <v>-3.4000000000000002E-2</v>
      </c>
      <c r="I18" s="574">
        <v>5.1999999999999998E-2</v>
      </c>
      <c r="J18" s="571">
        <f t="shared" ref="J18:J24" si="16">0-K18</f>
        <v>-0.06</v>
      </c>
      <c r="K18" s="572">
        <v>0.06</v>
      </c>
      <c r="L18" s="573">
        <f t="shared" si="13"/>
        <v>-5.1999999999999998E-2</v>
      </c>
      <c r="M18" s="574">
        <v>5.1999999999999998E-2</v>
      </c>
      <c r="N18" s="560">
        <v>-5.3999999999999999E-2</v>
      </c>
      <c r="O18" s="572">
        <v>5.1999999999999998E-2</v>
      </c>
      <c r="P18" s="573">
        <f t="shared" si="14"/>
        <v>-6.6000000000000003E-2</v>
      </c>
      <c r="Q18" s="574">
        <v>6.6000000000000003E-2</v>
      </c>
      <c r="R18" s="560">
        <v>-7.1999999999999995E-2</v>
      </c>
      <c r="S18" s="572">
        <v>6.4000000000000001E-2</v>
      </c>
      <c r="T18" s="573">
        <f t="shared" ref="T18:T24" si="17">0-U18</f>
        <v>-0.06</v>
      </c>
      <c r="U18" s="574">
        <v>0.06</v>
      </c>
    </row>
    <row r="19" spans="1:21">
      <c r="A19" s="531" t="s">
        <v>16</v>
      </c>
      <c r="B19" s="571">
        <f t="shared" si="15"/>
        <v>-0.02</v>
      </c>
      <c r="C19" s="572">
        <v>0.02</v>
      </c>
      <c r="D19" s="573">
        <f t="shared" si="12"/>
        <v>-2.1000000000000001E-2</v>
      </c>
      <c r="E19" s="574">
        <v>2.1000000000000001E-2</v>
      </c>
      <c r="F19" s="560">
        <v>-1.4999999999999999E-2</v>
      </c>
      <c r="G19" s="572">
        <v>2.5000000000000001E-2</v>
      </c>
      <c r="H19" s="563">
        <v>-1.7000000000000001E-2</v>
      </c>
      <c r="I19" s="574">
        <v>2.5999999999999999E-2</v>
      </c>
      <c r="J19" s="571">
        <f t="shared" si="16"/>
        <v>-0.03</v>
      </c>
      <c r="K19" s="572">
        <v>0.03</v>
      </c>
      <c r="L19" s="573">
        <f t="shared" si="13"/>
        <v>-2.5999999999999999E-2</v>
      </c>
      <c r="M19" s="574">
        <v>2.5999999999999999E-2</v>
      </c>
      <c r="N19" s="560">
        <v>-2.7E-2</v>
      </c>
      <c r="O19" s="572">
        <v>2.5999999999999999E-2</v>
      </c>
      <c r="P19" s="573">
        <f t="shared" si="14"/>
        <v>-3.3000000000000002E-2</v>
      </c>
      <c r="Q19" s="574">
        <v>3.3000000000000002E-2</v>
      </c>
      <c r="R19" s="560">
        <v>-3.5999999999999997E-2</v>
      </c>
      <c r="S19" s="572">
        <v>3.2000000000000001E-2</v>
      </c>
      <c r="T19" s="573">
        <f t="shared" si="17"/>
        <v>-0.03</v>
      </c>
      <c r="U19" s="574">
        <v>0.03</v>
      </c>
    </row>
    <row r="20" spans="1:21">
      <c r="A20" s="531" t="s">
        <v>909</v>
      </c>
      <c r="B20" s="571">
        <f t="shared" si="15"/>
        <v>-0.02</v>
      </c>
      <c r="C20" s="572">
        <v>0.02</v>
      </c>
      <c r="D20" s="573">
        <f t="shared" si="12"/>
        <v>-2.1000000000000001E-2</v>
      </c>
      <c r="E20" s="574">
        <v>2.1000000000000001E-2</v>
      </c>
      <c r="F20" s="560">
        <v>-1.4999999999999999E-2</v>
      </c>
      <c r="G20" s="572">
        <v>2.5000000000000001E-2</v>
      </c>
      <c r="H20" s="563">
        <v>-1.7000000000000001E-2</v>
      </c>
      <c r="I20" s="574">
        <v>2.5999999999999999E-2</v>
      </c>
      <c r="J20" s="571">
        <f t="shared" si="16"/>
        <v>-0.03</v>
      </c>
      <c r="K20" s="572">
        <v>0.03</v>
      </c>
      <c r="L20" s="573">
        <f t="shared" si="13"/>
        <v>-2.5999999999999999E-2</v>
      </c>
      <c r="M20" s="574">
        <v>2.5999999999999999E-2</v>
      </c>
      <c r="N20" s="560">
        <v>-2.7E-2</v>
      </c>
      <c r="O20" s="572">
        <v>2.5999999999999999E-2</v>
      </c>
      <c r="P20" s="573">
        <f t="shared" si="14"/>
        <v>-3.3000000000000002E-2</v>
      </c>
      <c r="Q20" s="574">
        <v>3.3000000000000002E-2</v>
      </c>
      <c r="R20" s="560">
        <v>-3.5999999999999997E-2</v>
      </c>
      <c r="S20" s="572">
        <v>3.2000000000000001E-2</v>
      </c>
      <c r="T20" s="573">
        <f t="shared" si="17"/>
        <v>-0.03</v>
      </c>
      <c r="U20" s="574">
        <v>0.03</v>
      </c>
    </row>
    <row r="21" spans="1:21">
      <c r="A21" s="531" t="s">
        <v>903</v>
      </c>
      <c r="B21" s="571">
        <f t="shared" si="15"/>
        <v>-1.6E-2</v>
      </c>
      <c r="C21" s="572">
        <v>1.6E-2</v>
      </c>
      <c r="D21" s="573">
        <f t="shared" si="12"/>
        <v>-1.6799999999999999E-2</v>
      </c>
      <c r="E21" s="574">
        <v>1.6799999999999999E-2</v>
      </c>
      <c r="F21" s="560">
        <v>-1.2E-2</v>
      </c>
      <c r="G21" s="572">
        <v>0.02</v>
      </c>
      <c r="H21" s="563">
        <v>-1.3599999999999999E-2</v>
      </c>
      <c r="I21" s="574">
        <v>2.0799999999999999E-2</v>
      </c>
      <c r="J21" s="571">
        <f t="shared" si="16"/>
        <v>-2.4E-2</v>
      </c>
      <c r="K21" s="572">
        <v>2.4E-2</v>
      </c>
      <c r="L21" s="573">
        <f t="shared" si="13"/>
        <v>-2.0799999999999999E-2</v>
      </c>
      <c r="M21" s="574">
        <v>2.0799999999999999E-2</v>
      </c>
      <c r="N21" s="560">
        <v>-2.1600000000000001E-2</v>
      </c>
      <c r="O21" s="572">
        <v>2.0799999999999999E-2</v>
      </c>
      <c r="P21" s="573">
        <f t="shared" si="14"/>
        <v>-2.64E-2</v>
      </c>
      <c r="Q21" s="574">
        <v>2.64E-2</v>
      </c>
      <c r="R21" s="560">
        <v>-2.8799999999999999E-2</v>
      </c>
      <c r="S21" s="572">
        <v>2.5600000000000001E-2</v>
      </c>
      <c r="T21" s="573">
        <f t="shared" si="17"/>
        <v>-2.4E-2</v>
      </c>
      <c r="U21" s="574">
        <v>2.4E-2</v>
      </c>
    </row>
    <row r="22" spans="1:21" ht="12" customHeight="1">
      <c r="A22" s="531" t="s">
        <v>1328</v>
      </c>
      <c r="B22" s="571">
        <f t="shared" si="15"/>
        <v>-2.4E-2</v>
      </c>
      <c r="C22" s="572">
        <v>2.4E-2</v>
      </c>
      <c r="D22" s="573">
        <f t="shared" si="12"/>
        <v>-2.52E-2</v>
      </c>
      <c r="E22" s="574">
        <v>2.52E-2</v>
      </c>
      <c r="F22" s="560">
        <v>-1.7999999999999999E-2</v>
      </c>
      <c r="G22" s="572">
        <v>0.03</v>
      </c>
      <c r="H22" s="563">
        <v>-2.0400000000000001E-2</v>
      </c>
      <c r="I22" s="574">
        <v>3.1199999999999999E-2</v>
      </c>
      <c r="J22" s="571">
        <f t="shared" si="16"/>
        <v>-3.5999999999999997E-2</v>
      </c>
      <c r="K22" s="572">
        <v>3.5999999999999997E-2</v>
      </c>
      <c r="L22" s="573">
        <f t="shared" si="13"/>
        <v>-3.1199999999999999E-2</v>
      </c>
      <c r="M22" s="574">
        <v>3.1199999999999999E-2</v>
      </c>
      <c r="N22" s="560">
        <v>-3.2399999999999998E-2</v>
      </c>
      <c r="O22" s="572">
        <v>3.1199999999999999E-2</v>
      </c>
      <c r="P22" s="573">
        <f t="shared" si="14"/>
        <v>-3.9600000000000003E-2</v>
      </c>
      <c r="Q22" s="574">
        <v>3.9600000000000003E-2</v>
      </c>
      <c r="R22" s="560">
        <v>-4.3200000000000002E-2</v>
      </c>
      <c r="S22" s="572">
        <v>3.8399999999999997E-2</v>
      </c>
      <c r="T22" s="573">
        <f t="shared" si="17"/>
        <v>-3.5999999999999997E-2</v>
      </c>
      <c r="U22" s="574">
        <v>3.5999999999999997E-2</v>
      </c>
    </row>
    <row r="23" spans="1:21">
      <c r="A23" s="531" t="s">
        <v>906</v>
      </c>
      <c r="B23" s="571">
        <f t="shared" si="15"/>
        <v>-0.04</v>
      </c>
      <c r="C23" s="572">
        <v>0.04</v>
      </c>
      <c r="D23" s="573">
        <f t="shared" si="12"/>
        <v>-4.2000000000000003E-2</v>
      </c>
      <c r="E23" s="574">
        <v>4.2000000000000003E-2</v>
      </c>
      <c r="F23" s="560">
        <v>-0.03</v>
      </c>
      <c r="G23" s="572">
        <v>0.05</v>
      </c>
      <c r="H23" s="563">
        <v>-3.4000000000000002E-2</v>
      </c>
      <c r="I23" s="574">
        <v>5.1999999999999998E-2</v>
      </c>
      <c r="J23" s="571">
        <f t="shared" si="16"/>
        <v>-0.06</v>
      </c>
      <c r="K23" s="572">
        <v>0.06</v>
      </c>
      <c r="L23" s="573">
        <f t="shared" si="13"/>
        <v>-5.1999999999999998E-2</v>
      </c>
      <c r="M23" s="574">
        <v>5.1999999999999998E-2</v>
      </c>
      <c r="N23" s="560">
        <v>-5.3999999999999999E-2</v>
      </c>
      <c r="O23" s="572">
        <v>5.1999999999999998E-2</v>
      </c>
      <c r="P23" s="573">
        <f t="shared" si="14"/>
        <v>-6.6000000000000003E-2</v>
      </c>
      <c r="Q23" s="574">
        <v>6.6000000000000003E-2</v>
      </c>
      <c r="R23" s="560">
        <v>-7.1999999999999995E-2</v>
      </c>
      <c r="S23" s="572">
        <v>6.4000000000000001E-2</v>
      </c>
      <c r="T23" s="573">
        <f t="shared" si="17"/>
        <v>-0.06</v>
      </c>
      <c r="U23" s="574">
        <v>0.06</v>
      </c>
    </row>
    <row r="24" spans="1:21" ht="12.75" thickBot="1">
      <c r="A24" s="532" t="s">
        <v>1329</v>
      </c>
      <c r="B24" s="575">
        <f t="shared" si="15"/>
        <v>-0.02</v>
      </c>
      <c r="C24" s="576">
        <v>0.02</v>
      </c>
      <c r="D24" s="577">
        <f t="shared" si="12"/>
        <v>-2.1000000000000001E-2</v>
      </c>
      <c r="E24" s="578">
        <v>2.1000000000000001E-2</v>
      </c>
      <c r="F24" s="561">
        <v>-1.4999999999999999E-2</v>
      </c>
      <c r="G24" s="576">
        <v>2.5000000000000001E-2</v>
      </c>
      <c r="H24" s="564">
        <v>-1.7000000000000001E-2</v>
      </c>
      <c r="I24" s="578">
        <v>2.5999999999999999E-2</v>
      </c>
      <c r="J24" s="575">
        <f t="shared" si="16"/>
        <v>-0.03</v>
      </c>
      <c r="K24" s="576">
        <v>0.03</v>
      </c>
      <c r="L24" s="577">
        <f t="shared" si="13"/>
        <v>-2.5999999999999999E-2</v>
      </c>
      <c r="M24" s="578">
        <v>2.5999999999999999E-2</v>
      </c>
      <c r="N24" s="561">
        <v>-2.7E-2</v>
      </c>
      <c r="O24" s="576">
        <v>2.5999999999999999E-2</v>
      </c>
      <c r="P24" s="577">
        <f t="shared" si="14"/>
        <v>-3.3000000000000002E-2</v>
      </c>
      <c r="Q24" s="578">
        <v>3.3000000000000002E-2</v>
      </c>
      <c r="R24" s="561">
        <v>-3.5999999999999997E-2</v>
      </c>
      <c r="S24" s="576">
        <v>3.2000000000000001E-2</v>
      </c>
      <c r="T24" s="577">
        <f t="shared" si="17"/>
        <v>-0.03</v>
      </c>
      <c r="U24" s="578">
        <v>0.03</v>
      </c>
    </row>
    <row r="25" spans="1:21">
      <c r="A25" s="531" t="s">
        <v>28</v>
      </c>
      <c r="B25" s="567">
        <f>0-C25</f>
        <v>-0.02</v>
      </c>
      <c r="C25" s="568">
        <v>0.02</v>
      </c>
      <c r="D25" s="569">
        <f t="shared" ref="D25:F31" si="18">0-E25</f>
        <v>-0.02</v>
      </c>
      <c r="E25" s="570">
        <v>0.02</v>
      </c>
      <c r="F25" s="567">
        <f t="shared" si="18"/>
        <v>-0.04</v>
      </c>
      <c r="G25" s="568">
        <v>0.04</v>
      </c>
      <c r="H25" s="569">
        <f t="shared" ref="H25" si="19">0-I25</f>
        <v>-4.8000000000000001E-2</v>
      </c>
      <c r="I25" s="570">
        <v>4.8000000000000001E-2</v>
      </c>
      <c r="J25" s="559">
        <v>-0.05</v>
      </c>
      <c r="K25" s="568">
        <v>4.8000000000000001E-2</v>
      </c>
      <c r="L25" s="569">
        <f t="shared" ref="L25:P31" si="20">0-M25</f>
        <v>-0.04</v>
      </c>
      <c r="M25" s="570">
        <v>0.04</v>
      </c>
      <c r="N25" s="567">
        <f t="shared" si="20"/>
        <v>-4.5999999999999999E-2</v>
      </c>
      <c r="O25" s="568">
        <v>4.5999999999999999E-2</v>
      </c>
      <c r="P25" s="569">
        <f t="shared" si="20"/>
        <v>-5.1999999999999998E-2</v>
      </c>
      <c r="Q25" s="570">
        <v>5.1999999999999998E-2</v>
      </c>
    </row>
    <row r="26" spans="1:21">
      <c r="A26" s="531" t="s">
        <v>12</v>
      </c>
      <c r="B26" s="571">
        <f t="shared" ref="B26:B31" si="21">0-C26</f>
        <v>-3.2000000000000001E-2</v>
      </c>
      <c r="C26" s="572">
        <v>3.2000000000000001E-2</v>
      </c>
      <c r="D26" s="573">
        <f t="shared" si="18"/>
        <v>-3.2000000000000001E-2</v>
      </c>
      <c r="E26" s="574">
        <v>3.2000000000000001E-2</v>
      </c>
      <c r="F26" s="571">
        <f t="shared" ref="F26" si="22">0-G26</f>
        <v>-6.4000000000000001E-2</v>
      </c>
      <c r="G26" s="572">
        <v>6.4000000000000001E-2</v>
      </c>
      <c r="H26" s="573">
        <f t="shared" ref="H26" si="23">0-I26</f>
        <v>-7.6799999999999993E-2</v>
      </c>
      <c r="I26" s="574">
        <v>7.6799999999999993E-2</v>
      </c>
      <c r="J26" s="560">
        <v>-0.08</v>
      </c>
      <c r="K26" s="572">
        <v>7.6799999999999993E-2</v>
      </c>
      <c r="L26" s="573">
        <f t="shared" si="20"/>
        <v>-6.4000000000000001E-2</v>
      </c>
      <c r="M26" s="574">
        <v>6.4000000000000001E-2</v>
      </c>
      <c r="N26" s="571">
        <f t="shared" ref="N26" si="24">0-O26</f>
        <v>-7.3599999999999999E-2</v>
      </c>
      <c r="O26" s="572">
        <v>7.3599999999999999E-2</v>
      </c>
      <c r="P26" s="573">
        <f t="shared" ref="P26" si="25">0-Q26</f>
        <v>-8.3199999999999996E-2</v>
      </c>
      <c r="Q26" s="574">
        <v>8.3199999999999996E-2</v>
      </c>
    </row>
    <row r="27" spans="1:21">
      <c r="A27" s="531" t="s">
        <v>16</v>
      </c>
      <c r="B27" s="571">
        <f t="shared" si="21"/>
        <v>-0.01</v>
      </c>
      <c r="C27" s="572">
        <v>0.01</v>
      </c>
      <c r="D27" s="573">
        <f t="shared" si="18"/>
        <v>-0.01</v>
      </c>
      <c r="E27" s="574">
        <v>0.01</v>
      </c>
      <c r="F27" s="571">
        <f t="shared" ref="F27" si="26">0-G27</f>
        <v>-0.02</v>
      </c>
      <c r="G27" s="572">
        <v>0.02</v>
      </c>
      <c r="H27" s="573">
        <f t="shared" ref="H27" si="27">0-I27</f>
        <v>-2.4E-2</v>
      </c>
      <c r="I27" s="574">
        <v>2.4E-2</v>
      </c>
      <c r="J27" s="560">
        <v>-2.5000000000000001E-2</v>
      </c>
      <c r="K27" s="572">
        <v>2.4E-2</v>
      </c>
      <c r="L27" s="573">
        <f t="shared" si="20"/>
        <v>-0.02</v>
      </c>
      <c r="M27" s="574">
        <v>0.02</v>
      </c>
      <c r="N27" s="571">
        <f t="shared" ref="N27" si="28">0-O27</f>
        <v>-2.3E-2</v>
      </c>
      <c r="O27" s="572">
        <v>2.3E-2</v>
      </c>
      <c r="P27" s="573">
        <f t="shared" ref="P27" si="29">0-Q27</f>
        <v>-2.5999999999999999E-2</v>
      </c>
      <c r="Q27" s="574">
        <v>2.5999999999999999E-2</v>
      </c>
    </row>
    <row r="28" spans="1:21">
      <c r="A28" s="531" t="s">
        <v>909</v>
      </c>
      <c r="B28" s="571">
        <f t="shared" si="21"/>
        <v>-8.0000000000000002E-3</v>
      </c>
      <c r="C28" s="572">
        <v>8.0000000000000002E-3</v>
      </c>
      <c r="D28" s="573">
        <f t="shared" si="18"/>
        <v>-8.0000000000000002E-3</v>
      </c>
      <c r="E28" s="574">
        <v>8.0000000000000002E-3</v>
      </c>
      <c r="F28" s="571">
        <f t="shared" ref="F28" si="30">0-G28</f>
        <v>-1.6E-2</v>
      </c>
      <c r="G28" s="572">
        <v>1.6E-2</v>
      </c>
      <c r="H28" s="573">
        <f t="shared" ref="H28" si="31">0-I28</f>
        <v>-1.9199999999999998E-2</v>
      </c>
      <c r="I28" s="574">
        <v>1.9199999999999998E-2</v>
      </c>
      <c r="J28" s="560">
        <v>-0.02</v>
      </c>
      <c r="K28" s="572">
        <v>1.9199999999999998E-2</v>
      </c>
      <c r="L28" s="573">
        <f t="shared" si="20"/>
        <v>-1.6E-2</v>
      </c>
      <c r="M28" s="574">
        <v>1.6E-2</v>
      </c>
      <c r="N28" s="571">
        <f t="shared" ref="N28" si="32">0-O28</f>
        <v>-1.84E-2</v>
      </c>
      <c r="O28" s="572">
        <v>1.84E-2</v>
      </c>
      <c r="P28" s="573">
        <f t="shared" ref="P28" si="33">0-Q28</f>
        <v>-2.0799999999999999E-2</v>
      </c>
      <c r="Q28" s="574">
        <v>2.0799999999999999E-2</v>
      </c>
    </row>
    <row r="29" spans="1:21">
      <c r="A29" s="531" t="s">
        <v>903</v>
      </c>
      <c r="B29" s="571">
        <f t="shared" si="21"/>
        <v>-1.2E-2</v>
      </c>
      <c r="C29" s="572">
        <v>1.2E-2</v>
      </c>
      <c r="D29" s="573">
        <f t="shared" si="18"/>
        <v>-1.2E-2</v>
      </c>
      <c r="E29" s="574">
        <v>1.2E-2</v>
      </c>
      <c r="F29" s="571">
        <f t="shared" ref="F29" si="34">0-G29</f>
        <v>-2.4E-2</v>
      </c>
      <c r="G29" s="572">
        <v>2.4E-2</v>
      </c>
      <c r="H29" s="573">
        <f t="shared" ref="H29" si="35">0-I29</f>
        <v>-2.8799999999999999E-2</v>
      </c>
      <c r="I29" s="574">
        <v>2.8799999999999999E-2</v>
      </c>
      <c r="J29" s="560">
        <v>-0.03</v>
      </c>
      <c r="K29" s="572">
        <v>2.8799999999999999E-2</v>
      </c>
      <c r="L29" s="573">
        <f t="shared" si="20"/>
        <v>-2.4E-2</v>
      </c>
      <c r="M29" s="574">
        <v>2.4E-2</v>
      </c>
      <c r="N29" s="571">
        <f t="shared" ref="N29" si="36">0-O29</f>
        <v>-2.76E-2</v>
      </c>
      <c r="O29" s="572">
        <v>2.76E-2</v>
      </c>
      <c r="P29" s="573">
        <f t="shared" ref="P29" si="37">0-Q29</f>
        <v>-3.1199999999999999E-2</v>
      </c>
      <c r="Q29" s="574">
        <v>3.1199999999999999E-2</v>
      </c>
    </row>
    <row r="30" spans="1:21">
      <c r="A30" s="531" t="s">
        <v>905</v>
      </c>
      <c r="B30" s="571">
        <f t="shared" si="21"/>
        <v>-0.01</v>
      </c>
      <c r="C30" s="572">
        <v>0.01</v>
      </c>
      <c r="D30" s="573">
        <f t="shared" si="18"/>
        <v>-0.01</v>
      </c>
      <c r="E30" s="574">
        <v>0.01</v>
      </c>
      <c r="F30" s="571">
        <f t="shared" ref="F30" si="38">0-G30</f>
        <v>-0.02</v>
      </c>
      <c r="G30" s="572">
        <v>0.02</v>
      </c>
      <c r="H30" s="573">
        <f t="shared" ref="H30" si="39">0-I30</f>
        <v>-2.4E-2</v>
      </c>
      <c r="I30" s="574">
        <v>2.4E-2</v>
      </c>
      <c r="J30" s="560">
        <v>-2.5000000000000001E-2</v>
      </c>
      <c r="K30" s="572">
        <v>2.4E-2</v>
      </c>
      <c r="L30" s="573">
        <f t="shared" si="20"/>
        <v>-0.02</v>
      </c>
      <c r="M30" s="574">
        <v>0.02</v>
      </c>
      <c r="N30" s="571">
        <f t="shared" ref="N30" si="40">0-O30</f>
        <v>-2.3E-2</v>
      </c>
      <c r="O30" s="572">
        <v>2.3E-2</v>
      </c>
      <c r="P30" s="573">
        <f t="shared" ref="P30" si="41">0-Q30</f>
        <v>-2.5999999999999999E-2</v>
      </c>
      <c r="Q30" s="574">
        <v>2.5999999999999999E-2</v>
      </c>
    </row>
    <row r="31" spans="1:21" ht="12.75" thickBot="1">
      <c r="A31" s="532" t="s">
        <v>912</v>
      </c>
      <c r="B31" s="575">
        <f t="shared" si="21"/>
        <v>-8.0000000000000002E-3</v>
      </c>
      <c r="C31" s="576">
        <v>8.0000000000000002E-3</v>
      </c>
      <c r="D31" s="577">
        <f t="shared" si="18"/>
        <v>-8.0000000000000002E-3</v>
      </c>
      <c r="E31" s="578">
        <v>8.0000000000000002E-3</v>
      </c>
      <c r="F31" s="575">
        <f t="shared" ref="F31" si="42">0-G31</f>
        <v>-1.6E-2</v>
      </c>
      <c r="G31" s="576">
        <v>1.6E-2</v>
      </c>
      <c r="H31" s="577">
        <f t="shared" ref="H31" si="43">0-I31</f>
        <v>-1.9199999999999998E-2</v>
      </c>
      <c r="I31" s="578">
        <v>1.9199999999999998E-2</v>
      </c>
      <c r="J31" s="561">
        <v>-0.02</v>
      </c>
      <c r="K31" s="576">
        <v>1.9199999999999998E-2</v>
      </c>
      <c r="L31" s="577">
        <f t="shared" si="20"/>
        <v>-1.6E-2</v>
      </c>
      <c r="M31" s="578">
        <v>1.6E-2</v>
      </c>
      <c r="N31" s="575">
        <f t="shared" ref="N31" si="44">0-O31</f>
        <v>-1.84E-2</v>
      </c>
      <c r="O31" s="576">
        <v>1.84E-2</v>
      </c>
      <c r="P31" s="577">
        <f t="shared" ref="P31" si="45">0-Q31</f>
        <v>-2.0799999999999999E-2</v>
      </c>
      <c r="Q31" s="578">
        <v>2.0799999999999999E-2</v>
      </c>
    </row>
    <row r="34" spans="1:11" ht="12.75" thickBot="1"/>
    <row r="35" spans="1:11" ht="12.75" thickBot="1">
      <c r="A35" s="545" t="s">
        <v>1334</v>
      </c>
      <c r="B35" s="546" t="s">
        <v>293</v>
      </c>
      <c r="C35" s="547" t="s">
        <v>33</v>
      </c>
      <c r="D35" s="547" t="s">
        <v>295</v>
      </c>
      <c r="E35" s="547" t="s">
        <v>30</v>
      </c>
      <c r="F35" s="547" t="s">
        <v>31</v>
      </c>
      <c r="G35" s="547" t="s">
        <v>32</v>
      </c>
      <c r="H35" s="548" t="s">
        <v>299</v>
      </c>
      <c r="I35" s="548" t="s">
        <v>300</v>
      </c>
      <c r="J35" s="547" t="s">
        <v>301</v>
      </c>
      <c r="K35" s="549" t="s">
        <v>302</v>
      </c>
    </row>
    <row r="36" spans="1:11">
      <c r="A36" s="533" t="s">
        <v>898</v>
      </c>
      <c r="B36" s="537">
        <f>C3</f>
        <v>4.4999999999999998E-2</v>
      </c>
      <c r="C36" s="538">
        <f>E3</f>
        <v>4.4999999999999998E-2</v>
      </c>
      <c r="D36" s="538">
        <f>G3</f>
        <v>4.4999999999999998E-2</v>
      </c>
      <c r="E36" s="538">
        <f>I3</f>
        <v>4.4999999999999998E-2</v>
      </c>
      <c r="F36" s="538">
        <f>K3</f>
        <v>0.06</v>
      </c>
      <c r="G36" s="538">
        <f>M3</f>
        <v>5.3999999999999999E-2</v>
      </c>
      <c r="H36" s="538">
        <f>O3</f>
        <v>7.4999999999999997E-2</v>
      </c>
      <c r="I36" s="538">
        <f>Q3</f>
        <v>0.111</v>
      </c>
      <c r="J36" s="538">
        <f>S3</f>
        <v>0.105</v>
      </c>
      <c r="K36" s="539">
        <f>U3</f>
        <v>0.09</v>
      </c>
    </row>
    <row r="37" spans="1:11">
      <c r="A37" s="256" t="s">
        <v>12</v>
      </c>
      <c r="B37" s="540">
        <f t="shared" ref="B37:B64" si="46">C4</f>
        <v>2.2499999999999999E-2</v>
      </c>
      <c r="C37" s="534">
        <f t="shared" ref="C37:C64" si="47">E4</f>
        <v>2.2499999999999999E-2</v>
      </c>
      <c r="D37" s="534">
        <f t="shared" ref="D37:D64" si="48">G4</f>
        <v>2.2499999999999999E-2</v>
      </c>
      <c r="E37" s="534">
        <f t="shared" ref="E37:E64" si="49">I4</f>
        <v>2.2499999999999999E-2</v>
      </c>
      <c r="F37" s="534">
        <f t="shared" ref="F37:F64" si="50">K4</f>
        <v>0.03</v>
      </c>
      <c r="G37" s="534">
        <f t="shared" ref="G37:G64" si="51">M4</f>
        <v>2.7E-2</v>
      </c>
      <c r="H37" s="534">
        <f t="shared" ref="H37:H64" si="52">O4</f>
        <v>3.7499999999999999E-2</v>
      </c>
      <c r="I37" s="534">
        <f t="shared" ref="I37:I64" si="53">Q4</f>
        <v>5.5500000000000001E-2</v>
      </c>
      <c r="J37" s="534">
        <f t="shared" ref="J37:J64" si="54">S4</f>
        <v>5.2499999999999998E-2</v>
      </c>
      <c r="K37" s="541">
        <f t="shared" ref="K37:K64" si="55">U4</f>
        <v>4.4999999999999998E-2</v>
      </c>
    </row>
    <row r="38" spans="1:11">
      <c r="A38" s="256" t="s">
        <v>16</v>
      </c>
      <c r="B38" s="540">
        <f t="shared" si="46"/>
        <v>1.4999999999999999E-2</v>
      </c>
      <c r="C38" s="534">
        <f t="shared" si="47"/>
        <v>1.4999999999999999E-2</v>
      </c>
      <c r="D38" s="534">
        <f t="shared" si="48"/>
        <v>1.4999999999999999E-2</v>
      </c>
      <c r="E38" s="534">
        <f t="shared" si="49"/>
        <v>1.4999999999999999E-2</v>
      </c>
      <c r="F38" s="534">
        <f t="shared" si="50"/>
        <v>0.02</v>
      </c>
      <c r="G38" s="534">
        <f t="shared" si="51"/>
        <v>1.7999999999999999E-2</v>
      </c>
      <c r="H38" s="534">
        <f t="shared" si="52"/>
        <v>2.5000000000000001E-2</v>
      </c>
      <c r="I38" s="534">
        <f t="shared" si="53"/>
        <v>3.6999999999999998E-2</v>
      </c>
      <c r="J38" s="534">
        <f t="shared" si="54"/>
        <v>3.5000000000000003E-2</v>
      </c>
      <c r="K38" s="541">
        <f t="shared" si="55"/>
        <v>0.03</v>
      </c>
    </row>
    <row r="39" spans="1:11">
      <c r="A39" s="256" t="s">
        <v>901</v>
      </c>
      <c r="B39" s="540">
        <f t="shared" si="46"/>
        <v>0.03</v>
      </c>
      <c r="C39" s="534">
        <f t="shared" si="47"/>
        <v>0.03</v>
      </c>
      <c r="D39" s="534">
        <f t="shared" si="48"/>
        <v>0.03</v>
      </c>
      <c r="E39" s="534">
        <f t="shared" si="49"/>
        <v>0.03</v>
      </c>
      <c r="F39" s="534">
        <f t="shared" si="50"/>
        <v>0.04</v>
      </c>
      <c r="G39" s="534">
        <f t="shared" si="51"/>
        <v>3.5999999999999997E-2</v>
      </c>
      <c r="H39" s="534">
        <f t="shared" si="52"/>
        <v>0.05</v>
      </c>
      <c r="I39" s="534">
        <f t="shared" si="53"/>
        <v>7.3999999999999996E-2</v>
      </c>
      <c r="J39" s="534">
        <f t="shared" si="54"/>
        <v>7.0000000000000007E-2</v>
      </c>
      <c r="K39" s="541">
        <f t="shared" si="55"/>
        <v>0.06</v>
      </c>
    </row>
    <row r="40" spans="1:11">
      <c r="A40" s="256" t="s">
        <v>902</v>
      </c>
      <c r="B40" s="540">
        <f t="shared" si="46"/>
        <v>1.4999999999999999E-2</v>
      </c>
      <c r="C40" s="534">
        <f t="shared" si="47"/>
        <v>1.4999999999999999E-2</v>
      </c>
      <c r="D40" s="534">
        <f t="shared" si="48"/>
        <v>1.4999999999999999E-2</v>
      </c>
      <c r="E40" s="534">
        <f t="shared" si="49"/>
        <v>1.4999999999999999E-2</v>
      </c>
      <c r="F40" s="534">
        <f t="shared" si="50"/>
        <v>0.02</v>
      </c>
      <c r="G40" s="534">
        <f t="shared" si="51"/>
        <v>1.7999999999999999E-2</v>
      </c>
      <c r="H40" s="534">
        <f t="shared" si="52"/>
        <v>2.5000000000000001E-2</v>
      </c>
      <c r="I40" s="534">
        <f t="shared" si="53"/>
        <v>3.6999999999999998E-2</v>
      </c>
      <c r="J40" s="534">
        <f t="shared" si="54"/>
        <v>3.5000000000000003E-2</v>
      </c>
      <c r="K40" s="541">
        <f t="shared" si="55"/>
        <v>0.03</v>
      </c>
    </row>
    <row r="41" spans="1:11">
      <c r="A41" s="256" t="s">
        <v>903</v>
      </c>
      <c r="B41" s="540">
        <f t="shared" si="46"/>
        <v>1.2E-2</v>
      </c>
      <c r="C41" s="534">
        <f t="shared" si="47"/>
        <v>1.2E-2</v>
      </c>
      <c r="D41" s="534">
        <f t="shared" si="48"/>
        <v>1.2E-2</v>
      </c>
      <c r="E41" s="534">
        <f t="shared" si="49"/>
        <v>1.2E-2</v>
      </c>
      <c r="F41" s="534">
        <f t="shared" si="50"/>
        <v>1.6E-2</v>
      </c>
      <c r="G41" s="534">
        <f t="shared" si="51"/>
        <v>1.44E-2</v>
      </c>
      <c r="H41" s="534">
        <f t="shared" si="52"/>
        <v>0.02</v>
      </c>
      <c r="I41" s="534">
        <f t="shared" si="53"/>
        <v>2.9600000000000001E-2</v>
      </c>
      <c r="J41" s="534">
        <f t="shared" si="54"/>
        <v>2.8000000000000001E-2</v>
      </c>
      <c r="K41" s="541">
        <f t="shared" si="55"/>
        <v>2.4E-2</v>
      </c>
    </row>
    <row r="42" spans="1:11" ht="12.75" thickBot="1">
      <c r="A42" s="535" t="s">
        <v>905</v>
      </c>
      <c r="B42" s="542">
        <f t="shared" si="46"/>
        <v>1.0500000000000001E-2</v>
      </c>
      <c r="C42" s="543">
        <f t="shared" si="47"/>
        <v>1.0500000000000001E-2</v>
      </c>
      <c r="D42" s="543">
        <f t="shared" si="48"/>
        <v>1.0500000000000001E-2</v>
      </c>
      <c r="E42" s="543">
        <f t="shared" si="49"/>
        <v>1.0500000000000001E-2</v>
      </c>
      <c r="F42" s="543">
        <f t="shared" si="50"/>
        <v>1.4E-2</v>
      </c>
      <c r="G42" s="543">
        <f t="shared" si="51"/>
        <v>1.26E-2</v>
      </c>
      <c r="H42" s="543">
        <f t="shared" si="52"/>
        <v>1.7500000000000002E-2</v>
      </c>
      <c r="I42" s="543">
        <f t="shared" si="53"/>
        <v>2.5899999999999999E-2</v>
      </c>
      <c r="J42" s="543">
        <f t="shared" si="54"/>
        <v>2.4500000000000001E-2</v>
      </c>
      <c r="K42" s="544">
        <f t="shared" si="55"/>
        <v>2.1000000000000001E-2</v>
      </c>
    </row>
    <row r="43" spans="1:11">
      <c r="A43" s="530" t="s">
        <v>907</v>
      </c>
      <c r="B43" s="537">
        <f t="shared" si="46"/>
        <v>0.04</v>
      </c>
      <c r="C43" s="538">
        <f t="shared" si="47"/>
        <v>0.03</v>
      </c>
      <c r="D43" s="538">
        <f t="shared" si="48"/>
        <v>0.03</v>
      </c>
      <c r="E43" s="538">
        <f t="shared" si="49"/>
        <v>0.04</v>
      </c>
      <c r="F43" s="538">
        <f t="shared" si="50"/>
        <v>3.4000000000000002E-2</v>
      </c>
      <c r="G43" s="538">
        <f t="shared" si="51"/>
        <v>4.5999999999999999E-2</v>
      </c>
      <c r="H43" s="538">
        <f t="shared" si="52"/>
        <v>0.04</v>
      </c>
      <c r="I43" s="538">
        <f t="shared" si="53"/>
        <v>6.8000000000000005E-2</v>
      </c>
      <c r="J43" s="538">
        <f t="shared" si="54"/>
        <v>7.1999999999999995E-2</v>
      </c>
      <c r="K43" s="539">
        <f t="shared" si="55"/>
        <v>0.06</v>
      </c>
    </row>
    <row r="44" spans="1:11">
      <c r="A44" s="531" t="s">
        <v>12</v>
      </c>
      <c r="B44" s="540">
        <f t="shared" si="46"/>
        <v>0.05</v>
      </c>
      <c r="C44" s="534">
        <f t="shared" si="47"/>
        <v>3.7499999999999999E-2</v>
      </c>
      <c r="D44" s="534">
        <f t="shared" si="48"/>
        <v>3.7499999999999999E-2</v>
      </c>
      <c r="E44" s="534">
        <f t="shared" si="49"/>
        <v>0.05</v>
      </c>
      <c r="F44" s="534">
        <f t="shared" si="50"/>
        <v>4.2500000000000003E-2</v>
      </c>
      <c r="G44" s="534">
        <f t="shared" si="51"/>
        <v>5.7500000000000002E-2</v>
      </c>
      <c r="H44" s="534">
        <f t="shared" si="52"/>
        <v>0.05</v>
      </c>
      <c r="I44" s="534">
        <f t="shared" si="53"/>
        <v>8.5000000000000006E-2</v>
      </c>
      <c r="J44" s="534">
        <f t="shared" si="54"/>
        <v>0.09</v>
      </c>
      <c r="K44" s="541">
        <f t="shared" si="55"/>
        <v>7.4999999999999997E-2</v>
      </c>
    </row>
    <row r="45" spans="1:11">
      <c r="A45" s="531" t="s">
        <v>16</v>
      </c>
      <c r="B45" s="540">
        <f t="shared" si="46"/>
        <v>0.02</v>
      </c>
      <c r="C45" s="534">
        <f t="shared" si="47"/>
        <v>1.4999999999999999E-2</v>
      </c>
      <c r="D45" s="534">
        <f t="shared" si="48"/>
        <v>1.4999999999999999E-2</v>
      </c>
      <c r="E45" s="534">
        <f t="shared" si="49"/>
        <v>0.02</v>
      </c>
      <c r="F45" s="534">
        <f t="shared" si="50"/>
        <v>1.7000000000000001E-2</v>
      </c>
      <c r="G45" s="534">
        <f t="shared" si="51"/>
        <v>2.3E-2</v>
      </c>
      <c r="H45" s="534">
        <f t="shared" si="52"/>
        <v>0.02</v>
      </c>
      <c r="I45" s="534">
        <f t="shared" si="53"/>
        <v>3.4000000000000002E-2</v>
      </c>
      <c r="J45" s="534">
        <f t="shared" si="54"/>
        <v>3.5999999999999997E-2</v>
      </c>
      <c r="K45" s="541">
        <f t="shared" si="55"/>
        <v>0.03</v>
      </c>
    </row>
    <row r="46" spans="1:11">
      <c r="A46" s="531" t="s">
        <v>901</v>
      </c>
      <c r="B46" s="540">
        <f t="shared" si="46"/>
        <v>0.02</v>
      </c>
      <c r="C46" s="534">
        <f t="shared" si="47"/>
        <v>1.4999999999999999E-2</v>
      </c>
      <c r="D46" s="534">
        <f t="shared" si="48"/>
        <v>1.4999999999999999E-2</v>
      </c>
      <c r="E46" s="534">
        <f t="shared" si="49"/>
        <v>0.02</v>
      </c>
      <c r="F46" s="534">
        <f t="shared" si="50"/>
        <v>1.7000000000000001E-2</v>
      </c>
      <c r="G46" s="534">
        <f t="shared" si="51"/>
        <v>2.3E-2</v>
      </c>
      <c r="H46" s="534">
        <f t="shared" si="52"/>
        <v>0.02</v>
      </c>
      <c r="I46" s="534">
        <f t="shared" si="53"/>
        <v>3.4000000000000002E-2</v>
      </c>
      <c r="J46" s="534">
        <f t="shared" si="54"/>
        <v>3.5999999999999997E-2</v>
      </c>
      <c r="K46" s="541">
        <f t="shared" si="55"/>
        <v>0.03</v>
      </c>
    </row>
    <row r="47" spans="1:11">
      <c r="A47" s="531" t="s">
        <v>902</v>
      </c>
      <c r="B47" s="540">
        <f t="shared" si="46"/>
        <v>0.03</v>
      </c>
      <c r="C47" s="534">
        <f t="shared" si="47"/>
        <v>2.2499999999999999E-2</v>
      </c>
      <c r="D47" s="534">
        <f t="shared" si="48"/>
        <v>2.2499999999999999E-2</v>
      </c>
      <c r="E47" s="534">
        <f t="shared" si="49"/>
        <v>0.03</v>
      </c>
      <c r="F47" s="534">
        <f t="shared" si="50"/>
        <v>2.5499999999999998E-2</v>
      </c>
      <c r="G47" s="534">
        <f t="shared" si="51"/>
        <v>3.4500000000000003E-2</v>
      </c>
      <c r="H47" s="534">
        <f t="shared" si="52"/>
        <v>0.03</v>
      </c>
      <c r="I47" s="534">
        <f t="shared" si="53"/>
        <v>5.0999999999999997E-2</v>
      </c>
      <c r="J47" s="534">
        <f t="shared" si="54"/>
        <v>5.3999999999999999E-2</v>
      </c>
      <c r="K47" s="541">
        <f t="shared" si="55"/>
        <v>4.4999999999999998E-2</v>
      </c>
    </row>
    <row r="48" spans="1:11">
      <c r="A48" s="531" t="s">
        <v>903</v>
      </c>
      <c r="B48" s="540">
        <f t="shared" si="46"/>
        <v>1.6E-2</v>
      </c>
      <c r="C48" s="534">
        <f t="shared" si="47"/>
        <v>1.2E-2</v>
      </c>
      <c r="D48" s="534">
        <f t="shared" si="48"/>
        <v>1.2E-2</v>
      </c>
      <c r="E48" s="534">
        <f t="shared" si="49"/>
        <v>1.6E-2</v>
      </c>
      <c r="F48" s="534">
        <f t="shared" si="50"/>
        <v>1.3599999999999999E-2</v>
      </c>
      <c r="G48" s="534">
        <f t="shared" si="51"/>
        <v>1.84E-2</v>
      </c>
      <c r="H48" s="534">
        <f t="shared" si="52"/>
        <v>1.6E-2</v>
      </c>
      <c r="I48" s="534">
        <f t="shared" si="53"/>
        <v>2.7199999999999998E-2</v>
      </c>
      <c r="J48" s="534">
        <f t="shared" si="54"/>
        <v>2.8799999999999999E-2</v>
      </c>
      <c r="K48" s="541">
        <f t="shared" si="55"/>
        <v>2.4E-2</v>
      </c>
    </row>
    <row r="49" spans="1:11" ht="12.75" thickBot="1">
      <c r="A49" s="532" t="s">
        <v>1328</v>
      </c>
      <c r="B49" s="542">
        <f t="shared" si="46"/>
        <v>2.4E-2</v>
      </c>
      <c r="C49" s="543">
        <f t="shared" si="47"/>
        <v>1.7999999999999999E-2</v>
      </c>
      <c r="D49" s="543">
        <f t="shared" si="48"/>
        <v>1.7999999999999999E-2</v>
      </c>
      <c r="E49" s="543">
        <f t="shared" si="49"/>
        <v>2.4E-2</v>
      </c>
      <c r="F49" s="543">
        <f t="shared" si="50"/>
        <v>2.0400000000000001E-2</v>
      </c>
      <c r="G49" s="543">
        <f t="shared" si="51"/>
        <v>2.76E-2</v>
      </c>
      <c r="H49" s="543">
        <f t="shared" si="52"/>
        <v>2.4E-2</v>
      </c>
      <c r="I49" s="543">
        <f t="shared" si="53"/>
        <v>4.0800000000000003E-2</v>
      </c>
      <c r="J49" s="543">
        <f t="shared" si="54"/>
        <v>4.3200000000000002E-2</v>
      </c>
      <c r="K49" s="544">
        <f t="shared" si="55"/>
        <v>3.5999999999999997E-2</v>
      </c>
    </row>
    <row r="50" spans="1:11">
      <c r="A50" s="530" t="s">
        <v>17</v>
      </c>
      <c r="B50" s="537">
        <f t="shared" si="46"/>
        <v>0.02</v>
      </c>
      <c r="C50" s="538">
        <f t="shared" si="47"/>
        <v>2.1000000000000001E-2</v>
      </c>
      <c r="D50" s="538">
        <f t="shared" si="48"/>
        <v>2.5000000000000001E-2</v>
      </c>
      <c r="E50" s="538">
        <f t="shared" si="49"/>
        <v>2.5999999999999999E-2</v>
      </c>
      <c r="F50" s="538">
        <f t="shared" si="50"/>
        <v>0.03</v>
      </c>
      <c r="G50" s="538">
        <f t="shared" si="51"/>
        <v>2.5999999999999999E-2</v>
      </c>
      <c r="H50" s="538">
        <f t="shared" si="52"/>
        <v>2.5999999999999999E-2</v>
      </c>
      <c r="I50" s="538">
        <f t="shared" si="53"/>
        <v>3.3000000000000002E-2</v>
      </c>
      <c r="J50" s="538">
        <f t="shared" si="54"/>
        <v>3.2000000000000001E-2</v>
      </c>
      <c r="K50" s="539">
        <f t="shared" si="55"/>
        <v>0.03</v>
      </c>
    </row>
    <row r="51" spans="1:11">
      <c r="A51" s="531" t="s">
        <v>12</v>
      </c>
      <c r="B51" s="540">
        <f t="shared" si="46"/>
        <v>0.04</v>
      </c>
      <c r="C51" s="534">
        <f t="shared" si="47"/>
        <v>4.2000000000000003E-2</v>
      </c>
      <c r="D51" s="534">
        <f t="shared" si="48"/>
        <v>0.05</v>
      </c>
      <c r="E51" s="534">
        <f t="shared" si="49"/>
        <v>5.1999999999999998E-2</v>
      </c>
      <c r="F51" s="534">
        <f t="shared" si="50"/>
        <v>0.06</v>
      </c>
      <c r="G51" s="534">
        <f t="shared" si="51"/>
        <v>5.1999999999999998E-2</v>
      </c>
      <c r="H51" s="534">
        <f t="shared" si="52"/>
        <v>5.1999999999999998E-2</v>
      </c>
      <c r="I51" s="534">
        <f t="shared" si="53"/>
        <v>6.6000000000000003E-2</v>
      </c>
      <c r="J51" s="534">
        <f t="shared" si="54"/>
        <v>6.4000000000000001E-2</v>
      </c>
      <c r="K51" s="541">
        <f t="shared" si="55"/>
        <v>0.06</v>
      </c>
    </row>
    <row r="52" spans="1:11">
      <c r="A52" s="531" t="s">
        <v>16</v>
      </c>
      <c r="B52" s="540">
        <f t="shared" si="46"/>
        <v>0.02</v>
      </c>
      <c r="C52" s="534">
        <f t="shared" si="47"/>
        <v>2.1000000000000001E-2</v>
      </c>
      <c r="D52" s="534">
        <f t="shared" si="48"/>
        <v>2.5000000000000001E-2</v>
      </c>
      <c r="E52" s="534">
        <f t="shared" si="49"/>
        <v>2.5999999999999999E-2</v>
      </c>
      <c r="F52" s="534">
        <f t="shared" si="50"/>
        <v>0.03</v>
      </c>
      <c r="G52" s="534">
        <f t="shared" si="51"/>
        <v>2.5999999999999999E-2</v>
      </c>
      <c r="H52" s="534">
        <f t="shared" si="52"/>
        <v>2.5999999999999999E-2</v>
      </c>
      <c r="I52" s="534">
        <f t="shared" si="53"/>
        <v>3.3000000000000002E-2</v>
      </c>
      <c r="J52" s="534">
        <f t="shared" si="54"/>
        <v>3.2000000000000001E-2</v>
      </c>
      <c r="K52" s="541">
        <f t="shared" si="55"/>
        <v>0.03</v>
      </c>
    </row>
    <row r="53" spans="1:11">
      <c r="A53" s="531" t="s">
        <v>909</v>
      </c>
      <c r="B53" s="540">
        <f t="shared" si="46"/>
        <v>0.02</v>
      </c>
      <c r="C53" s="534">
        <f t="shared" si="47"/>
        <v>2.1000000000000001E-2</v>
      </c>
      <c r="D53" s="534">
        <f t="shared" si="48"/>
        <v>2.5000000000000001E-2</v>
      </c>
      <c r="E53" s="534">
        <f t="shared" si="49"/>
        <v>2.5999999999999999E-2</v>
      </c>
      <c r="F53" s="534">
        <f t="shared" si="50"/>
        <v>0.03</v>
      </c>
      <c r="G53" s="534">
        <f t="shared" si="51"/>
        <v>2.5999999999999999E-2</v>
      </c>
      <c r="H53" s="534">
        <f t="shared" si="52"/>
        <v>2.5999999999999999E-2</v>
      </c>
      <c r="I53" s="534">
        <f t="shared" si="53"/>
        <v>3.3000000000000002E-2</v>
      </c>
      <c r="J53" s="534">
        <f t="shared" si="54"/>
        <v>3.2000000000000001E-2</v>
      </c>
      <c r="K53" s="541">
        <f t="shared" si="55"/>
        <v>0.03</v>
      </c>
    </row>
    <row r="54" spans="1:11">
      <c r="A54" s="531" t="s">
        <v>903</v>
      </c>
      <c r="B54" s="540">
        <f t="shared" si="46"/>
        <v>1.6E-2</v>
      </c>
      <c r="C54" s="534">
        <f t="shared" si="47"/>
        <v>1.6799999999999999E-2</v>
      </c>
      <c r="D54" s="534">
        <f t="shared" si="48"/>
        <v>0.02</v>
      </c>
      <c r="E54" s="534">
        <f t="shared" si="49"/>
        <v>2.0799999999999999E-2</v>
      </c>
      <c r="F54" s="534">
        <f t="shared" si="50"/>
        <v>2.4E-2</v>
      </c>
      <c r="G54" s="534">
        <f t="shared" si="51"/>
        <v>2.0799999999999999E-2</v>
      </c>
      <c r="H54" s="534">
        <f t="shared" si="52"/>
        <v>2.0799999999999999E-2</v>
      </c>
      <c r="I54" s="534">
        <f t="shared" si="53"/>
        <v>2.64E-2</v>
      </c>
      <c r="J54" s="534">
        <f t="shared" si="54"/>
        <v>2.5600000000000001E-2</v>
      </c>
      <c r="K54" s="541">
        <f t="shared" si="55"/>
        <v>2.4E-2</v>
      </c>
    </row>
    <row r="55" spans="1:11">
      <c r="A55" s="531" t="s">
        <v>1328</v>
      </c>
      <c r="B55" s="540">
        <f t="shared" si="46"/>
        <v>2.4E-2</v>
      </c>
      <c r="C55" s="534">
        <f t="shared" si="47"/>
        <v>2.52E-2</v>
      </c>
      <c r="D55" s="534">
        <f t="shared" si="48"/>
        <v>0.03</v>
      </c>
      <c r="E55" s="534">
        <f t="shared" si="49"/>
        <v>3.1199999999999999E-2</v>
      </c>
      <c r="F55" s="534">
        <f t="shared" si="50"/>
        <v>3.5999999999999997E-2</v>
      </c>
      <c r="G55" s="534">
        <f t="shared" si="51"/>
        <v>3.1199999999999999E-2</v>
      </c>
      <c r="H55" s="534">
        <f t="shared" si="52"/>
        <v>3.1199999999999999E-2</v>
      </c>
      <c r="I55" s="534">
        <f t="shared" si="53"/>
        <v>3.9600000000000003E-2</v>
      </c>
      <c r="J55" s="534">
        <f t="shared" si="54"/>
        <v>3.8399999999999997E-2</v>
      </c>
      <c r="K55" s="541">
        <f t="shared" si="55"/>
        <v>3.5999999999999997E-2</v>
      </c>
    </row>
    <row r="56" spans="1:11">
      <c r="A56" s="531" t="s">
        <v>906</v>
      </c>
      <c r="B56" s="540">
        <f t="shared" si="46"/>
        <v>0.04</v>
      </c>
      <c r="C56" s="534">
        <f t="shared" si="47"/>
        <v>4.2000000000000003E-2</v>
      </c>
      <c r="D56" s="534">
        <f t="shared" si="48"/>
        <v>0.05</v>
      </c>
      <c r="E56" s="534">
        <f t="shared" si="49"/>
        <v>5.1999999999999998E-2</v>
      </c>
      <c r="F56" s="534">
        <f t="shared" si="50"/>
        <v>0.06</v>
      </c>
      <c r="G56" s="534">
        <f t="shared" si="51"/>
        <v>5.1999999999999998E-2</v>
      </c>
      <c r="H56" s="534">
        <f t="shared" si="52"/>
        <v>5.1999999999999998E-2</v>
      </c>
      <c r="I56" s="534">
        <f t="shared" si="53"/>
        <v>6.6000000000000003E-2</v>
      </c>
      <c r="J56" s="534">
        <f t="shared" si="54"/>
        <v>6.4000000000000001E-2</v>
      </c>
      <c r="K56" s="541">
        <f t="shared" si="55"/>
        <v>0.06</v>
      </c>
    </row>
    <row r="57" spans="1:11" ht="12.75" thickBot="1">
      <c r="A57" s="532" t="s">
        <v>1329</v>
      </c>
      <c r="B57" s="542">
        <f t="shared" si="46"/>
        <v>0.02</v>
      </c>
      <c r="C57" s="543">
        <f t="shared" si="47"/>
        <v>2.1000000000000001E-2</v>
      </c>
      <c r="D57" s="543">
        <f t="shared" si="48"/>
        <v>2.5000000000000001E-2</v>
      </c>
      <c r="E57" s="543">
        <f t="shared" si="49"/>
        <v>2.5999999999999999E-2</v>
      </c>
      <c r="F57" s="543">
        <f t="shared" si="50"/>
        <v>0.03</v>
      </c>
      <c r="G57" s="543">
        <f t="shared" si="51"/>
        <v>2.5999999999999999E-2</v>
      </c>
      <c r="H57" s="543">
        <f t="shared" si="52"/>
        <v>2.5999999999999999E-2</v>
      </c>
      <c r="I57" s="543">
        <f t="shared" si="53"/>
        <v>3.3000000000000002E-2</v>
      </c>
      <c r="J57" s="543">
        <f t="shared" si="54"/>
        <v>3.2000000000000001E-2</v>
      </c>
      <c r="K57" s="544">
        <f t="shared" si="55"/>
        <v>0.03</v>
      </c>
    </row>
    <row r="58" spans="1:11">
      <c r="A58" s="531" t="s">
        <v>28</v>
      </c>
      <c r="B58" s="537">
        <f t="shared" si="46"/>
        <v>0.02</v>
      </c>
      <c r="C58" s="538">
        <f t="shared" si="47"/>
        <v>0.02</v>
      </c>
      <c r="D58" s="538">
        <f t="shared" si="48"/>
        <v>0.04</v>
      </c>
      <c r="E58" s="538">
        <f t="shared" si="49"/>
        <v>4.8000000000000001E-2</v>
      </c>
      <c r="F58" s="538">
        <f t="shared" si="50"/>
        <v>4.8000000000000001E-2</v>
      </c>
      <c r="G58" s="538">
        <f t="shared" si="51"/>
        <v>0.04</v>
      </c>
      <c r="H58" s="538">
        <f t="shared" si="52"/>
        <v>4.5999999999999999E-2</v>
      </c>
      <c r="I58" s="538">
        <f t="shared" si="53"/>
        <v>5.1999999999999998E-2</v>
      </c>
      <c r="J58" s="538">
        <f t="shared" si="54"/>
        <v>0</v>
      </c>
      <c r="K58" s="539">
        <f t="shared" si="55"/>
        <v>0</v>
      </c>
    </row>
    <row r="59" spans="1:11">
      <c r="A59" s="531" t="s">
        <v>12</v>
      </c>
      <c r="B59" s="540">
        <f t="shared" si="46"/>
        <v>3.2000000000000001E-2</v>
      </c>
      <c r="C59" s="534">
        <f t="shared" si="47"/>
        <v>3.2000000000000001E-2</v>
      </c>
      <c r="D59" s="534">
        <f t="shared" si="48"/>
        <v>6.4000000000000001E-2</v>
      </c>
      <c r="E59" s="534">
        <f t="shared" si="49"/>
        <v>7.6799999999999993E-2</v>
      </c>
      <c r="F59" s="534">
        <f t="shared" si="50"/>
        <v>7.6799999999999993E-2</v>
      </c>
      <c r="G59" s="534">
        <f t="shared" si="51"/>
        <v>6.4000000000000001E-2</v>
      </c>
      <c r="H59" s="534">
        <f t="shared" si="52"/>
        <v>7.3599999999999999E-2</v>
      </c>
      <c r="I59" s="534">
        <f t="shared" si="53"/>
        <v>8.3199999999999996E-2</v>
      </c>
      <c r="J59" s="534">
        <f t="shared" si="54"/>
        <v>0</v>
      </c>
      <c r="K59" s="541">
        <f t="shared" si="55"/>
        <v>0</v>
      </c>
    </row>
    <row r="60" spans="1:11">
      <c r="A60" s="531" t="s">
        <v>16</v>
      </c>
      <c r="B60" s="540">
        <f t="shared" si="46"/>
        <v>0.01</v>
      </c>
      <c r="C60" s="534">
        <f t="shared" si="47"/>
        <v>0.01</v>
      </c>
      <c r="D60" s="534">
        <f t="shared" si="48"/>
        <v>0.02</v>
      </c>
      <c r="E60" s="534">
        <f t="shared" si="49"/>
        <v>2.4E-2</v>
      </c>
      <c r="F60" s="534">
        <f t="shared" si="50"/>
        <v>2.4E-2</v>
      </c>
      <c r="G60" s="534">
        <f t="shared" si="51"/>
        <v>0.02</v>
      </c>
      <c r="H60" s="534">
        <f t="shared" si="52"/>
        <v>2.3E-2</v>
      </c>
      <c r="I60" s="534">
        <f t="shared" si="53"/>
        <v>2.5999999999999999E-2</v>
      </c>
      <c r="J60" s="534">
        <f t="shared" si="54"/>
        <v>0</v>
      </c>
      <c r="K60" s="541">
        <f t="shared" si="55"/>
        <v>0</v>
      </c>
    </row>
    <row r="61" spans="1:11">
      <c r="A61" s="531" t="s">
        <v>909</v>
      </c>
      <c r="B61" s="540">
        <f t="shared" si="46"/>
        <v>8.0000000000000002E-3</v>
      </c>
      <c r="C61" s="534">
        <f t="shared" si="47"/>
        <v>8.0000000000000002E-3</v>
      </c>
      <c r="D61" s="534">
        <f t="shared" si="48"/>
        <v>1.6E-2</v>
      </c>
      <c r="E61" s="534">
        <f t="shared" si="49"/>
        <v>1.9199999999999998E-2</v>
      </c>
      <c r="F61" s="534">
        <f t="shared" si="50"/>
        <v>1.9199999999999998E-2</v>
      </c>
      <c r="G61" s="534">
        <f t="shared" si="51"/>
        <v>1.6E-2</v>
      </c>
      <c r="H61" s="534">
        <f t="shared" si="52"/>
        <v>1.84E-2</v>
      </c>
      <c r="I61" s="534">
        <f t="shared" si="53"/>
        <v>2.0799999999999999E-2</v>
      </c>
      <c r="J61" s="534">
        <f t="shared" si="54"/>
        <v>0</v>
      </c>
      <c r="K61" s="541">
        <f t="shared" si="55"/>
        <v>0</v>
      </c>
    </row>
    <row r="62" spans="1:11">
      <c r="A62" s="531" t="s">
        <v>903</v>
      </c>
      <c r="B62" s="540">
        <f t="shared" si="46"/>
        <v>1.2E-2</v>
      </c>
      <c r="C62" s="534">
        <f t="shared" si="47"/>
        <v>1.2E-2</v>
      </c>
      <c r="D62" s="534">
        <f t="shared" si="48"/>
        <v>2.4E-2</v>
      </c>
      <c r="E62" s="534">
        <f t="shared" si="49"/>
        <v>2.8799999999999999E-2</v>
      </c>
      <c r="F62" s="534">
        <f t="shared" si="50"/>
        <v>2.8799999999999999E-2</v>
      </c>
      <c r="G62" s="534">
        <f t="shared" si="51"/>
        <v>2.4E-2</v>
      </c>
      <c r="H62" s="534">
        <f t="shared" si="52"/>
        <v>2.76E-2</v>
      </c>
      <c r="I62" s="534">
        <f t="shared" si="53"/>
        <v>3.1199999999999999E-2</v>
      </c>
      <c r="J62" s="534">
        <f t="shared" si="54"/>
        <v>0</v>
      </c>
      <c r="K62" s="541">
        <f t="shared" si="55"/>
        <v>0</v>
      </c>
    </row>
    <row r="63" spans="1:11">
      <c r="A63" s="531" t="s">
        <v>905</v>
      </c>
      <c r="B63" s="540">
        <f t="shared" si="46"/>
        <v>0.01</v>
      </c>
      <c r="C63" s="534">
        <f t="shared" si="47"/>
        <v>0.01</v>
      </c>
      <c r="D63" s="534">
        <f t="shared" si="48"/>
        <v>0.02</v>
      </c>
      <c r="E63" s="534">
        <f t="shared" si="49"/>
        <v>2.4E-2</v>
      </c>
      <c r="F63" s="534">
        <f t="shared" si="50"/>
        <v>2.4E-2</v>
      </c>
      <c r="G63" s="534">
        <f t="shared" si="51"/>
        <v>0.02</v>
      </c>
      <c r="H63" s="534">
        <f t="shared" si="52"/>
        <v>2.3E-2</v>
      </c>
      <c r="I63" s="534">
        <f t="shared" si="53"/>
        <v>2.5999999999999999E-2</v>
      </c>
      <c r="J63" s="534">
        <f t="shared" si="54"/>
        <v>0</v>
      </c>
      <c r="K63" s="541">
        <f t="shared" si="55"/>
        <v>0</v>
      </c>
    </row>
    <row r="64" spans="1:11" ht="12.75" thickBot="1">
      <c r="A64" s="532" t="s">
        <v>912</v>
      </c>
      <c r="B64" s="542">
        <f t="shared" si="46"/>
        <v>8.0000000000000002E-3</v>
      </c>
      <c r="C64" s="543">
        <f t="shared" si="47"/>
        <v>8.0000000000000002E-3</v>
      </c>
      <c r="D64" s="543">
        <f t="shared" si="48"/>
        <v>1.6E-2</v>
      </c>
      <c r="E64" s="543">
        <f t="shared" si="49"/>
        <v>1.9199999999999998E-2</v>
      </c>
      <c r="F64" s="543">
        <f t="shared" si="50"/>
        <v>1.9199999999999998E-2</v>
      </c>
      <c r="G64" s="543">
        <f t="shared" si="51"/>
        <v>1.6E-2</v>
      </c>
      <c r="H64" s="543">
        <f t="shared" si="52"/>
        <v>1.84E-2</v>
      </c>
      <c r="I64" s="543">
        <f t="shared" si="53"/>
        <v>2.0799999999999999E-2</v>
      </c>
      <c r="J64" s="543">
        <f t="shared" si="54"/>
        <v>0</v>
      </c>
      <c r="K64" s="544">
        <f t="shared" si="55"/>
        <v>0</v>
      </c>
    </row>
    <row r="65" spans="1:11" ht="12.75" thickBot="1">
      <c r="A65" s="550" t="s">
        <v>1333</v>
      </c>
      <c r="B65" s="547" t="s">
        <v>293</v>
      </c>
      <c r="C65" s="547" t="s">
        <v>33</v>
      </c>
      <c r="D65" s="547" t="s">
        <v>295</v>
      </c>
      <c r="E65" s="547" t="s">
        <v>30</v>
      </c>
      <c r="F65" s="547" t="s">
        <v>31</v>
      </c>
      <c r="G65" s="547" t="s">
        <v>32</v>
      </c>
      <c r="H65" s="548" t="s">
        <v>299</v>
      </c>
      <c r="I65" s="548" t="s">
        <v>300</v>
      </c>
      <c r="J65" s="547" t="s">
        <v>301</v>
      </c>
      <c r="K65" s="549" t="s">
        <v>302</v>
      </c>
    </row>
    <row r="66" spans="1:11">
      <c r="A66" s="533" t="s">
        <v>898</v>
      </c>
      <c r="B66" s="537">
        <f>B3</f>
        <v>-4.4999999999999998E-2</v>
      </c>
      <c r="C66" s="538">
        <f>D3</f>
        <v>-4.4999999999999998E-2</v>
      </c>
      <c r="D66" s="538">
        <f>F3</f>
        <v>-4.4999999999999998E-2</v>
      </c>
      <c r="E66" s="538">
        <f>H3</f>
        <v>-4.4999999999999998E-2</v>
      </c>
      <c r="F66" s="538">
        <f>J3</f>
        <v>-0.06</v>
      </c>
      <c r="G66" s="538">
        <f>L3</f>
        <v>-0.06</v>
      </c>
      <c r="H66" s="538">
        <f>N3</f>
        <v>-7.4999999999999997E-2</v>
      </c>
      <c r="I66" s="538">
        <f>P3</f>
        <v>-0.114</v>
      </c>
      <c r="J66" s="538">
        <f>R3</f>
        <v>-0.114</v>
      </c>
      <c r="K66" s="539">
        <f>T3</f>
        <v>-0.09</v>
      </c>
    </row>
    <row r="67" spans="1:11">
      <c r="A67" s="256" t="s">
        <v>12</v>
      </c>
      <c r="B67" s="540">
        <f t="shared" ref="B67:B94" si="56">B4</f>
        <v>-2.2499999999999999E-2</v>
      </c>
      <c r="C67" s="534">
        <f t="shared" ref="C67:C94" si="57">D4</f>
        <v>-2.2499999999999999E-2</v>
      </c>
      <c r="D67" s="534">
        <f t="shared" ref="D67:D94" si="58">F4</f>
        <v>-2.2499999999999999E-2</v>
      </c>
      <c r="E67" s="534">
        <f t="shared" ref="E67:E94" si="59">H4</f>
        <v>-2.2499999999999999E-2</v>
      </c>
      <c r="F67" s="534">
        <f t="shared" ref="F67:F94" si="60">J4</f>
        <v>-0.03</v>
      </c>
      <c r="G67" s="534">
        <f t="shared" ref="G67:G94" si="61">L4</f>
        <v>-0.03</v>
      </c>
      <c r="H67" s="534">
        <f t="shared" ref="H67:H94" si="62">N4</f>
        <v>-3.7499999999999999E-2</v>
      </c>
      <c r="I67" s="534">
        <f t="shared" ref="I67:I94" si="63">P4</f>
        <v>-5.7000000000000002E-2</v>
      </c>
      <c r="J67" s="534">
        <f t="shared" ref="J67:J94" si="64">R4</f>
        <v>-5.7000000000000002E-2</v>
      </c>
      <c r="K67" s="541">
        <f t="shared" ref="K67:K94" si="65">T4</f>
        <v>-4.4999999999999998E-2</v>
      </c>
    </row>
    <row r="68" spans="1:11">
      <c r="A68" s="256" t="s">
        <v>16</v>
      </c>
      <c r="B68" s="540">
        <f t="shared" si="56"/>
        <v>-1.4999999999999999E-2</v>
      </c>
      <c r="C68" s="534">
        <f t="shared" si="57"/>
        <v>-1.4999999999999999E-2</v>
      </c>
      <c r="D68" s="534">
        <f t="shared" si="58"/>
        <v>-1.4999999999999999E-2</v>
      </c>
      <c r="E68" s="534">
        <f t="shared" si="59"/>
        <v>-1.4999999999999999E-2</v>
      </c>
      <c r="F68" s="534">
        <f t="shared" si="60"/>
        <v>-0.02</v>
      </c>
      <c r="G68" s="534">
        <f t="shared" si="61"/>
        <v>-0.02</v>
      </c>
      <c r="H68" s="534">
        <f t="shared" si="62"/>
        <v>-2.5000000000000001E-2</v>
      </c>
      <c r="I68" s="534">
        <f t="shared" si="63"/>
        <v>-3.7999999999999999E-2</v>
      </c>
      <c r="J68" s="534">
        <f t="shared" si="64"/>
        <v>-3.7999999999999999E-2</v>
      </c>
      <c r="K68" s="541">
        <f t="shared" si="65"/>
        <v>-0.03</v>
      </c>
    </row>
    <row r="69" spans="1:11">
      <c r="A69" s="256" t="s">
        <v>901</v>
      </c>
      <c r="B69" s="540">
        <f t="shared" si="56"/>
        <v>-0.03</v>
      </c>
      <c r="C69" s="534">
        <f t="shared" si="57"/>
        <v>-0.03</v>
      </c>
      <c r="D69" s="534">
        <f t="shared" si="58"/>
        <v>-0.03</v>
      </c>
      <c r="E69" s="534">
        <f t="shared" si="59"/>
        <v>-0.03</v>
      </c>
      <c r="F69" s="534">
        <f t="shared" si="60"/>
        <v>-0.04</v>
      </c>
      <c r="G69" s="534">
        <f t="shared" si="61"/>
        <v>-0.04</v>
      </c>
      <c r="H69" s="534">
        <f t="shared" si="62"/>
        <v>-0.05</v>
      </c>
      <c r="I69" s="534">
        <f t="shared" si="63"/>
        <v>-7.5999999999999998E-2</v>
      </c>
      <c r="J69" s="534">
        <f t="shared" si="64"/>
        <v>-7.5999999999999998E-2</v>
      </c>
      <c r="K69" s="541">
        <f t="shared" si="65"/>
        <v>-0.06</v>
      </c>
    </row>
    <row r="70" spans="1:11">
      <c r="A70" s="256" t="s">
        <v>902</v>
      </c>
      <c r="B70" s="540">
        <f t="shared" si="56"/>
        <v>-1.4999999999999999E-2</v>
      </c>
      <c r="C70" s="534">
        <f t="shared" si="57"/>
        <v>-1.4999999999999999E-2</v>
      </c>
      <c r="D70" s="534">
        <f t="shared" si="58"/>
        <v>-1.4999999999999999E-2</v>
      </c>
      <c r="E70" s="534">
        <f t="shared" si="59"/>
        <v>-1.4999999999999999E-2</v>
      </c>
      <c r="F70" s="534">
        <f t="shared" si="60"/>
        <v>-0.02</v>
      </c>
      <c r="G70" s="534">
        <f t="shared" si="61"/>
        <v>-0.02</v>
      </c>
      <c r="H70" s="534">
        <f t="shared" si="62"/>
        <v>-2.5000000000000001E-2</v>
      </c>
      <c r="I70" s="534">
        <f t="shared" si="63"/>
        <v>-3.7999999999999999E-2</v>
      </c>
      <c r="J70" s="534">
        <f t="shared" si="64"/>
        <v>-3.7999999999999999E-2</v>
      </c>
      <c r="K70" s="541">
        <f t="shared" si="65"/>
        <v>-0.03</v>
      </c>
    </row>
    <row r="71" spans="1:11">
      <c r="A71" s="256" t="s">
        <v>903</v>
      </c>
      <c r="B71" s="540">
        <f t="shared" si="56"/>
        <v>-1.2E-2</v>
      </c>
      <c r="C71" s="534">
        <f t="shared" si="57"/>
        <v>-1.2E-2</v>
      </c>
      <c r="D71" s="534">
        <f t="shared" si="58"/>
        <v>-1.2E-2</v>
      </c>
      <c r="E71" s="534">
        <f t="shared" si="59"/>
        <v>-1.2E-2</v>
      </c>
      <c r="F71" s="534">
        <f t="shared" si="60"/>
        <v>-1.6E-2</v>
      </c>
      <c r="G71" s="534">
        <f t="shared" si="61"/>
        <v>-1.6E-2</v>
      </c>
      <c r="H71" s="534">
        <f t="shared" si="62"/>
        <v>-0.02</v>
      </c>
      <c r="I71" s="534">
        <f t="shared" si="63"/>
        <v>-3.04E-2</v>
      </c>
      <c r="J71" s="534">
        <f t="shared" si="64"/>
        <v>-3.04E-2</v>
      </c>
      <c r="K71" s="541">
        <f t="shared" si="65"/>
        <v>-2.4E-2</v>
      </c>
    </row>
    <row r="72" spans="1:11" ht="12.75" thickBot="1">
      <c r="A72" s="535" t="s">
        <v>905</v>
      </c>
      <c r="B72" s="542">
        <f t="shared" si="56"/>
        <v>-1.0500000000000001E-2</v>
      </c>
      <c r="C72" s="543">
        <f t="shared" si="57"/>
        <v>-1.0500000000000001E-2</v>
      </c>
      <c r="D72" s="543">
        <f t="shared" si="58"/>
        <v>-1.0500000000000001E-2</v>
      </c>
      <c r="E72" s="543">
        <f t="shared" si="59"/>
        <v>-1.0500000000000001E-2</v>
      </c>
      <c r="F72" s="543">
        <f t="shared" si="60"/>
        <v>-1.4E-2</v>
      </c>
      <c r="G72" s="543">
        <f t="shared" si="61"/>
        <v>-1.4E-2</v>
      </c>
      <c r="H72" s="543">
        <f t="shared" si="62"/>
        <v>-1.7500000000000002E-2</v>
      </c>
      <c r="I72" s="543">
        <f t="shared" si="63"/>
        <v>-2.6599999999999999E-2</v>
      </c>
      <c r="J72" s="543">
        <f t="shared" si="64"/>
        <v>-2.6599999999999999E-2</v>
      </c>
      <c r="K72" s="544">
        <f t="shared" si="65"/>
        <v>-2.1000000000000001E-2</v>
      </c>
    </row>
    <row r="73" spans="1:11">
      <c r="A73" s="530" t="s">
        <v>907</v>
      </c>
      <c r="B73" s="537">
        <f t="shared" si="56"/>
        <v>-0.04</v>
      </c>
      <c r="C73" s="538">
        <f t="shared" si="57"/>
        <v>-0.03</v>
      </c>
      <c r="D73" s="538">
        <f t="shared" si="58"/>
        <v>-0.03</v>
      </c>
      <c r="E73" s="538">
        <f t="shared" si="59"/>
        <v>-0.04</v>
      </c>
      <c r="F73" s="538">
        <f t="shared" si="60"/>
        <v>-3.5999999999999997E-2</v>
      </c>
      <c r="G73" s="538">
        <f t="shared" si="61"/>
        <v>-4.8000000000000001E-2</v>
      </c>
      <c r="H73" s="538">
        <f t="shared" si="62"/>
        <v>-0.04</v>
      </c>
      <c r="I73" s="538">
        <f t="shared" si="63"/>
        <v>-7.1999999999999995E-2</v>
      </c>
      <c r="J73" s="538">
        <f t="shared" si="64"/>
        <v>-0.08</v>
      </c>
      <c r="K73" s="539">
        <f t="shared" si="65"/>
        <v>-0.06</v>
      </c>
    </row>
    <row r="74" spans="1:11">
      <c r="A74" s="531" t="s">
        <v>12</v>
      </c>
      <c r="B74" s="540">
        <f t="shared" si="56"/>
        <v>-0.05</v>
      </c>
      <c r="C74" s="534">
        <f t="shared" si="57"/>
        <v>-3.7499999999999999E-2</v>
      </c>
      <c r="D74" s="534">
        <f t="shared" si="58"/>
        <v>-3.7499999999999999E-2</v>
      </c>
      <c r="E74" s="534">
        <f t="shared" si="59"/>
        <v>-0.05</v>
      </c>
      <c r="F74" s="534">
        <f t="shared" si="60"/>
        <v>-4.4999999999999998E-2</v>
      </c>
      <c r="G74" s="534">
        <f t="shared" si="61"/>
        <v>-0.06</v>
      </c>
      <c r="H74" s="534">
        <f t="shared" si="62"/>
        <v>-0.05</v>
      </c>
      <c r="I74" s="534">
        <f t="shared" si="63"/>
        <v>-0.09</v>
      </c>
      <c r="J74" s="534">
        <f t="shared" si="64"/>
        <v>-0.1</v>
      </c>
      <c r="K74" s="541">
        <f t="shared" si="65"/>
        <v>-7.4999999999999997E-2</v>
      </c>
    </row>
    <row r="75" spans="1:11">
      <c r="A75" s="531" t="s">
        <v>16</v>
      </c>
      <c r="B75" s="540">
        <f t="shared" si="56"/>
        <v>-0.02</v>
      </c>
      <c r="C75" s="534">
        <f t="shared" si="57"/>
        <v>-1.4999999999999999E-2</v>
      </c>
      <c r="D75" s="534">
        <f t="shared" si="58"/>
        <v>-1.4999999999999999E-2</v>
      </c>
      <c r="E75" s="534">
        <f t="shared" si="59"/>
        <v>-0.02</v>
      </c>
      <c r="F75" s="534">
        <f t="shared" si="60"/>
        <v>-1.7999999999999999E-2</v>
      </c>
      <c r="G75" s="534">
        <f t="shared" si="61"/>
        <v>-2.4E-2</v>
      </c>
      <c r="H75" s="534">
        <f t="shared" si="62"/>
        <v>-0.02</v>
      </c>
      <c r="I75" s="534">
        <f t="shared" si="63"/>
        <v>-3.5999999999999997E-2</v>
      </c>
      <c r="J75" s="534">
        <f t="shared" si="64"/>
        <v>-0.04</v>
      </c>
      <c r="K75" s="541">
        <f t="shared" si="65"/>
        <v>-0.03</v>
      </c>
    </row>
    <row r="76" spans="1:11">
      <c r="A76" s="531" t="s">
        <v>901</v>
      </c>
      <c r="B76" s="540">
        <f t="shared" si="56"/>
        <v>-0.02</v>
      </c>
      <c r="C76" s="534">
        <f t="shared" si="57"/>
        <v>-1.4999999999999999E-2</v>
      </c>
      <c r="D76" s="534">
        <f t="shared" si="58"/>
        <v>-1.4999999999999999E-2</v>
      </c>
      <c r="E76" s="534">
        <f t="shared" si="59"/>
        <v>-0.02</v>
      </c>
      <c r="F76" s="534">
        <f t="shared" si="60"/>
        <v>-1.7999999999999999E-2</v>
      </c>
      <c r="G76" s="534">
        <f t="shared" si="61"/>
        <v>-2.4E-2</v>
      </c>
      <c r="H76" s="534">
        <f t="shared" si="62"/>
        <v>-0.02</v>
      </c>
      <c r="I76" s="534">
        <f t="shared" si="63"/>
        <v>-3.5999999999999997E-2</v>
      </c>
      <c r="J76" s="534">
        <f t="shared" si="64"/>
        <v>-0.04</v>
      </c>
      <c r="K76" s="541">
        <f t="shared" si="65"/>
        <v>-0.03</v>
      </c>
    </row>
    <row r="77" spans="1:11">
      <c r="A77" s="531" t="s">
        <v>902</v>
      </c>
      <c r="B77" s="540">
        <f t="shared" si="56"/>
        <v>-0.03</v>
      </c>
      <c r="C77" s="534">
        <f t="shared" si="57"/>
        <v>-2.2499999999999999E-2</v>
      </c>
      <c r="D77" s="534">
        <f t="shared" si="58"/>
        <v>-2.2499999999999999E-2</v>
      </c>
      <c r="E77" s="534">
        <f t="shared" si="59"/>
        <v>-0.03</v>
      </c>
      <c r="F77" s="534">
        <f t="shared" si="60"/>
        <v>-2.7E-2</v>
      </c>
      <c r="G77" s="534">
        <f t="shared" si="61"/>
        <v>-3.5999999999999997E-2</v>
      </c>
      <c r="H77" s="534">
        <f t="shared" si="62"/>
        <v>-0.03</v>
      </c>
      <c r="I77" s="534">
        <f t="shared" si="63"/>
        <v>-5.3999999999999999E-2</v>
      </c>
      <c r="J77" s="534">
        <f t="shared" si="64"/>
        <v>-0.06</v>
      </c>
      <c r="K77" s="541">
        <f t="shared" si="65"/>
        <v>-4.4999999999999998E-2</v>
      </c>
    </row>
    <row r="78" spans="1:11">
      <c r="A78" s="531" t="s">
        <v>903</v>
      </c>
      <c r="B78" s="540">
        <f t="shared" si="56"/>
        <v>-1.6E-2</v>
      </c>
      <c r="C78" s="534">
        <f t="shared" si="57"/>
        <v>-1.2E-2</v>
      </c>
      <c r="D78" s="534">
        <f t="shared" si="58"/>
        <v>-1.2E-2</v>
      </c>
      <c r="E78" s="534">
        <f t="shared" si="59"/>
        <v>-1.6E-2</v>
      </c>
      <c r="F78" s="534">
        <f t="shared" si="60"/>
        <v>-1.44E-2</v>
      </c>
      <c r="G78" s="534">
        <f t="shared" si="61"/>
        <v>-1.9199999999999998E-2</v>
      </c>
      <c r="H78" s="534">
        <f t="shared" si="62"/>
        <v>-1.6E-2</v>
      </c>
      <c r="I78" s="534">
        <f t="shared" si="63"/>
        <v>-2.8799999999999999E-2</v>
      </c>
      <c r="J78" s="534">
        <f t="shared" si="64"/>
        <v>-3.2000000000000001E-2</v>
      </c>
      <c r="K78" s="541">
        <f t="shared" si="65"/>
        <v>-2.4E-2</v>
      </c>
    </row>
    <row r="79" spans="1:11" ht="12.75" thickBot="1">
      <c r="A79" s="532" t="s">
        <v>1328</v>
      </c>
      <c r="B79" s="542">
        <f t="shared" si="56"/>
        <v>-2.4E-2</v>
      </c>
      <c r="C79" s="543">
        <f t="shared" si="57"/>
        <v>-1.7999999999999999E-2</v>
      </c>
      <c r="D79" s="543">
        <f t="shared" si="58"/>
        <v>-1.7999999999999999E-2</v>
      </c>
      <c r="E79" s="543">
        <f t="shared" si="59"/>
        <v>-2.4E-2</v>
      </c>
      <c r="F79" s="543">
        <f t="shared" si="60"/>
        <v>-2.1600000000000001E-2</v>
      </c>
      <c r="G79" s="543">
        <f t="shared" si="61"/>
        <v>-2.8799999999999999E-2</v>
      </c>
      <c r="H79" s="543">
        <f t="shared" si="62"/>
        <v>-2.4E-2</v>
      </c>
      <c r="I79" s="543">
        <f t="shared" si="63"/>
        <v>-4.3200000000000002E-2</v>
      </c>
      <c r="J79" s="543">
        <f t="shared" si="64"/>
        <v>-4.8000000000000001E-2</v>
      </c>
      <c r="K79" s="544">
        <f t="shared" si="65"/>
        <v>-3.5999999999999997E-2</v>
      </c>
    </row>
    <row r="80" spans="1:11">
      <c r="A80" s="530" t="s">
        <v>17</v>
      </c>
      <c r="B80" s="537">
        <f t="shared" si="56"/>
        <v>-0.02</v>
      </c>
      <c r="C80" s="538">
        <f t="shared" si="57"/>
        <v>-2.1000000000000001E-2</v>
      </c>
      <c r="D80" s="538">
        <f t="shared" si="58"/>
        <v>-1.4999999999999999E-2</v>
      </c>
      <c r="E80" s="538">
        <f t="shared" si="59"/>
        <v>-1.7000000000000001E-2</v>
      </c>
      <c r="F80" s="538">
        <f t="shared" si="60"/>
        <v>-0.03</v>
      </c>
      <c r="G80" s="538">
        <f t="shared" si="61"/>
        <v>-2.5999999999999999E-2</v>
      </c>
      <c r="H80" s="538">
        <f t="shared" si="62"/>
        <v>-2.7E-2</v>
      </c>
      <c r="I80" s="538">
        <f t="shared" si="63"/>
        <v>-3.3000000000000002E-2</v>
      </c>
      <c r="J80" s="538">
        <f t="shared" si="64"/>
        <v>-3.5999999999999997E-2</v>
      </c>
      <c r="K80" s="539">
        <f t="shared" si="65"/>
        <v>-0.03</v>
      </c>
    </row>
    <row r="81" spans="1:11">
      <c r="A81" s="531" t="s">
        <v>12</v>
      </c>
      <c r="B81" s="540">
        <f t="shared" si="56"/>
        <v>-0.04</v>
      </c>
      <c r="C81" s="534">
        <f t="shared" si="57"/>
        <v>-4.2000000000000003E-2</v>
      </c>
      <c r="D81" s="534">
        <f t="shared" si="58"/>
        <v>-0.03</v>
      </c>
      <c r="E81" s="534">
        <f t="shared" si="59"/>
        <v>-3.4000000000000002E-2</v>
      </c>
      <c r="F81" s="534">
        <f t="shared" si="60"/>
        <v>-0.06</v>
      </c>
      <c r="G81" s="534">
        <f t="shared" si="61"/>
        <v>-5.1999999999999998E-2</v>
      </c>
      <c r="H81" s="534">
        <f t="shared" si="62"/>
        <v>-5.3999999999999999E-2</v>
      </c>
      <c r="I81" s="534">
        <f t="shared" si="63"/>
        <v>-6.6000000000000003E-2</v>
      </c>
      <c r="J81" s="534">
        <f t="shared" si="64"/>
        <v>-7.1999999999999995E-2</v>
      </c>
      <c r="K81" s="541">
        <f t="shared" si="65"/>
        <v>-0.06</v>
      </c>
    </row>
    <row r="82" spans="1:11">
      <c r="A82" s="531" t="s">
        <v>16</v>
      </c>
      <c r="B82" s="540">
        <f t="shared" si="56"/>
        <v>-0.02</v>
      </c>
      <c r="C82" s="534">
        <f t="shared" si="57"/>
        <v>-2.1000000000000001E-2</v>
      </c>
      <c r="D82" s="534">
        <f t="shared" si="58"/>
        <v>-1.4999999999999999E-2</v>
      </c>
      <c r="E82" s="534">
        <f t="shared" si="59"/>
        <v>-1.7000000000000001E-2</v>
      </c>
      <c r="F82" s="534">
        <f t="shared" si="60"/>
        <v>-0.03</v>
      </c>
      <c r="G82" s="534">
        <f t="shared" si="61"/>
        <v>-2.5999999999999999E-2</v>
      </c>
      <c r="H82" s="534">
        <f t="shared" si="62"/>
        <v>-2.7E-2</v>
      </c>
      <c r="I82" s="534">
        <f t="shared" si="63"/>
        <v>-3.3000000000000002E-2</v>
      </c>
      <c r="J82" s="534">
        <f t="shared" si="64"/>
        <v>-3.5999999999999997E-2</v>
      </c>
      <c r="K82" s="541">
        <f t="shared" si="65"/>
        <v>-0.03</v>
      </c>
    </row>
    <row r="83" spans="1:11">
      <c r="A83" s="531" t="s">
        <v>909</v>
      </c>
      <c r="B83" s="540">
        <f t="shared" si="56"/>
        <v>-0.02</v>
      </c>
      <c r="C83" s="534">
        <f t="shared" si="57"/>
        <v>-2.1000000000000001E-2</v>
      </c>
      <c r="D83" s="534">
        <f t="shared" si="58"/>
        <v>-1.4999999999999999E-2</v>
      </c>
      <c r="E83" s="534">
        <f t="shared" si="59"/>
        <v>-1.7000000000000001E-2</v>
      </c>
      <c r="F83" s="534">
        <f t="shared" si="60"/>
        <v>-0.03</v>
      </c>
      <c r="G83" s="534">
        <f t="shared" si="61"/>
        <v>-2.5999999999999999E-2</v>
      </c>
      <c r="H83" s="534">
        <f t="shared" si="62"/>
        <v>-2.7E-2</v>
      </c>
      <c r="I83" s="534">
        <f t="shared" si="63"/>
        <v>-3.3000000000000002E-2</v>
      </c>
      <c r="J83" s="534">
        <f t="shared" si="64"/>
        <v>-3.5999999999999997E-2</v>
      </c>
      <c r="K83" s="541">
        <f t="shared" si="65"/>
        <v>-0.03</v>
      </c>
    </row>
    <row r="84" spans="1:11">
      <c r="A84" s="531" t="s">
        <v>903</v>
      </c>
      <c r="B84" s="540">
        <f t="shared" si="56"/>
        <v>-1.6E-2</v>
      </c>
      <c r="C84" s="534">
        <f t="shared" si="57"/>
        <v>-1.6799999999999999E-2</v>
      </c>
      <c r="D84" s="534">
        <f t="shared" si="58"/>
        <v>-1.2E-2</v>
      </c>
      <c r="E84" s="534">
        <f t="shared" si="59"/>
        <v>-1.3599999999999999E-2</v>
      </c>
      <c r="F84" s="534">
        <f t="shared" si="60"/>
        <v>-2.4E-2</v>
      </c>
      <c r="G84" s="534">
        <f t="shared" si="61"/>
        <v>-2.0799999999999999E-2</v>
      </c>
      <c r="H84" s="534">
        <f t="shared" si="62"/>
        <v>-2.1600000000000001E-2</v>
      </c>
      <c r="I84" s="534">
        <f t="shared" si="63"/>
        <v>-2.64E-2</v>
      </c>
      <c r="J84" s="534">
        <f t="shared" si="64"/>
        <v>-2.8799999999999999E-2</v>
      </c>
      <c r="K84" s="541">
        <f t="shared" si="65"/>
        <v>-2.4E-2</v>
      </c>
    </row>
    <row r="85" spans="1:11">
      <c r="A85" s="531" t="s">
        <v>1328</v>
      </c>
      <c r="B85" s="540">
        <f t="shared" si="56"/>
        <v>-2.4E-2</v>
      </c>
      <c r="C85" s="534">
        <f t="shared" si="57"/>
        <v>-2.52E-2</v>
      </c>
      <c r="D85" s="534">
        <f t="shared" si="58"/>
        <v>-1.7999999999999999E-2</v>
      </c>
      <c r="E85" s="534">
        <f t="shared" si="59"/>
        <v>-2.0400000000000001E-2</v>
      </c>
      <c r="F85" s="534">
        <f t="shared" si="60"/>
        <v>-3.5999999999999997E-2</v>
      </c>
      <c r="G85" s="534">
        <f t="shared" si="61"/>
        <v>-3.1199999999999999E-2</v>
      </c>
      <c r="H85" s="534">
        <f t="shared" si="62"/>
        <v>-3.2399999999999998E-2</v>
      </c>
      <c r="I85" s="534">
        <f t="shared" si="63"/>
        <v>-3.9600000000000003E-2</v>
      </c>
      <c r="J85" s="534">
        <f t="shared" si="64"/>
        <v>-4.3200000000000002E-2</v>
      </c>
      <c r="K85" s="541">
        <f t="shared" si="65"/>
        <v>-3.5999999999999997E-2</v>
      </c>
    </row>
    <row r="86" spans="1:11">
      <c r="A86" s="531" t="s">
        <v>906</v>
      </c>
      <c r="B86" s="540">
        <f t="shared" si="56"/>
        <v>-0.04</v>
      </c>
      <c r="C86" s="534">
        <f t="shared" si="57"/>
        <v>-4.2000000000000003E-2</v>
      </c>
      <c r="D86" s="534">
        <f t="shared" si="58"/>
        <v>-0.03</v>
      </c>
      <c r="E86" s="534">
        <f t="shared" si="59"/>
        <v>-3.4000000000000002E-2</v>
      </c>
      <c r="F86" s="534">
        <f t="shared" si="60"/>
        <v>-0.06</v>
      </c>
      <c r="G86" s="534">
        <f t="shared" si="61"/>
        <v>-5.1999999999999998E-2</v>
      </c>
      <c r="H86" s="534">
        <f t="shared" si="62"/>
        <v>-5.3999999999999999E-2</v>
      </c>
      <c r="I86" s="534">
        <f t="shared" si="63"/>
        <v>-6.6000000000000003E-2</v>
      </c>
      <c r="J86" s="534">
        <f t="shared" si="64"/>
        <v>-7.1999999999999995E-2</v>
      </c>
      <c r="K86" s="541">
        <f t="shared" si="65"/>
        <v>-0.06</v>
      </c>
    </row>
    <row r="87" spans="1:11" ht="12.75" thickBot="1">
      <c r="A87" s="532" t="s">
        <v>1329</v>
      </c>
      <c r="B87" s="542">
        <f t="shared" si="56"/>
        <v>-0.02</v>
      </c>
      <c r="C87" s="543">
        <f t="shared" si="57"/>
        <v>-2.1000000000000001E-2</v>
      </c>
      <c r="D87" s="543">
        <f t="shared" si="58"/>
        <v>-1.4999999999999999E-2</v>
      </c>
      <c r="E87" s="543">
        <f t="shared" si="59"/>
        <v>-1.7000000000000001E-2</v>
      </c>
      <c r="F87" s="543">
        <f t="shared" si="60"/>
        <v>-0.03</v>
      </c>
      <c r="G87" s="543">
        <f t="shared" si="61"/>
        <v>-2.5999999999999999E-2</v>
      </c>
      <c r="H87" s="543">
        <f t="shared" si="62"/>
        <v>-2.7E-2</v>
      </c>
      <c r="I87" s="543">
        <f t="shared" si="63"/>
        <v>-3.3000000000000002E-2</v>
      </c>
      <c r="J87" s="543">
        <f t="shared" si="64"/>
        <v>-3.5999999999999997E-2</v>
      </c>
      <c r="K87" s="544">
        <f t="shared" si="65"/>
        <v>-0.03</v>
      </c>
    </row>
    <row r="88" spans="1:11">
      <c r="A88" s="531" t="s">
        <v>28</v>
      </c>
      <c r="B88" s="536">
        <f t="shared" si="56"/>
        <v>-0.02</v>
      </c>
      <c r="C88" s="536">
        <f t="shared" si="57"/>
        <v>-0.02</v>
      </c>
      <c r="D88" s="536">
        <f t="shared" si="58"/>
        <v>-0.04</v>
      </c>
      <c r="E88" s="536">
        <f t="shared" si="59"/>
        <v>-4.8000000000000001E-2</v>
      </c>
      <c r="F88" s="536">
        <f t="shared" si="60"/>
        <v>-0.05</v>
      </c>
      <c r="G88" s="536">
        <f t="shared" si="61"/>
        <v>-0.04</v>
      </c>
      <c r="H88" s="536">
        <f t="shared" si="62"/>
        <v>-4.5999999999999999E-2</v>
      </c>
      <c r="I88" s="536">
        <f t="shared" si="63"/>
        <v>-5.1999999999999998E-2</v>
      </c>
      <c r="J88" s="536">
        <f t="shared" si="64"/>
        <v>0</v>
      </c>
      <c r="K88" s="536">
        <f t="shared" si="65"/>
        <v>0</v>
      </c>
    </row>
    <row r="89" spans="1:11">
      <c r="A89" s="531" t="s">
        <v>12</v>
      </c>
      <c r="B89" s="534">
        <f t="shared" si="56"/>
        <v>-3.2000000000000001E-2</v>
      </c>
      <c r="C89" s="534">
        <f t="shared" si="57"/>
        <v>-3.2000000000000001E-2</v>
      </c>
      <c r="D89" s="534">
        <f t="shared" si="58"/>
        <v>-6.4000000000000001E-2</v>
      </c>
      <c r="E89" s="534">
        <f t="shared" si="59"/>
        <v>-7.6799999999999993E-2</v>
      </c>
      <c r="F89" s="534">
        <f t="shared" si="60"/>
        <v>-0.08</v>
      </c>
      <c r="G89" s="534">
        <f t="shared" si="61"/>
        <v>-6.4000000000000001E-2</v>
      </c>
      <c r="H89" s="534">
        <f t="shared" si="62"/>
        <v>-7.3599999999999999E-2</v>
      </c>
      <c r="I89" s="534">
        <f t="shared" si="63"/>
        <v>-8.3199999999999996E-2</v>
      </c>
      <c r="J89" s="534">
        <f t="shared" si="64"/>
        <v>0</v>
      </c>
      <c r="K89" s="534">
        <f t="shared" si="65"/>
        <v>0</v>
      </c>
    </row>
    <row r="90" spans="1:11">
      <c r="A90" s="531" t="s">
        <v>16</v>
      </c>
      <c r="B90" s="534">
        <f t="shared" si="56"/>
        <v>-0.01</v>
      </c>
      <c r="C90" s="534">
        <f t="shared" si="57"/>
        <v>-0.01</v>
      </c>
      <c r="D90" s="534">
        <f t="shared" si="58"/>
        <v>-0.02</v>
      </c>
      <c r="E90" s="534">
        <f t="shared" si="59"/>
        <v>-2.4E-2</v>
      </c>
      <c r="F90" s="534">
        <f t="shared" si="60"/>
        <v>-2.5000000000000001E-2</v>
      </c>
      <c r="G90" s="534">
        <f t="shared" si="61"/>
        <v>-0.02</v>
      </c>
      <c r="H90" s="534">
        <f t="shared" si="62"/>
        <v>-2.3E-2</v>
      </c>
      <c r="I90" s="534">
        <f t="shared" si="63"/>
        <v>-2.5999999999999999E-2</v>
      </c>
      <c r="J90" s="534">
        <f t="shared" si="64"/>
        <v>0</v>
      </c>
      <c r="K90" s="534">
        <f t="shared" si="65"/>
        <v>0</v>
      </c>
    </row>
    <row r="91" spans="1:11">
      <c r="A91" s="531" t="s">
        <v>909</v>
      </c>
      <c r="B91" s="534">
        <f t="shared" si="56"/>
        <v>-8.0000000000000002E-3</v>
      </c>
      <c r="C91" s="534">
        <f t="shared" si="57"/>
        <v>-8.0000000000000002E-3</v>
      </c>
      <c r="D91" s="534">
        <f t="shared" si="58"/>
        <v>-1.6E-2</v>
      </c>
      <c r="E91" s="534">
        <f t="shared" si="59"/>
        <v>-1.9199999999999998E-2</v>
      </c>
      <c r="F91" s="534">
        <f t="shared" si="60"/>
        <v>-0.02</v>
      </c>
      <c r="G91" s="534">
        <f t="shared" si="61"/>
        <v>-1.6E-2</v>
      </c>
      <c r="H91" s="534">
        <f t="shared" si="62"/>
        <v>-1.84E-2</v>
      </c>
      <c r="I91" s="534">
        <f t="shared" si="63"/>
        <v>-2.0799999999999999E-2</v>
      </c>
      <c r="J91" s="534">
        <f t="shared" si="64"/>
        <v>0</v>
      </c>
      <c r="K91" s="534">
        <f t="shared" si="65"/>
        <v>0</v>
      </c>
    </row>
    <row r="92" spans="1:11">
      <c r="A92" s="531" t="s">
        <v>903</v>
      </c>
      <c r="B92" s="534">
        <f t="shared" si="56"/>
        <v>-1.2E-2</v>
      </c>
      <c r="C92" s="534">
        <f t="shared" si="57"/>
        <v>-1.2E-2</v>
      </c>
      <c r="D92" s="534">
        <f t="shared" si="58"/>
        <v>-2.4E-2</v>
      </c>
      <c r="E92" s="534">
        <f t="shared" si="59"/>
        <v>-2.8799999999999999E-2</v>
      </c>
      <c r="F92" s="534">
        <f t="shared" si="60"/>
        <v>-0.03</v>
      </c>
      <c r="G92" s="534">
        <f t="shared" si="61"/>
        <v>-2.4E-2</v>
      </c>
      <c r="H92" s="534">
        <f t="shared" si="62"/>
        <v>-2.76E-2</v>
      </c>
      <c r="I92" s="534">
        <f t="shared" si="63"/>
        <v>-3.1199999999999999E-2</v>
      </c>
      <c r="J92" s="534">
        <f t="shared" si="64"/>
        <v>0</v>
      </c>
      <c r="K92" s="534">
        <f t="shared" si="65"/>
        <v>0</v>
      </c>
    </row>
    <row r="93" spans="1:11">
      <c r="A93" s="531" t="s">
        <v>905</v>
      </c>
      <c r="B93" s="534">
        <f t="shared" si="56"/>
        <v>-0.01</v>
      </c>
      <c r="C93" s="534">
        <f t="shared" si="57"/>
        <v>-0.01</v>
      </c>
      <c r="D93" s="534">
        <f t="shared" si="58"/>
        <v>-0.02</v>
      </c>
      <c r="E93" s="534">
        <f t="shared" si="59"/>
        <v>-2.4E-2</v>
      </c>
      <c r="F93" s="534">
        <f t="shared" si="60"/>
        <v>-2.5000000000000001E-2</v>
      </c>
      <c r="G93" s="534">
        <f t="shared" si="61"/>
        <v>-0.02</v>
      </c>
      <c r="H93" s="534">
        <f t="shared" si="62"/>
        <v>-2.3E-2</v>
      </c>
      <c r="I93" s="534">
        <f t="shared" si="63"/>
        <v>-2.5999999999999999E-2</v>
      </c>
      <c r="J93" s="534">
        <f t="shared" si="64"/>
        <v>0</v>
      </c>
      <c r="K93" s="534">
        <f t="shared" si="65"/>
        <v>0</v>
      </c>
    </row>
    <row r="94" spans="1:11" ht="12.75" thickBot="1">
      <c r="A94" s="532" t="s">
        <v>912</v>
      </c>
      <c r="B94" s="534">
        <f t="shared" si="56"/>
        <v>-8.0000000000000002E-3</v>
      </c>
      <c r="C94" s="534">
        <f t="shared" si="57"/>
        <v>-8.0000000000000002E-3</v>
      </c>
      <c r="D94" s="534">
        <f t="shared" si="58"/>
        <v>-1.6E-2</v>
      </c>
      <c r="E94" s="534">
        <f t="shared" si="59"/>
        <v>-1.9199999999999998E-2</v>
      </c>
      <c r="F94" s="534">
        <f t="shared" si="60"/>
        <v>-0.02</v>
      </c>
      <c r="G94" s="534">
        <f t="shared" si="61"/>
        <v>-1.6E-2</v>
      </c>
      <c r="H94" s="534">
        <f t="shared" si="62"/>
        <v>-1.84E-2</v>
      </c>
      <c r="I94" s="534">
        <f t="shared" si="63"/>
        <v>-2.0799999999999999E-2</v>
      </c>
      <c r="J94" s="534">
        <f t="shared" si="64"/>
        <v>0</v>
      </c>
      <c r="K94" s="534">
        <f t="shared" si="65"/>
        <v>0</v>
      </c>
    </row>
  </sheetData>
  <phoneticPr fontId="109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I19" sqref="I19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08" t="s">
        <v>1467</v>
      </c>
      <c r="B1" s="629"/>
      <c r="C1" s="1514" t="s">
        <v>1572</v>
      </c>
      <c r="D1" s="700" t="s">
        <v>1432</v>
      </c>
      <c r="E1" s="701"/>
      <c r="F1" s="702"/>
      <c r="G1" s="372"/>
      <c r="H1" s="372"/>
      <c r="I1" s="372"/>
      <c r="J1" s="373"/>
      <c r="AE1" s="477"/>
      <c r="AF1" s="477"/>
    </row>
    <row r="2" spans="1:36" ht="15.75">
      <c r="A2" s="711" t="s">
        <v>913</v>
      </c>
      <c r="B2" s="712" t="str">
        <f>IF(C1="求取熟地价",E27,IF(C1="求取毛地价",E29,"——"))</f>
        <v>——</v>
      </c>
      <c r="C2" s="964" t="s">
        <v>984</v>
      </c>
      <c r="D2" s="1961" t="s">
        <v>1437</v>
      </c>
      <c r="E2" s="1951" t="s">
        <v>1433</v>
      </c>
      <c r="F2" s="677" t="s">
        <v>1436</v>
      </c>
      <c r="G2" s="376"/>
      <c r="H2" s="376"/>
      <c r="I2" s="680"/>
      <c r="J2" s="704"/>
      <c r="AE2" s="477"/>
      <c r="AF2" s="477"/>
    </row>
    <row r="3" spans="1:36" ht="16.5" thickBot="1">
      <c r="A3" s="713" t="s">
        <v>1568</v>
      </c>
      <c r="B3" s="714">
        <f ca="1">IF(C1="求取熟地价",C27,ROUND((C15*B11+C18)*C22/B11,0))</f>
        <v>0</v>
      </c>
      <c r="C3" s="965" t="s">
        <v>917</v>
      </c>
      <c r="D3" s="1962"/>
      <c r="E3" s="1952"/>
      <c r="F3" s="677" t="s">
        <v>1447</v>
      </c>
      <c r="G3" s="376"/>
      <c r="H3" s="376"/>
      <c r="I3" s="680"/>
      <c r="J3" s="704"/>
      <c r="AE3" s="477"/>
      <c r="AF3" s="477"/>
    </row>
    <row r="4" spans="1:36" ht="16.5" thickBot="1">
      <c r="A4" s="709"/>
      <c r="B4" s="673"/>
      <c r="C4" s="710"/>
      <c r="D4" s="1962"/>
      <c r="E4" s="1952"/>
      <c r="F4" s="677" t="s">
        <v>1448</v>
      </c>
      <c r="G4" s="376"/>
      <c r="H4" s="376"/>
      <c r="I4" s="680"/>
      <c r="J4" s="704"/>
      <c r="AE4" s="477"/>
      <c r="AF4" s="477"/>
    </row>
    <row r="5" spans="1:36" ht="14.25">
      <c r="A5" s="715" t="s">
        <v>987</v>
      </c>
      <c r="B5" s="967" t="str">
        <f>'主表(商业）'!B12</f>
        <v>商业</v>
      </c>
      <c r="C5" s="719"/>
      <c r="D5" s="1963"/>
      <c r="E5" s="1953"/>
      <c r="F5" s="677" t="s">
        <v>1449</v>
      </c>
      <c r="G5" s="376"/>
      <c r="H5" s="376"/>
      <c r="I5" s="680"/>
      <c r="J5" s="704"/>
      <c r="AE5" s="477"/>
      <c r="AF5" s="477"/>
    </row>
    <row r="6" spans="1:36" ht="14.25">
      <c r="A6" s="716" t="s">
        <v>1445</v>
      </c>
      <c r="B6" s="1340"/>
      <c r="C6" s="719"/>
      <c r="D6" s="1961" t="s">
        <v>1438</v>
      </c>
      <c r="E6" s="1951" t="s">
        <v>1434</v>
      </c>
      <c r="F6" s="677" t="s">
        <v>1450</v>
      </c>
      <c r="G6" s="376"/>
      <c r="H6" s="376"/>
      <c r="I6" s="680"/>
      <c r="J6" s="704"/>
      <c r="AE6" s="477"/>
      <c r="AF6" s="477"/>
    </row>
    <row r="7" spans="1:36" ht="14.25">
      <c r="A7" s="1373" t="s">
        <v>1446</v>
      </c>
      <c r="B7" s="1374" t="str">
        <f>LEFT('主表(商业）'!B10,1)&amp;"类"</f>
        <v>四类</v>
      </c>
      <c r="C7" s="719"/>
      <c r="D7" s="1962"/>
      <c r="E7" s="1952"/>
      <c r="F7" s="677" t="s">
        <v>1451</v>
      </c>
      <c r="G7" s="376"/>
      <c r="H7" s="376"/>
      <c r="I7" s="680"/>
      <c r="J7" s="704"/>
      <c r="AE7" s="477"/>
      <c r="AF7" s="477"/>
    </row>
    <row r="8" spans="1:36" ht="15">
      <c r="A8" s="716" t="s">
        <v>1573</v>
      </c>
      <c r="B8" s="1406"/>
      <c r="C8" s="719"/>
      <c r="D8" s="1963"/>
      <c r="E8" s="1953"/>
      <c r="F8" s="677" t="s">
        <v>1452</v>
      </c>
      <c r="G8" s="376"/>
      <c r="H8" s="376"/>
      <c r="I8" s="680"/>
      <c r="J8" s="704"/>
      <c r="AE8" s="477"/>
      <c r="AF8" s="477"/>
    </row>
    <row r="9" spans="1:36" ht="15">
      <c r="A9" s="716" t="s">
        <v>1184</v>
      </c>
      <c r="B9" s="717">
        <f>'主表(商业）'!B7</f>
        <v>72550.03</v>
      </c>
      <c r="C9" s="719"/>
      <c r="D9" s="703" t="s">
        <v>1439</v>
      </c>
      <c r="E9" s="679" t="s">
        <v>1415</v>
      </c>
      <c r="F9" s="677" t="s">
        <v>1453</v>
      </c>
      <c r="G9" s="376"/>
      <c r="H9" s="376"/>
      <c r="I9" s="680"/>
      <c r="J9" s="704"/>
      <c r="AE9" s="477"/>
      <c r="AF9" s="477"/>
    </row>
    <row r="10" spans="1:36" ht="15">
      <c r="A10" s="716" t="s">
        <v>1354</v>
      </c>
      <c r="B10" s="717">
        <f>'主表(商业）'!B6</f>
        <v>8185.16</v>
      </c>
      <c r="C10" s="719"/>
      <c r="D10" s="1961" t="s">
        <v>1416</v>
      </c>
      <c r="E10" s="1951" t="s">
        <v>1435</v>
      </c>
      <c r="F10" s="677" t="s">
        <v>1454</v>
      </c>
      <c r="G10" s="376"/>
      <c r="H10" s="376"/>
      <c r="I10" s="680"/>
      <c r="J10" s="704"/>
      <c r="AE10" s="477"/>
      <c r="AF10" s="477"/>
    </row>
    <row r="11" spans="1:36" ht="15.75" thickBot="1">
      <c r="A11" s="1490" t="s">
        <v>1227</v>
      </c>
      <c r="B11" s="718">
        <f>IF(A11="容积率",'主表(商业）'!B8,'主表(商业）'!B9)</f>
        <v>8.86</v>
      </c>
      <c r="C11" s="719"/>
      <c r="D11" s="1964"/>
      <c r="E11" s="1954"/>
      <c r="F11" s="705" t="s">
        <v>1455</v>
      </c>
      <c r="G11" s="383"/>
      <c r="H11" s="383"/>
      <c r="I11" s="706"/>
      <c r="J11" s="707"/>
      <c r="AE11" s="477"/>
      <c r="AF11" s="477"/>
    </row>
    <row r="12" spans="1:36" ht="15" thickBot="1">
      <c r="A12" s="688"/>
      <c r="B12" s="688"/>
      <c r="C12" s="688"/>
      <c r="D12" s="688"/>
      <c r="E12" s="688"/>
      <c r="F12" s="688"/>
      <c r="G12" s="689"/>
      <c r="H12" s="674"/>
      <c r="I12" s="675"/>
      <c r="J12" s="690"/>
      <c r="AE12" s="477"/>
      <c r="AF12" s="477"/>
    </row>
    <row r="13" spans="1:36" ht="15" thickBot="1">
      <c r="A13" s="697" t="s">
        <v>1462</v>
      </c>
      <c r="B13" s="698"/>
      <c r="C13" s="699" t="s">
        <v>1463</v>
      </c>
      <c r="D13" s="966" t="s">
        <v>1304</v>
      </c>
      <c r="E13" s="967" t="s">
        <v>1456</v>
      </c>
      <c r="F13" s="361"/>
      <c r="G13" s="361"/>
      <c r="H13" s="674"/>
      <c r="I13" s="675"/>
      <c r="J13" s="366"/>
      <c r="AE13" s="477"/>
      <c r="AF13" s="477"/>
    </row>
    <row r="14" spans="1:36" s="369" customFormat="1" ht="16.5" thickBot="1">
      <c r="A14" s="1379" t="s">
        <v>918</v>
      </c>
      <c r="B14" s="1380" t="s">
        <v>1440</v>
      </c>
      <c r="C14" s="1381"/>
      <c r="D14" s="1382">
        <f>SUMPRODUCT((D35:M35=B7)*(B36:B39=B6)*(D36:M39))</f>
        <v>0</v>
      </c>
      <c r="E14" s="1383">
        <f>SUMPRODUCT((D35:M35=B7)*(B40:B43=B6)*(D40:M43))</f>
        <v>0</v>
      </c>
      <c r="F14" s="361"/>
      <c r="G14" s="361"/>
      <c r="H14" s="674"/>
      <c r="I14" s="675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316" t="s">
        <v>1459</v>
      </c>
      <c r="B15" s="1375" t="s">
        <v>1424</v>
      </c>
      <c r="C15" s="1376">
        <f>IF(B5="住宅/居住",C16+C17,C16)</f>
        <v>0</v>
      </c>
      <c r="D15" s="1377"/>
      <c r="E15" s="1378"/>
      <c r="F15" s="361"/>
      <c r="G15" s="361"/>
      <c r="H15" s="674"/>
      <c r="I15" s="675"/>
      <c r="J15" s="366"/>
      <c r="AE15" s="477"/>
      <c r="AF15" s="477"/>
    </row>
    <row r="16" spans="1:36" ht="15.75">
      <c r="A16" s="969">
        <v>1</v>
      </c>
      <c r="B16" s="764" t="s">
        <v>1441</v>
      </c>
      <c r="C16" s="1341"/>
      <c r="D16" s="635">
        <f>SUMPRODUCT((D35:M35=B7)*(B44:B46=B16)*(D44:M46))</f>
        <v>460</v>
      </c>
      <c r="E16" s="638">
        <f>SUMPRODUCT((D35:M35=B7)*(B47:B49=B16)*(D47:M49))</f>
        <v>800</v>
      </c>
      <c r="F16" s="361"/>
      <c r="G16" s="361"/>
      <c r="H16" s="674"/>
      <c r="I16" s="675"/>
      <c r="J16" s="366"/>
      <c r="AE16" s="477"/>
      <c r="AF16" s="477"/>
    </row>
    <row r="17" spans="1:37" ht="15.75" customHeight="1" thickBot="1">
      <c r="A17" s="969">
        <v>2</v>
      </c>
      <c r="B17" s="764" t="s">
        <v>1442</v>
      </c>
      <c r="C17" s="1341"/>
      <c r="D17" s="1382">
        <f>SUMPRODUCT((D35:M35=B7)*(B44:B46=B17)*(D44:M46))</f>
        <v>150</v>
      </c>
      <c r="E17" s="1383">
        <f>SUMPRODUCT((D35:M35=B7)*(B47:B49=B17)*(D47:M49))</f>
        <v>400</v>
      </c>
      <c r="F17" s="760" t="s">
        <v>1577</v>
      </c>
      <c r="G17" s="361"/>
      <c r="H17" s="674"/>
      <c r="I17" s="675"/>
      <c r="J17" s="366"/>
      <c r="AE17" s="477"/>
      <c r="AF17" s="477"/>
    </row>
    <row r="18" spans="1:37" ht="16.5" thickTop="1" thickBot="1">
      <c r="A18" s="1416" t="s">
        <v>1460</v>
      </c>
      <c r="B18" s="1417" t="s">
        <v>1444</v>
      </c>
      <c r="C18" s="1418">
        <f>IF(B8="城镇拆迁",C19*IF(F19="居民住宅",1,IF(F19="企业事业单位",2,4)),C20)</f>
        <v>0</v>
      </c>
      <c r="D18" s="1419"/>
      <c r="E18" s="1420"/>
      <c r="F18" s="361"/>
      <c r="G18" s="361"/>
      <c r="H18" s="674"/>
      <c r="I18" s="675"/>
      <c r="J18" s="366"/>
      <c r="AE18" s="477"/>
      <c r="AF18" s="477"/>
    </row>
    <row r="19" spans="1:37" ht="15.75">
      <c r="A19" s="1413"/>
      <c r="B19" s="1414" t="s">
        <v>1443</v>
      </c>
      <c r="C19" s="1415"/>
      <c r="D19" s="649">
        <f>SUMPRODUCT((D35:M35=B7)*(B44:B46=B19)*(D44:M46))</f>
        <v>5900</v>
      </c>
      <c r="E19" s="649">
        <f>SUMPRODUCT((D35:M35=B7)*(B47:B49=B19)*(D47:M49))</f>
        <v>7800</v>
      </c>
      <c r="F19" s="1404" t="s">
        <v>1461</v>
      </c>
      <c r="G19" s="361"/>
      <c r="H19" s="674"/>
      <c r="I19" s="675"/>
      <c r="J19" s="366"/>
      <c r="AE19" s="477"/>
      <c r="AF19" s="477"/>
    </row>
    <row r="20" spans="1:37" ht="15.75" thickBot="1">
      <c r="A20" s="1403"/>
      <c r="B20" s="1400" t="s">
        <v>1576</v>
      </c>
      <c r="C20" s="1401"/>
      <c r="D20" s="1402">
        <f>SUMPRODUCT((D35:M35=B7)*(B50:B51=F20)*(D50:M51))</f>
        <v>150</v>
      </c>
      <c r="E20" s="1382">
        <f>SUMPRODUCT((D35:M35=B7)*(B52:B53=F20)*(D52:M53))</f>
        <v>450</v>
      </c>
      <c r="F20" s="1405" t="s">
        <v>1429</v>
      </c>
      <c r="G20" s="361"/>
      <c r="H20" s="674"/>
      <c r="I20" s="675"/>
      <c r="J20" s="366"/>
      <c r="AE20" s="477"/>
      <c r="AF20" s="477"/>
    </row>
    <row r="21" spans="1:37" ht="17.25" thickTop="1" thickBot="1">
      <c r="A21" s="1388" t="s">
        <v>1574</v>
      </c>
      <c r="B21" s="1389" t="s">
        <v>941</v>
      </c>
      <c r="C21" s="1390">
        <f>IF(B11&lt;1,1,SUMIF(B55:K55,ROUNDDOWN(B11,0),B56:K56)+(SUMIF(B55:K55,ROUNDUP(B11,0),B56:K56)-SUMIF(B55:K55,ROUNDDOWN(B11,0),B56:K56))*(B11-ROUNDDOWN(B11,0)))</f>
        <v>6.9019999999999992</v>
      </c>
      <c r="D21" s="1391"/>
      <c r="E21" s="1392"/>
      <c r="F21" s="361"/>
      <c r="G21" s="361"/>
      <c r="H21" s="674"/>
      <c r="I21" s="675"/>
      <c r="J21" s="366"/>
      <c r="AE21" s="477"/>
      <c r="AF21" s="477"/>
    </row>
    <row r="22" spans="1:37" ht="16.5" thickTop="1">
      <c r="A22" s="1384" t="s">
        <v>1575</v>
      </c>
      <c r="B22" s="1375" t="s">
        <v>202</v>
      </c>
      <c r="C22" s="1385">
        <f ca="1">ROUND(POWER(1+C23,C25-C24)*(POWER(1+C23,C24)-1)/(POWER(1+C23,C25)-1),4)</f>
        <v>0.91839999999999999</v>
      </c>
      <c r="D22" s="1386"/>
      <c r="E22" s="1387"/>
      <c r="F22" s="361"/>
      <c r="G22" s="361"/>
      <c r="H22" s="674"/>
      <c r="I22" s="675"/>
      <c r="J22" s="366"/>
      <c r="AE22" s="477"/>
      <c r="AF22" s="477"/>
    </row>
    <row r="23" spans="1:37" ht="15">
      <c r="A23" s="745"/>
      <c r="B23" s="687" t="s">
        <v>939</v>
      </c>
      <c r="C23" s="686">
        <f ca="1">AVERAGE(存贷款利率!G3,存贷款利率!I3)</f>
        <v>5.8250000000000003E-2</v>
      </c>
      <c r="D23" s="636"/>
      <c r="E23" s="637"/>
      <c r="F23" s="361"/>
      <c r="G23" s="361"/>
      <c r="H23" s="674"/>
      <c r="I23" s="675"/>
      <c r="J23" s="366"/>
      <c r="AE23" s="477"/>
      <c r="AF23" s="477"/>
    </row>
    <row r="24" spans="1:37" ht="15">
      <c r="A24" s="745"/>
      <c r="B24" s="1338" t="s">
        <v>1651</v>
      </c>
      <c r="C24" s="635">
        <f>IF(B24="剩余土地使用年限",'主表(商业）'!B15,'主表(商业）'!B16)</f>
        <v>30.59</v>
      </c>
      <c r="D24" s="636"/>
      <c r="E24" s="637"/>
      <c r="F24" s="361"/>
      <c r="G24" s="361"/>
      <c r="H24" s="674"/>
      <c r="I24" s="675"/>
      <c r="J24" s="366"/>
      <c r="AE24" s="477"/>
      <c r="AF24" s="477"/>
    </row>
    <row r="25" spans="1:37" ht="15.75" thickBot="1">
      <c r="A25" s="1396"/>
      <c r="B25" s="1397" t="s">
        <v>1458</v>
      </c>
      <c r="C25" s="1382">
        <f>IF(B5="住宅/居住",70,IF(B5="商业",40,50))</f>
        <v>40</v>
      </c>
      <c r="D25" s="1398"/>
      <c r="E25" s="1399"/>
      <c r="F25" s="361"/>
      <c r="G25" s="361"/>
      <c r="H25" s="674"/>
      <c r="I25" s="675"/>
      <c r="J25" s="366"/>
      <c r="AE25" s="477"/>
      <c r="AF25" s="477"/>
    </row>
    <row r="26" spans="1:37" ht="15" thickTop="1">
      <c r="A26" s="1317" t="s">
        <v>943</v>
      </c>
      <c r="B26" s="1393" t="s">
        <v>946</v>
      </c>
      <c r="C26" s="1394" t="s">
        <v>950</v>
      </c>
      <c r="D26" s="1394" t="s">
        <v>1353</v>
      </c>
      <c r="E26" s="1395" t="s">
        <v>959</v>
      </c>
      <c r="F26" s="691"/>
      <c r="G26" s="632"/>
      <c r="H26" s="632"/>
      <c r="I26" s="632"/>
      <c r="J26" s="633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943" t="s">
        <v>1351</v>
      </c>
      <c r="B27" s="777" t="s">
        <v>1338</v>
      </c>
      <c r="C27" s="635">
        <f>ROUND(C28/B11,0)</f>
        <v>0</v>
      </c>
      <c r="D27" s="644">
        <f>B9</f>
        <v>72550.03</v>
      </c>
      <c r="E27" s="645">
        <f>ROUND(C27*D27,0)</f>
        <v>0</v>
      </c>
      <c r="F27" s="646"/>
      <c r="G27" s="647"/>
      <c r="H27" s="647"/>
      <c r="I27" s="647"/>
      <c r="J27" s="648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944"/>
      <c r="B28" s="782" t="s">
        <v>1341</v>
      </c>
      <c r="C28" s="635">
        <f>IF('主表(商业）'!B4&lt;DATE(2002,12,10),ROUND(C14*C21*C22+C15*B11+C18,0),0)</f>
        <v>0</v>
      </c>
      <c r="D28" s="644">
        <f>B10</f>
        <v>8185.16</v>
      </c>
      <c r="E28" s="645">
        <f>ROUND(C28*D28,0)</f>
        <v>0</v>
      </c>
      <c r="F28" s="646"/>
      <c r="G28" s="647"/>
      <c r="H28" s="647"/>
      <c r="I28" s="647"/>
      <c r="J28" s="648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945" t="s">
        <v>1464</v>
      </c>
      <c r="B29" s="764" t="s">
        <v>1465</v>
      </c>
      <c r="C29" s="649">
        <f>ROUND(C30/B11,0)</f>
        <v>0</v>
      </c>
      <c r="D29" s="650">
        <f>B9</f>
        <v>72550.03</v>
      </c>
      <c r="E29" s="651">
        <f>ROUND(C29*D29,0)</f>
        <v>0</v>
      </c>
      <c r="F29" s="646"/>
      <c r="G29" s="647"/>
      <c r="H29" s="647"/>
      <c r="I29" s="647"/>
      <c r="J29" s="648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957"/>
      <c r="B30" s="968" t="s">
        <v>1466</v>
      </c>
      <c r="C30" s="640">
        <f>IF('主表(商业）'!B4&lt;DATE(2002,12,10),ROUND(C14*C21*C22+C15*B11,0),0)</f>
        <v>0</v>
      </c>
      <c r="D30" s="692">
        <f>B10</f>
        <v>8185.16</v>
      </c>
      <c r="E30" s="693">
        <f t="shared" ref="E30" si="0">ROUND(C30*D30,0)</f>
        <v>0</v>
      </c>
      <c r="F30" s="694"/>
      <c r="G30" s="695"/>
      <c r="H30" s="695"/>
      <c r="I30" s="695"/>
      <c r="J30" s="696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24"/>
      <c r="D32" s="624"/>
      <c r="E32" s="624"/>
      <c r="F32" s="624"/>
      <c r="G32" s="624"/>
      <c r="H32" s="624"/>
      <c r="I32" s="624"/>
      <c r="J32" s="624"/>
      <c r="K32" s="625"/>
      <c r="L32" s="626"/>
      <c r="M32" s="626"/>
      <c r="N32" s="626"/>
      <c r="O32" s="626"/>
      <c r="P32" s="626"/>
      <c r="Q32" s="626"/>
      <c r="R32" s="626"/>
      <c r="S32" s="626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76"/>
      <c r="B35" s="676" t="s">
        <v>1404</v>
      </c>
      <c r="C35" s="676"/>
      <c r="D35" s="676" t="s">
        <v>1405</v>
      </c>
      <c r="E35" s="676" t="s">
        <v>1406</v>
      </c>
      <c r="F35" s="676" t="s">
        <v>1407</v>
      </c>
      <c r="G35" s="676" t="s">
        <v>1408</v>
      </c>
      <c r="H35" s="676" t="s">
        <v>1409</v>
      </c>
      <c r="I35" s="676" t="s">
        <v>1410</v>
      </c>
      <c r="J35" s="676" t="s">
        <v>1411</v>
      </c>
      <c r="K35" s="676" t="s">
        <v>1412</v>
      </c>
      <c r="L35" s="676" t="s">
        <v>1413</v>
      </c>
      <c r="M35" s="676" t="s">
        <v>1414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955" t="s">
        <v>1417</v>
      </c>
      <c r="B36" s="971" t="s">
        <v>1418</v>
      </c>
      <c r="C36" s="972" t="s">
        <v>1419</v>
      </c>
      <c r="D36" s="973">
        <v>3200</v>
      </c>
      <c r="E36" s="973">
        <v>2400</v>
      </c>
      <c r="F36" s="973">
        <v>2000</v>
      </c>
      <c r="G36" s="973">
        <v>1500</v>
      </c>
      <c r="H36" s="973">
        <v>1000</v>
      </c>
      <c r="I36" s="973">
        <v>500</v>
      </c>
      <c r="J36" s="973">
        <v>400</v>
      </c>
      <c r="K36" s="973">
        <v>70</v>
      </c>
      <c r="L36" s="973">
        <v>50</v>
      </c>
      <c r="M36" s="974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956"/>
      <c r="B37" s="975" t="s">
        <v>1421</v>
      </c>
      <c r="C37" s="976" t="s">
        <v>1419</v>
      </c>
      <c r="D37" s="675">
        <v>3000</v>
      </c>
      <c r="E37" s="675">
        <v>2200</v>
      </c>
      <c r="F37" s="675">
        <v>1800</v>
      </c>
      <c r="G37" s="675">
        <v>1400</v>
      </c>
      <c r="H37" s="675">
        <v>1000</v>
      </c>
      <c r="I37" s="675">
        <v>500</v>
      </c>
      <c r="J37" s="675">
        <v>300</v>
      </c>
      <c r="K37" s="675">
        <v>70</v>
      </c>
      <c r="L37" s="675">
        <v>40</v>
      </c>
      <c r="M37" s="977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956"/>
      <c r="B38" s="975" t="s">
        <v>1422</v>
      </c>
      <c r="C38" s="976" t="s">
        <v>1419</v>
      </c>
      <c r="D38" s="675">
        <v>2000</v>
      </c>
      <c r="E38" s="675">
        <v>1500</v>
      </c>
      <c r="F38" s="675">
        <v>1000</v>
      </c>
      <c r="G38" s="675">
        <v>800</v>
      </c>
      <c r="H38" s="675">
        <v>600</v>
      </c>
      <c r="I38" s="675">
        <v>400</v>
      </c>
      <c r="J38" s="675">
        <v>150</v>
      </c>
      <c r="K38" s="675">
        <v>50</v>
      </c>
      <c r="L38" s="675">
        <v>30</v>
      </c>
      <c r="M38" s="977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956"/>
      <c r="B39" s="978" t="s">
        <v>1423</v>
      </c>
      <c r="C39" s="979" t="s">
        <v>1419</v>
      </c>
      <c r="D39" s="980">
        <v>320</v>
      </c>
      <c r="E39" s="980">
        <v>240</v>
      </c>
      <c r="F39" s="980">
        <v>180</v>
      </c>
      <c r="G39" s="980">
        <v>140</v>
      </c>
      <c r="H39" s="980">
        <v>100</v>
      </c>
      <c r="I39" s="980">
        <v>70</v>
      </c>
      <c r="J39" s="980">
        <v>30</v>
      </c>
      <c r="K39" s="980">
        <v>25</v>
      </c>
      <c r="L39" s="980">
        <v>20</v>
      </c>
      <c r="M39" s="981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956"/>
      <c r="B40" s="971" t="s">
        <v>1418</v>
      </c>
      <c r="C40" s="972" t="s">
        <v>1420</v>
      </c>
      <c r="D40" s="675">
        <v>5400</v>
      </c>
      <c r="E40" s="675">
        <v>3200</v>
      </c>
      <c r="F40" s="675">
        <v>2400</v>
      </c>
      <c r="G40" s="675">
        <v>2000</v>
      </c>
      <c r="H40" s="675">
        <v>1500</v>
      </c>
      <c r="I40" s="675">
        <v>1000</v>
      </c>
      <c r="J40" s="675">
        <v>500</v>
      </c>
      <c r="K40" s="675">
        <v>400</v>
      </c>
      <c r="L40" s="675">
        <v>70</v>
      </c>
      <c r="M40" s="977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956"/>
      <c r="B41" s="975" t="s">
        <v>1421</v>
      </c>
      <c r="C41" s="976" t="s">
        <v>1420</v>
      </c>
      <c r="D41" s="675">
        <v>4600</v>
      </c>
      <c r="E41" s="675">
        <v>3000</v>
      </c>
      <c r="F41" s="675">
        <v>2200</v>
      </c>
      <c r="G41" s="675">
        <v>1800</v>
      </c>
      <c r="H41" s="675">
        <v>1400</v>
      </c>
      <c r="I41" s="675">
        <v>1000</v>
      </c>
      <c r="J41" s="675">
        <v>500</v>
      </c>
      <c r="K41" s="675">
        <v>300</v>
      </c>
      <c r="L41" s="675">
        <v>70</v>
      </c>
      <c r="M41" s="675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956"/>
      <c r="B42" s="975" t="s">
        <v>1422</v>
      </c>
      <c r="C42" s="976" t="s">
        <v>1420</v>
      </c>
      <c r="D42" s="675">
        <v>2700</v>
      </c>
      <c r="E42" s="675">
        <v>2000</v>
      </c>
      <c r="F42" s="675">
        <v>1500</v>
      </c>
      <c r="G42" s="675">
        <v>1000</v>
      </c>
      <c r="H42" s="675">
        <v>800</v>
      </c>
      <c r="I42" s="675">
        <v>600</v>
      </c>
      <c r="J42" s="675">
        <v>400</v>
      </c>
      <c r="K42" s="675">
        <v>150</v>
      </c>
      <c r="L42" s="675">
        <v>50</v>
      </c>
      <c r="M42" s="675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956"/>
      <c r="B43" s="978" t="s">
        <v>1423</v>
      </c>
      <c r="C43" s="979" t="s">
        <v>1420</v>
      </c>
      <c r="D43" s="675">
        <v>540</v>
      </c>
      <c r="E43" s="675">
        <v>320</v>
      </c>
      <c r="F43" s="675">
        <v>240</v>
      </c>
      <c r="G43" s="675">
        <v>180</v>
      </c>
      <c r="H43" s="675">
        <v>140</v>
      </c>
      <c r="I43" s="675">
        <v>100</v>
      </c>
      <c r="J43" s="675">
        <v>70</v>
      </c>
      <c r="K43" s="675">
        <v>30</v>
      </c>
      <c r="L43" s="675">
        <v>25</v>
      </c>
      <c r="M43" s="977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958" t="s">
        <v>1424</v>
      </c>
      <c r="B44" s="982" t="s">
        <v>1425</v>
      </c>
      <c r="C44" s="972" t="s">
        <v>1419</v>
      </c>
      <c r="D44" s="973">
        <v>460</v>
      </c>
      <c r="E44" s="973">
        <v>460</v>
      </c>
      <c r="F44" s="973">
        <v>460</v>
      </c>
      <c r="G44" s="973">
        <v>460</v>
      </c>
      <c r="H44" s="973">
        <v>460</v>
      </c>
      <c r="I44" s="973">
        <v>460</v>
      </c>
      <c r="J44" s="973">
        <v>460</v>
      </c>
      <c r="K44" s="973">
        <v>460</v>
      </c>
      <c r="L44" s="973">
        <v>460</v>
      </c>
      <c r="M44" s="974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959"/>
      <c r="B45" s="983" t="s">
        <v>1426</v>
      </c>
      <c r="C45" s="976" t="s">
        <v>1419</v>
      </c>
      <c r="D45" s="675">
        <v>150</v>
      </c>
      <c r="E45" s="675">
        <v>150</v>
      </c>
      <c r="F45" s="675">
        <v>150</v>
      </c>
      <c r="G45" s="675">
        <v>150</v>
      </c>
      <c r="H45" s="675">
        <v>150</v>
      </c>
      <c r="I45" s="675">
        <v>150</v>
      </c>
      <c r="J45" s="675">
        <v>150</v>
      </c>
      <c r="K45" s="675">
        <v>150</v>
      </c>
      <c r="L45" s="675">
        <v>150</v>
      </c>
      <c r="M45" s="977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959"/>
      <c r="B46" s="984" t="s">
        <v>1427</v>
      </c>
      <c r="C46" s="979" t="s">
        <v>1419</v>
      </c>
      <c r="D46" s="980">
        <v>5900</v>
      </c>
      <c r="E46" s="980">
        <v>5900</v>
      </c>
      <c r="F46" s="980">
        <v>5900</v>
      </c>
      <c r="G46" s="980">
        <v>5900</v>
      </c>
      <c r="H46" s="980">
        <v>5900</v>
      </c>
      <c r="I46" s="980">
        <v>5900</v>
      </c>
      <c r="J46" s="980">
        <v>5900</v>
      </c>
      <c r="K46" s="980"/>
      <c r="L46" s="980"/>
      <c r="M46" s="981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959"/>
      <c r="B47" s="982" t="s">
        <v>1425</v>
      </c>
      <c r="C47" s="972" t="s">
        <v>1420</v>
      </c>
      <c r="D47" s="973">
        <v>800</v>
      </c>
      <c r="E47" s="973">
        <v>800</v>
      </c>
      <c r="F47" s="973">
        <v>800</v>
      </c>
      <c r="G47" s="973">
        <v>800</v>
      </c>
      <c r="H47" s="973">
        <v>800</v>
      </c>
      <c r="I47" s="973">
        <v>800</v>
      </c>
      <c r="J47" s="973">
        <v>800</v>
      </c>
      <c r="K47" s="973">
        <v>800</v>
      </c>
      <c r="L47" s="973">
        <v>800</v>
      </c>
      <c r="M47" s="974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959"/>
      <c r="B48" s="983" t="s">
        <v>1426</v>
      </c>
      <c r="C48" s="976" t="s">
        <v>1420</v>
      </c>
      <c r="D48" s="675">
        <v>400</v>
      </c>
      <c r="E48" s="675">
        <v>400</v>
      </c>
      <c r="F48" s="675">
        <v>400</v>
      </c>
      <c r="G48" s="675">
        <v>400</v>
      </c>
      <c r="H48" s="675">
        <v>400</v>
      </c>
      <c r="I48" s="675">
        <v>400</v>
      </c>
      <c r="J48" s="675">
        <v>400</v>
      </c>
      <c r="K48" s="675">
        <v>400</v>
      </c>
      <c r="L48" s="675">
        <v>400</v>
      </c>
      <c r="M48" s="977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960"/>
      <c r="B49" s="984" t="s">
        <v>1427</v>
      </c>
      <c r="C49" s="979" t="s">
        <v>1420</v>
      </c>
      <c r="D49" s="980">
        <v>7800</v>
      </c>
      <c r="E49" s="980">
        <v>7800</v>
      </c>
      <c r="F49" s="980">
        <v>7800</v>
      </c>
      <c r="G49" s="980">
        <v>7800</v>
      </c>
      <c r="H49" s="980">
        <v>7800</v>
      </c>
      <c r="I49" s="980">
        <v>7800</v>
      </c>
      <c r="J49" s="980">
        <v>7800</v>
      </c>
      <c r="K49" s="980"/>
      <c r="L49" s="980"/>
      <c r="M49" s="981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959" t="s">
        <v>1428</v>
      </c>
      <c r="B50" s="982" t="s">
        <v>1457</v>
      </c>
      <c r="C50" s="972" t="s">
        <v>1419</v>
      </c>
      <c r="D50" s="973">
        <v>150</v>
      </c>
      <c r="E50" s="973">
        <v>150</v>
      </c>
      <c r="F50" s="973">
        <v>150</v>
      </c>
      <c r="G50" s="973">
        <v>150</v>
      </c>
      <c r="H50" s="973">
        <v>150</v>
      </c>
      <c r="I50" s="973">
        <v>150</v>
      </c>
      <c r="J50" s="973">
        <v>150</v>
      </c>
      <c r="K50" s="973"/>
      <c r="L50" s="973"/>
      <c r="M50" s="974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959"/>
      <c r="B51" s="984" t="s">
        <v>1431</v>
      </c>
      <c r="C51" s="979" t="s">
        <v>1419</v>
      </c>
      <c r="D51" s="980"/>
      <c r="E51" s="980"/>
      <c r="F51" s="980"/>
      <c r="G51" s="980"/>
      <c r="H51" s="980"/>
      <c r="I51" s="980">
        <v>75</v>
      </c>
      <c r="J51" s="980">
        <v>75</v>
      </c>
      <c r="K51" s="980">
        <v>75</v>
      </c>
      <c r="L51" s="980">
        <v>75</v>
      </c>
      <c r="M51" s="981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959"/>
      <c r="B52" s="982" t="s">
        <v>1430</v>
      </c>
      <c r="C52" s="972" t="s">
        <v>1420</v>
      </c>
      <c r="D52" s="973">
        <v>450</v>
      </c>
      <c r="E52" s="973">
        <v>450</v>
      </c>
      <c r="F52" s="973">
        <v>450</v>
      </c>
      <c r="G52" s="973">
        <v>450</v>
      </c>
      <c r="H52" s="973">
        <v>450</v>
      </c>
      <c r="I52" s="973">
        <v>450</v>
      </c>
      <c r="J52" s="973">
        <v>450</v>
      </c>
      <c r="K52" s="973"/>
      <c r="L52" s="973"/>
      <c r="M52" s="974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960"/>
      <c r="B53" s="984" t="s">
        <v>1431</v>
      </c>
      <c r="C53" s="979" t="s">
        <v>1420</v>
      </c>
      <c r="D53" s="980"/>
      <c r="E53" s="980"/>
      <c r="F53" s="980"/>
      <c r="G53" s="980"/>
      <c r="H53" s="980"/>
      <c r="I53" s="980">
        <v>180</v>
      </c>
      <c r="J53" s="980">
        <v>180</v>
      </c>
      <c r="K53" s="980">
        <v>180</v>
      </c>
      <c r="L53" s="980">
        <v>180</v>
      </c>
      <c r="M53" s="981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1"/>
      <c r="C54" s="671"/>
      <c r="D54" s="671"/>
      <c r="E54" s="671"/>
      <c r="F54" s="671"/>
      <c r="G54" s="671"/>
      <c r="H54" s="671"/>
      <c r="I54" s="671"/>
      <c r="J54" s="671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1403</v>
      </c>
      <c r="B55" s="26">
        <v>1</v>
      </c>
      <c r="C55" s="26">
        <v>2</v>
      </c>
      <c r="D55" s="26">
        <v>3</v>
      </c>
      <c r="E55" s="26">
        <v>4</v>
      </c>
      <c r="F55" s="526">
        <v>5</v>
      </c>
      <c r="G55" s="526">
        <v>6</v>
      </c>
      <c r="H55" s="526">
        <v>7</v>
      </c>
      <c r="I55" s="526">
        <v>8</v>
      </c>
      <c r="J55" s="970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6" t="s">
        <v>1182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70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9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26" sqref="C26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973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956</v>
      </c>
      <c r="Q1" s="1" t="s">
        <v>1188</v>
      </c>
      <c r="R1" s="239" t="s">
        <v>1189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957</v>
      </c>
      <c r="X1" s="239" t="s">
        <v>1147</v>
      </c>
      <c r="Y1" s="239" t="s">
        <v>1153</v>
      </c>
    </row>
    <row r="2" spans="1:25">
      <c r="A2" s="659" t="s">
        <v>18</v>
      </c>
      <c r="B2" s="659" t="s">
        <v>1358</v>
      </c>
      <c r="C2" s="393" t="s">
        <v>974</v>
      </c>
      <c r="D2" s="15" t="s">
        <v>36</v>
      </c>
      <c r="E2" s="15" t="s">
        <v>76</v>
      </c>
      <c r="F2" s="15" t="s">
        <v>77</v>
      </c>
      <c r="G2" s="15">
        <v>40</v>
      </c>
      <c r="H2" s="524" t="s">
        <v>1772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1190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2" t="s">
        <v>1160</v>
      </c>
      <c r="Y2" s="483" t="s">
        <v>1149</v>
      </c>
    </row>
    <row r="3" spans="1:25">
      <c r="A3" s="659" t="s">
        <v>175</v>
      </c>
      <c r="B3" s="659" t="s">
        <v>1359</v>
      </c>
      <c r="C3" s="394" t="s">
        <v>975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1191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2" t="s">
        <v>1161</v>
      </c>
      <c r="Y3" s="483" t="s">
        <v>1151</v>
      </c>
    </row>
    <row r="4" spans="1:25">
      <c r="A4" s="659" t="s">
        <v>176</v>
      </c>
      <c r="B4" s="659" t="s">
        <v>1365</v>
      </c>
      <c r="C4" s="393" t="s">
        <v>976</v>
      </c>
      <c r="D4" s="15" t="s">
        <v>3</v>
      </c>
      <c r="E4" s="15" t="s">
        <v>80</v>
      </c>
      <c r="F4" s="15" t="s">
        <v>81</v>
      </c>
      <c r="G4" s="15">
        <v>70</v>
      </c>
      <c r="H4" s="524" t="s">
        <v>1311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1192</v>
      </c>
      <c r="S4" s="15" t="s">
        <v>48</v>
      </c>
      <c r="T4" s="15" t="s">
        <v>49</v>
      </c>
      <c r="U4" s="15" t="s">
        <v>48</v>
      </c>
      <c r="W4" s="15" t="s">
        <v>48</v>
      </c>
      <c r="X4" s="512" t="s">
        <v>1162</v>
      </c>
      <c r="Y4" s="483" t="s">
        <v>1154</v>
      </c>
    </row>
    <row r="5" spans="1:25">
      <c r="A5" s="659" t="s">
        <v>177</v>
      </c>
      <c r="B5" s="1173" t="s">
        <v>1567</v>
      </c>
      <c r="C5" s="393" t="s">
        <v>977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1193</v>
      </c>
      <c r="S5" s="15" t="s">
        <v>52</v>
      </c>
      <c r="T5" s="15" t="s">
        <v>53</v>
      </c>
      <c r="U5" s="15" t="s">
        <v>52</v>
      </c>
      <c r="W5" s="15" t="s">
        <v>52</v>
      </c>
      <c r="X5" s="512" t="s">
        <v>1269</v>
      </c>
      <c r="Y5" s="187"/>
    </row>
    <row r="6" spans="1:25">
      <c r="A6" s="659" t="s">
        <v>178</v>
      </c>
      <c r="B6" s="185" t="s">
        <v>969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1194</v>
      </c>
      <c r="S6" s="15" t="s">
        <v>56</v>
      </c>
      <c r="T6" s="15"/>
      <c r="U6" s="15" t="s">
        <v>56</v>
      </c>
      <c r="W6" s="15" t="s">
        <v>56</v>
      </c>
      <c r="X6" s="512" t="s">
        <v>1270</v>
      </c>
      <c r="Y6" s="187"/>
    </row>
    <row r="7" spans="1:25">
      <c r="A7" s="659" t="s">
        <v>179</v>
      </c>
      <c r="B7" s="185" t="s">
        <v>969</v>
      </c>
      <c r="C7" s="393" t="s">
        <v>32</v>
      </c>
      <c r="F7" s="15" t="s">
        <v>57</v>
      </c>
      <c r="H7" s="15"/>
      <c r="I7" s="15" t="s">
        <v>58</v>
      </c>
      <c r="X7" s="512" t="s">
        <v>1271</v>
      </c>
    </row>
    <row r="8" spans="1:25">
      <c r="A8" s="659" t="s">
        <v>180</v>
      </c>
      <c r="B8" s="185" t="s">
        <v>969</v>
      </c>
      <c r="C8" s="393" t="s">
        <v>978</v>
      </c>
      <c r="F8" s="15" t="s">
        <v>83</v>
      </c>
      <c r="H8" s="15"/>
      <c r="I8" s="15" t="s">
        <v>84</v>
      </c>
      <c r="X8" s="512" t="s">
        <v>1272</v>
      </c>
    </row>
    <row r="9" spans="1:25">
      <c r="A9" s="659" t="s">
        <v>181</v>
      </c>
      <c r="B9" s="185" t="s">
        <v>969</v>
      </c>
      <c r="C9" s="393" t="s">
        <v>979</v>
      </c>
      <c r="F9" s="15" t="s">
        <v>85</v>
      </c>
      <c r="H9" s="15"/>
    </row>
    <row r="10" spans="1:25">
      <c r="A10" s="659" t="s">
        <v>182</v>
      </c>
      <c r="B10" s="185" t="s">
        <v>969</v>
      </c>
      <c r="C10" s="393" t="s">
        <v>980</v>
      </c>
      <c r="F10" s="15" t="s">
        <v>3</v>
      </c>
    </row>
    <row r="11" spans="1:25">
      <c r="A11" s="659" t="s">
        <v>183</v>
      </c>
      <c r="B11" s="185" t="s">
        <v>969</v>
      </c>
      <c r="C11" s="393" t="s">
        <v>981</v>
      </c>
    </row>
    <row r="12" spans="1:25">
      <c r="A12" s="659" t="s">
        <v>184</v>
      </c>
      <c r="B12" s="185" t="s">
        <v>969</v>
      </c>
      <c r="C12" s="393" t="s">
        <v>982</v>
      </c>
    </row>
    <row r="13" spans="1:25">
      <c r="A13" s="659" t="s">
        <v>185</v>
      </c>
      <c r="B13" s="185" t="s">
        <v>969</v>
      </c>
      <c r="C13" s="393" t="s">
        <v>983</v>
      </c>
    </row>
    <row r="14" spans="1:25">
      <c r="A14" s="659" t="s">
        <v>186</v>
      </c>
      <c r="B14" s="185" t="s">
        <v>969</v>
      </c>
      <c r="C14" s="396"/>
    </row>
    <row r="15" spans="1:25">
      <c r="A15" s="659" t="s">
        <v>187</v>
      </c>
      <c r="B15" s="185" t="s">
        <v>969</v>
      </c>
      <c r="C15" s="396"/>
    </row>
    <row r="16" spans="1:25">
      <c r="A16" s="659" t="s">
        <v>188</v>
      </c>
      <c r="B16" s="185" t="s">
        <v>969</v>
      </c>
      <c r="C16" s="396"/>
    </row>
    <row r="17" spans="1:3">
      <c r="A17" s="659" t="s">
        <v>189</v>
      </c>
      <c r="B17" s="185" t="s">
        <v>969</v>
      </c>
      <c r="C17" s="396"/>
    </row>
    <row r="18" spans="1:3">
      <c r="A18" s="659" t="s">
        <v>190</v>
      </c>
      <c r="B18" s="185" t="s">
        <v>969</v>
      </c>
      <c r="C18" s="396"/>
    </row>
    <row r="19" spans="1:3">
      <c r="A19" s="659" t="s">
        <v>191</v>
      </c>
      <c r="B19" s="185" t="s">
        <v>969</v>
      </c>
      <c r="C19" s="396"/>
    </row>
    <row r="20" spans="1:3">
      <c r="A20" s="659" t="s">
        <v>192</v>
      </c>
      <c r="B20" s="185" t="s">
        <v>969</v>
      </c>
      <c r="C20" s="396"/>
    </row>
    <row r="21" spans="1:3">
      <c r="A21" s="659" t="s">
        <v>193</v>
      </c>
      <c r="B21" s="185" t="s">
        <v>969</v>
      </c>
      <c r="C21" s="396"/>
    </row>
    <row r="22" spans="1:3">
      <c r="A22" s="659" t="s">
        <v>194</v>
      </c>
      <c r="B22" s="185" t="s">
        <v>969</v>
      </c>
      <c r="C22" s="396"/>
    </row>
    <row r="23" spans="1:3">
      <c r="A23" s="659" t="s">
        <v>195</v>
      </c>
      <c r="B23" s="185" t="s">
        <v>969</v>
      </c>
      <c r="C23" s="396"/>
    </row>
    <row r="24" spans="1:3">
      <c r="A24" s="659" t="s">
        <v>196</v>
      </c>
      <c r="B24" s="185" t="s">
        <v>969</v>
      </c>
      <c r="C24" s="396"/>
    </row>
    <row r="25" spans="1:3">
      <c r="A25" s="659" t="s">
        <v>197</v>
      </c>
      <c r="B25" s="185" t="s">
        <v>969</v>
      </c>
      <c r="C25" s="396"/>
    </row>
    <row r="26" spans="1:3">
      <c r="A26" s="659" t="s">
        <v>198</v>
      </c>
      <c r="B26" s="185" t="s">
        <v>969</v>
      </c>
      <c r="C26" s="396"/>
    </row>
    <row r="27" spans="1:3">
      <c r="A27" s="185" t="s">
        <v>969</v>
      </c>
      <c r="B27" s="185" t="s">
        <v>969</v>
      </c>
      <c r="C27" s="396"/>
    </row>
    <row r="28" spans="1:3">
      <c r="A28" s="185" t="s">
        <v>969</v>
      </c>
      <c r="B28" s="185" t="s">
        <v>969</v>
      </c>
      <c r="C28" s="396"/>
    </row>
    <row r="29" spans="1:3">
      <c r="A29" s="185" t="s">
        <v>969</v>
      </c>
      <c r="B29" s="185" t="s">
        <v>969</v>
      </c>
      <c r="C29" s="396"/>
    </row>
    <row r="30" spans="1:3">
      <c r="A30" s="185" t="s">
        <v>969</v>
      </c>
      <c r="B30" s="185" t="s">
        <v>969</v>
      </c>
      <c r="C30" s="396"/>
    </row>
    <row r="31" spans="1:3">
      <c r="A31" s="185" t="s">
        <v>969</v>
      </c>
      <c r="B31" s="185" t="s">
        <v>969</v>
      </c>
      <c r="C31" s="396"/>
    </row>
    <row r="32" spans="1:3">
      <c r="A32" s="185" t="s">
        <v>969</v>
      </c>
      <c r="B32" s="185" t="s">
        <v>969</v>
      </c>
      <c r="C32" s="396"/>
    </row>
    <row r="33" spans="1:3">
      <c r="A33" s="185" t="s">
        <v>969</v>
      </c>
      <c r="B33" s="185" t="s">
        <v>969</v>
      </c>
      <c r="C33" s="396"/>
    </row>
    <row r="34" spans="1:3">
      <c r="A34" s="185" t="s">
        <v>969</v>
      </c>
      <c r="B34" s="185" t="s">
        <v>969</v>
      </c>
      <c r="C34" s="396"/>
    </row>
    <row r="35" spans="1:3">
      <c r="A35" s="185" t="s">
        <v>969</v>
      </c>
      <c r="B35" s="185" t="s">
        <v>969</v>
      </c>
      <c r="C35" s="396"/>
    </row>
    <row r="36" spans="1:3">
      <c r="A36" s="185" t="s">
        <v>969</v>
      </c>
      <c r="B36" s="185" t="s">
        <v>969</v>
      </c>
      <c r="C36" s="396"/>
    </row>
    <row r="37" spans="1:3">
      <c r="A37" s="185" t="s">
        <v>969</v>
      </c>
      <c r="B37" s="185" t="s">
        <v>969</v>
      </c>
      <c r="C37" s="396"/>
    </row>
    <row r="38" spans="1:3">
      <c r="A38" s="185" t="s">
        <v>969</v>
      </c>
      <c r="B38" s="185" t="s">
        <v>969</v>
      </c>
      <c r="C38" s="396"/>
    </row>
    <row r="39" spans="1:3">
      <c r="A39" s="185" t="s">
        <v>969</v>
      </c>
      <c r="B39" s="185" t="s">
        <v>969</v>
      </c>
      <c r="C39" s="396"/>
    </row>
    <row r="40" spans="1:3">
      <c r="A40" s="185" t="s">
        <v>969</v>
      </c>
      <c r="B40" s="185" t="s">
        <v>969</v>
      </c>
      <c r="C40" s="396"/>
    </row>
    <row r="41" spans="1:3">
      <c r="A41" s="185" t="s">
        <v>969</v>
      </c>
      <c r="B41" s="185" t="s">
        <v>969</v>
      </c>
      <c r="C41" s="396"/>
    </row>
    <row r="42" spans="1:3">
      <c r="A42" s="185" t="s">
        <v>969</v>
      </c>
      <c r="B42" s="185" t="s">
        <v>969</v>
      </c>
      <c r="C42" s="396"/>
    </row>
    <row r="43" spans="1:3">
      <c r="A43" s="185" t="s">
        <v>969</v>
      </c>
      <c r="B43" s="185" t="s">
        <v>969</v>
      </c>
      <c r="C43" s="396"/>
    </row>
    <row r="44" spans="1:3">
      <c r="A44" s="185" t="s">
        <v>969</v>
      </c>
      <c r="B44" s="185" t="s">
        <v>969</v>
      </c>
      <c r="C44" s="396"/>
    </row>
    <row r="45" spans="1:3">
      <c r="A45" s="185" t="s">
        <v>969</v>
      </c>
      <c r="B45" s="185" t="s">
        <v>969</v>
      </c>
      <c r="C45" s="396"/>
    </row>
    <row r="46" spans="1:3">
      <c r="A46" s="185" t="s">
        <v>969</v>
      </c>
      <c r="B46" s="185" t="s">
        <v>969</v>
      </c>
      <c r="C46" s="396"/>
    </row>
    <row r="47" spans="1:3">
      <c r="A47" s="185" t="s">
        <v>969</v>
      </c>
      <c r="B47" s="185" t="s">
        <v>969</v>
      </c>
      <c r="C47" s="396"/>
    </row>
    <row r="48" spans="1:3">
      <c r="A48" s="185" t="s">
        <v>969</v>
      </c>
      <c r="B48" s="185" t="s">
        <v>969</v>
      </c>
      <c r="C48" s="396"/>
    </row>
    <row r="49" spans="1:3">
      <c r="A49" s="185" t="s">
        <v>969</v>
      </c>
      <c r="B49" s="185" t="s">
        <v>969</v>
      </c>
      <c r="C49" s="396"/>
    </row>
    <row r="50" spans="1:3">
      <c r="A50" s="185" t="s">
        <v>969</v>
      </c>
      <c r="B50" s="185" t="s">
        <v>969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1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19" sqref="I19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1145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1146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977" t="s">
        <v>91</v>
      </c>
      <c r="D4" s="1978"/>
      <c r="E4" s="1979" t="s">
        <v>92</v>
      </c>
      <c r="F4" s="1980"/>
      <c r="G4" s="1977" t="s">
        <v>93</v>
      </c>
      <c r="H4" s="1978"/>
      <c r="I4" s="1977" t="s">
        <v>94</v>
      </c>
      <c r="J4" s="1978"/>
      <c r="K4" s="142" t="s">
        <v>95</v>
      </c>
      <c r="L4" s="448"/>
      <c r="M4" s="449"/>
      <c r="N4" s="449"/>
      <c r="O4" s="449"/>
      <c r="P4" s="1981" t="s">
        <v>96</v>
      </c>
      <c r="Q4" s="1982"/>
      <c r="R4" s="1987" t="s">
        <v>92</v>
      </c>
      <c r="S4" s="1988"/>
      <c r="T4" s="1987" t="s">
        <v>93</v>
      </c>
      <c r="U4" s="1988"/>
      <c r="V4" s="1993" t="s">
        <v>94</v>
      </c>
      <c r="W4" s="1993"/>
      <c r="X4" s="201"/>
      <c r="Y4" s="1987" t="s">
        <v>96</v>
      </c>
      <c r="Z4" s="1988"/>
      <c r="AA4" s="1974" t="s">
        <v>92</v>
      </c>
      <c r="AB4" s="1975" t="s">
        <v>93</v>
      </c>
      <c r="AC4" s="1974" t="s">
        <v>94</v>
      </c>
    </row>
    <row r="5" spans="1:30" ht="15">
      <c r="A5" s="41"/>
      <c r="B5" s="42"/>
      <c r="C5" s="1970" t="s">
        <v>230</v>
      </c>
      <c r="D5" s="1971"/>
      <c r="E5" s="1994" t="s">
        <v>231</v>
      </c>
      <c r="F5" s="1995"/>
      <c r="G5" s="1970" t="s">
        <v>234</v>
      </c>
      <c r="H5" s="1971"/>
      <c r="I5" s="1970" t="s">
        <v>232</v>
      </c>
      <c r="J5" s="1971"/>
      <c r="K5" s="142"/>
      <c r="L5" s="448"/>
      <c r="M5" s="449"/>
      <c r="N5" s="449"/>
      <c r="O5" s="449"/>
      <c r="P5" s="1983"/>
      <c r="Q5" s="1984"/>
      <c r="R5" s="1989"/>
      <c r="S5" s="1990"/>
      <c r="T5" s="1989"/>
      <c r="U5" s="1990"/>
      <c r="V5" s="1993"/>
      <c r="W5" s="1993"/>
      <c r="X5" s="201"/>
      <c r="Y5" s="1989"/>
      <c r="Z5" s="1990"/>
      <c r="AA5" s="1975"/>
      <c r="AB5" s="1975"/>
      <c r="AC5" s="1975"/>
    </row>
    <row r="6" spans="1:30" ht="15.75" thickBot="1">
      <c r="A6" s="43"/>
      <c r="B6" s="44"/>
      <c r="C6" s="1967" t="s">
        <v>233</v>
      </c>
      <c r="D6" s="1968"/>
      <c r="E6" s="1965" t="s">
        <v>233</v>
      </c>
      <c r="F6" s="1966"/>
      <c r="G6" s="1967" t="s">
        <v>233</v>
      </c>
      <c r="H6" s="1968"/>
      <c r="I6" s="1967" t="s">
        <v>233</v>
      </c>
      <c r="J6" s="1968"/>
      <c r="K6" s="142" t="s">
        <v>97</v>
      </c>
      <c r="L6" s="448"/>
      <c r="M6" s="449"/>
      <c r="N6" s="449"/>
      <c r="O6" s="449"/>
      <c r="P6" s="1985"/>
      <c r="Q6" s="1986"/>
      <c r="R6" s="1989"/>
      <c r="S6" s="1990"/>
      <c r="T6" s="1991"/>
      <c r="U6" s="1992"/>
      <c r="V6" s="1993"/>
      <c r="W6" s="1993"/>
      <c r="X6" s="201"/>
      <c r="Y6" s="1991"/>
      <c r="Z6" s="1992"/>
      <c r="AA6" s="1976"/>
      <c r="AB6" s="1976"/>
      <c r="AC6" s="1976"/>
    </row>
    <row r="7" spans="1:30" s="22" customFormat="1" ht="15.75" thickBot="1">
      <c r="A7" s="45" t="s">
        <v>98</v>
      </c>
      <c r="B7" s="46"/>
      <c r="C7" s="1371">
        <f>'主表(商业）'!B4</f>
        <v>40813</v>
      </c>
      <c r="D7" s="47">
        <v>100</v>
      </c>
      <c r="E7" s="149"/>
      <c r="F7" s="1154">
        <f>IF(E7&lt;C7,100-K7*DATEDIF(E7,C7,"m"),100+K7*DATEDIF(C7,E7,"m"))</f>
        <v>100</v>
      </c>
      <c r="G7" s="150"/>
      <c r="H7" s="1155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972" t="s">
        <v>99</v>
      </c>
      <c r="Q7" s="1996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972" t="s">
        <v>99</v>
      </c>
      <c r="Z7" s="1973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5" t="s">
        <v>27</v>
      </c>
      <c r="D8" s="656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972" t="s">
        <v>125</v>
      </c>
      <c r="Q8" s="1973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972" t="s">
        <v>125</v>
      </c>
      <c r="Z8" s="1973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7" t="str">
        <f>'主表(商业）'!B12</f>
        <v>商业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969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999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70">
        <v>0</v>
      </c>
      <c r="D10" s="24">
        <v>100</v>
      </c>
      <c r="E10" s="1516"/>
      <c r="F10" s="24">
        <v>100</v>
      </c>
      <c r="G10" s="1342"/>
      <c r="H10" s="24">
        <v>100</v>
      </c>
      <c r="I10" s="1342"/>
      <c r="J10" s="24">
        <v>100</v>
      </c>
      <c r="K10" s="160"/>
      <c r="L10" s="453"/>
      <c r="M10" s="454"/>
      <c r="N10" s="454"/>
      <c r="O10" s="455"/>
      <c r="P10" s="1969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999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88" t="s">
        <v>1227</v>
      </c>
      <c r="C11" s="1054">
        <f>IF(B11="容积率",'主表(商业）'!B8,'主表(商业）'!B9)</f>
        <v>8.86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969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999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81"/>
      <c r="B12" s="1057" t="s">
        <v>1546</v>
      </c>
      <c r="C12" s="1082" t="str">
        <f>'主表(商业）'!B10</f>
        <v>四级</v>
      </c>
      <c r="D12" s="1083">
        <v>100</v>
      </c>
      <c r="E12" s="1084"/>
      <c r="F12" s="25">
        <f>SUMIF(70:70,E12,71:71)-SUMIF(70:70,C12,71:71)+100</f>
        <v>0</v>
      </c>
      <c r="G12" s="1084"/>
      <c r="H12" s="25">
        <f>SUMIF(70:70,G12,71:71)-SUMIF(70:70,C12,71:71)+100</f>
        <v>0</v>
      </c>
      <c r="I12" s="1084"/>
      <c r="J12" s="25">
        <f>SUMIF(70:70,I12,71:71)-SUMIF(70:70,C12,71:71)+100</f>
        <v>0</v>
      </c>
      <c r="K12" s="161"/>
      <c r="L12" s="450"/>
      <c r="M12" s="451"/>
      <c r="N12" s="451"/>
      <c r="O12" s="452"/>
      <c r="P12" s="1969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999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64">
        <v>111</v>
      </c>
      <c r="C13" s="1079">
        <v>111</v>
      </c>
      <c r="D13" s="61">
        <v>100</v>
      </c>
      <c r="E13" s="1343"/>
      <c r="F13" s="1080">
        <f>SUMIF(72:72,E13,73:73)-SUMIF(72:72,C13,73:73)+100</f>
        <v>0</v>
      </c>
      <c r="G13" s="1360"/>
      <c r="H13" s="61">
        <f>SUMIF(72:72,G13,73:73)-SUMIF(72:72,C13,73:73)+100</f>
        <v>0</v>
      </c>
      <c r="I13" s="1360"/>
      <c r="J13" s="61">
        <f>SUMIF(72:72,I13,73:73)-SUMIF(72:72,C13,73:73)+100</f>
        <v>0</v>
      </c>
      <c r="K13" s="1367"/>
      <c r="L13" s="458"/>
      <c r="M13" s="449"/>
      <c r="N13" s="449"/>
      <c r="O13" s="457"/>
      <c r="P13" s="1969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999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58">
        <v>111</v>
      </c>
      <c r="C14" s="1059">
        <v>111</v>
      </c>
      <c r="D14" s="58">
        <v>100</v>
      </c>
      <c r="E14" s="1344"/>
      <c r="F14" s="58">
        <f>SUMIF(74:74,E14,75:75)-SUMIF(74:74,C14,75:75)+100</f>
        <v>0</v>
      </c>
      <c r="G14" s="1361"/>
      <c r="H14" s="58">
        <f>SUMIF(74:74,G14,75:75)-SUMIF(74:74,C14,75:75)+100</f>
        <v>0</v>
      </c>
      <c r="I14" s="1361"/>
      <c r="J14" s="58">
        <f>SUMIF(74:74,I14,75:75)-SUMIF(74:74,C14,75:75)+100</f>
        <v>0</v>
      </c>
      <c r="K14" s="1367"/>
      <c r="L14" s="458"/>
      <c r="M14" s="449"/>
      <c r="N14" s="449"/>
      <c r="O14" s="457"/>
      <c r="P14" s="1969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999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60" t="s">
        <v>86</v>
      </c>
      <c r="C15" s="1065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45"/>
      <c r="F15" s="60">
        <f>SUMIF(76:76,E16,77:77)-SUMIF(76:76,C16,77:77)+100</f>
        <v>0</v>
      </c>
      <c r="G15" s="1345"/>
      <c r="H15" s="60">
        <f>SUMIF(76:76,G16,77:77)-SUMIF(76:76,C16,77:77)+100</f>
        <v>0</v>
      </c>
      <c r="I15" s="1363"/>
      <c r="J15" s="60">
        <f>SUMIF(76:76,I16,77:77)-SUMIF(76:76,C16,77:77)+100</f>
        <v>0</v>
      </c>
      <c r="K15" s="161"/>
      <c r="L15" s="458"/>
      <c r="M15" s="449"/>
      <c r="N15" s="449"/>
      <c r="O15" s="457"/>
      <c r="P15" s="1997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997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61"/>
      <c r="C16" s="1071" t="s">
        <v>15</v>
      </c>
      <c r="D16" s="61"/>
      <c r="E16" s="1346"/>
      <c r="F16" s="61"/>
      <c r="G16" s="1350"/>
      <c r="H16" s="62"/>
      <c r="I16" s="1350"/>
      <c r="J16" s="61"/>
      <c r="K16" s="1367"/>
      <c r="L16" s="458"/>
      <c r="M16" s="449"/>
      <c r="N16" s="449"/>
      <c r="O16" s="457"/>
      <c r="P16" s="1998"/>
      <c r="Q16" s="206"/>
      <c r="R16" s="207"/>
      <c r="S16" s="208"/>
      <c r="T16" s="207"/>
      <c r="U16" s="208"/>
      <c r="V16" s="207"/>
      <c r="W16" s="208"/>
      <c r="X16" s="201"/>
      <c r="Y16" s="1998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62" t="s">
        <v>126</v>
      </c>
      <c r="C17" s="1066" t="str">
        <f>估价对象房地状况!C4</f>
        <v>估价对象位于XX商圈，周边商业氛围成熟，人流量大，商业繁华度好</v>
      </c>
      <c r="D17" s="62">
        <v>100</v>
      </c>
      <c r="E17" s="1347"/>
      <c r="F17" s="62">
        <f>SUMIF(78:78,E18,79:79)-SUMIF(78:78,C18,79:79)+100</f>
        <v>0</v>
      </c>
      <c r="G17" s="1347"/>
      <c r="H17" s="63">
        <f>SUMIF(78:78,G18,79:79)-SUMIF(78:78,C18,79:79)+100</f>
        <v>0</v>
      </c>
      <c r="I17" s="1362"/>
      <c r="J17" s="63">
        <f>SUMIF(78:78,I18,79:79)-SUMIF(78:78,C18,79:79)+100</f>
        <v>0</v>
      </c>
      <c r="K17" s="161"/>
      <c r="L17" s="458"/>
      <c r="M17" s="449"/>
      <c r="N17" s="449"/>
      <c r="O17" s="457"/>
      <c r="P17" s="1998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998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73" t="s">
        <v>15</v>
      </c>
      <c r="D18" s="62"/>
      <c r="E18" s="1348"/>
      <c r="F18" s="62"/>
      <c r="G18" s="1348"/>
      <c r="H18" s="61"/>
      <c r="I18" s="1348"/>
      <c r="J18" s="61"/>
      <c r="K18" s="1367"/>
      <c r="L18" s="458"/>
      <c r="M18" s="449"/>
      <c r="N18" s="449"/>
      <c r="O18" s="457"/>
      <c r="P18" s="1998"/>
      <c r="Q18" s="206"/>
      <c r="R18" s="207"/>
      <c r="S18" s="208"/>
      <c r="T18" s="207"/>
      <c r="U18" s="208"/>
      <c r="V18" s="207"/>
      <c r="W18" s="208"/>
      <c r="X18" s="201"/>
      <c r="Y18" s="1998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62" t="s">
        <v>128</v>
      </c>
      <c r="C19" s="1066" t="str">
        <f>估价对象房地状况!C5</f>
        <v>估价对象位于XX商圈，周边办公楼项目较多，入驻率高，办公集聚程度较好</v>
      </c>
      <c r="D19" s="63">
        <v>100</v>
      </c>
      <c r="E19" s="1349"/>
      <c r="F19" s="63">
        <f>SUMIF(80:80,E20,81:81)-SUMIF(80:80,C20,81:81)+100</f>
        <v>0</v>
      </c>
      <c r="G19" s="1349"/>
      <c r="H19" s="62">
        <f>SUMIF(80:80,G20,81:81)-SUMIF(80:80,C20,81:81)+100</f>
        <v>0</v>
      </c>
      <c r="I19" s="1364"/>
      <c r="J19" s="62">
        <f>SUMIF(80:80,I20,81:81)-SUMIF(80:80,C20,81:81)+100</f>
        <v>0</v>
      </c>
      <c r="K19" s="161"/>
      <c r="L19" s="458"/>
      <c r="M19" s="449"/>
      <c r="N19" s="449"/>
      <c r="O19" s="457"/>
      <c r="P19" s="1998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998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71" t="s">
        <v>15</v>
      </c>
      <c r="D20" s="61"/>
      <c r="E20" s="1350"/>
      <c r="F20" s="61"/>
      <c r="G20" s="1350"/>
      <c r="H20" s="61"/>
      <c r="I20" s="1350"/>
      <c r="J20" s="61"/>
      <c r="K20" s="1367"/>
      <c r="L20" s="458"/>
      <c r="M20" s="449"/>
      <c r="N20" s="449"/>
      <c r="O20" s="457"/>
      <c r="P20" s="1998"/>
      <c r="Q20" s="206"/>
      <c r="R20" s="207"/>
      <c r="S20" s="208"/>
      <c r="T20" s="207"/>
      <c r="U20" s="208"/>
      <c r="V20" s="207"/>
      <c r="W20" s="208"/>
      <c r="X20" s="201"/>
      <c r="Y20" s="1998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62" t="s">
        <v>131</v>
      </c>
      <c r="C21" s="1067" t="str">
        <f>估价对象房地状况!C6</f>
        <v>估价对象周边道路状况、公共交通通达情况、停车便捷程度，综合评价交通便捷度较好</v>
      </c>
      <c r="D21" s="62">
        <v>100</v>
      </c>
      <c r="E21" s="1347"/>
      <c r="F21" s="63">
        <f>SUMIF(82:82,E22,83:83)-SUMIF(82:82,C22,83:83)+100</f>
        <v>0</v>
      </c>
      <c r="G21" s="1347"/>
      <c r="H21" s="62">
        <f>SUMIF(82:82,G22,83:83)-SUMIF(82:82,C22,83:83)+100</f>
        <v>0</v>
      </c>
      <c r="I21" s="1362"/>
      <c r="J21" s="62">
        <f>SUMIF(82:82,I22,83:83)-SUMIF(82:82,C22,83:83)+100</f>
        <v>0</v>
      </c>
      <c r="K21" s="161"/>
      <c r="L21" s="458"/>
      <c r="M21" s="449"/>
      <c r="N21" s="449"/>
      <c r="O21" s="457"/>
      <c r="P21" s="1998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998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63"/>
      <c r="C22" s="1071" t="s">
        <v>15</v>
      </c>
      <c r="D22" s="62"/>
      <c r="E22" s="1350"/>
      <c r="F22" s="61"/>
      <c r="G22" s="1350"/>
      <c r="H22" s="61"/>
      <c r="I22" s="1350"/>
      <c r="J22" s="61"/>
      <c r="K22" s="1367"/>
      <c r="L22" s="458"/>
      <c r="M22" s="449"/>
      <c r="N22" s="449"/>
      <c r="O22" s="457"/>
      <c r="P22" s="1998"/>
      <c r="Q22" s="206"/>
      <c r="R22" s="207"/>
      <c r="S22" s="208"/>
      <c r="T22" s="207"/>
      <c r="U22" s="208"/>
      <c r="V22" s="207"/>
      <c r="W22" s="208"/>
      <c r="X22" s="201"/>
      <c r="Y22" s="1998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62" t="s">
        <v>134</v>
      </c>
      <c r="C23" s="1068" t="str">
        <f>估价对象房地状况!C7</f>
        <v>零星有其他用地，基本不影响本宗地</v>
      </c>
      <c r="D23" s="63">
        <v>100</v>
      </c>
      <c r="E23" s="1347"/>
      <c r="F23" s="63">
        <f>SUMIF(84:84,E24,85:85)-SUMIF(84:84,C24,85:85)+100</f>
        <v>0</v>
      </c>
      <c r="G23" s="1362"/>
      <c r="H23" s="63">
        <f>SUMIF(84:84,G24,85:85)-SUMIF(84:84,C24,85:85)+100</f>
        <v>0</v>
      </c>
      <c r="I23" s="1362"/>
      <c r="J23" s="63">
        <f>SUMIF(84:84,I24,85:85)-SUMIF(84:84,C24,85:85)+100</f>
        <v>0</v>
      </c>
      <c r="K23" s="161"/>
      <c r="L23" s="458"/>
      <c r="M23" s="449"/>
      <c r="N23" s="449"/>
      <c r="O23" s="457"/>
      <c r="P23" s="1998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998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71" t="s">
        <v>15</v>
      </c>
      <c r="D24" s="1069"/>
      <c r="E24" s="1351"/>
      <c r="F24" s="61"/>
      <c r="G24" s="1351"/>
      <c r="H24" s="61"/>
      <c r="I24" s="1351"/>
      <c r="J24" s="61"/>
      <c r="K24" s="1367"/>
      <c r="L24" s="458"/>
      <c r="M24" s="449"/>
      <c r="N24" s="449"/>
      <c r="O24" s="457"/>
      <c r="P24" s="1998"/>
      <c r="Q24" s="235"/>
      <c r="R24" s="207"/>
      <c r="S24" s="208"/>
      <c r="T24" s="207"/>
      <c r="U24" s="208"/>
      <c r="V24" s="207"/>
      <c r="W24" s="208"/>
      <c r="X24" s="234"/>
      <c r="Y24" s="1998"/>
      <c r="Z24" s="236"/>
      <c r="AA24" s="210"/>
      <c r="AB24" s="210"/>
      <c r="AC24" s="210"/>
    </row>
    <row r="25" spans="1:29" ht="54" hidden="1">
      <c r="A25" s="41"/>
      <c r="B25" s="1063" t="s">
        <v>135</v>
      </c>
      <c r="C25" s="1070" t="str">
        <f>估价对象房地状况!C8</f>
        <v>区域自然环境：；人文环境；综合评价环境状况一般</v>
      </c>
      <c r="D25" s="62">
        <v>100</v>
      </c>
      <c r="E25" s="1347"/>
      <c r="F25" s="62">
        <f>SUMIF(86:86,E26,87:87)-SUMIF(86:86,C26,87:87)+100</f>
        <v>0</v>
      </c>
      <c r="G25" s="1347"/>
      <c r="H25" s="62">
        <f>SUMIF(86:86,G26,87:87)-SUMIF(86:86,C26,87:87)+100</f>
        <v>0</v>
      </c>
      <c r="I25" s="1362"/>
      <c r="J25" s="62">
        <f>SUMIF(86:86,I26,87:87)-SUMIF(86:86,C26,87:87)+100</f>
        <v>0</v>
      </c>
      <c r="K25" s="161"/>
      <c r="L25" s="458"/>
      <c r="M25" s="449"/>
      <c r="N25" s="449"/>
      <c r="O25" s="457"/>
      <c r="P25" s="1998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998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71" t="s">
        <v>15</v>
      </c>
      <c r="D26" s="61"/>
      <c r="E26" s="1351"/>
      <c r="F26" s="61"/>
      <c r="G26" s="1351"/>
      <c r="H26" s="61"/>
      <c r="I26" s="1351"/>
      <c r="J26" s="61"/>
      <c r="K26" s="1367"/>
      <c r="L26" s="458"/>
      <c r="M26" s="449"/>
      <c r="N26" s="449"/>
      <c r="O26" s="457"/>
      <c r="P26" s="1998"/>
      <c r="Q26" s="206"/>
      <c r="R26" s="207"/>
      <c r="S26" s="208"/>
      <c r="T26" s="207"/>
      <c r="U26" s="208"/>
      <c r="V26" s="207"/>
      <c r="W26" s="208"/>
      <c r="X26" s="201"/>
      <c r="Y26" s="1998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64" t="s">
        <v>1204</v>
      </c>
      <c r="C27" s="1067" t="str">
        <f>估价对象房地状况!C9</f>
        <v>估价对象所在区域公共配套设施齐备情况</v>
      </c>
      <c r="D27" s="62">
        <v>100</v>
      </c>
      <c r="E27" s="1347"/>
      <c r="F27" s="62">
        <f>SUMIF(88:88,E28,89:89)-SUMIF(88:88,C28,89:89)+100</f>
        <v>0</v>
      </c>
      <c r="G27" s="1347"/>
      <c r="H27" s="62">
        <f>SUMIF(88:88,G28,89:89)-SUMIF(88:88,C28,89:89)+100</f>
        <v>0</v>
      </c>
      <c r="I27" s="1362"/>
      <c r="J27" s="62">
        <f>SUMIF(88:88,I28,89:89)-SUMIF(88:88,C28,89:89)+100</f>
        <v>0</v>
      </c>
      <c r="K27" s="161"/>
      <c r="L27" s="450"/>
      <c r="M27" s="451"/>
      <c r="N27" s="451"/>
      <c r="O27" s="452"/>
      <c r="P27" s="1998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998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74" t="s">
        <v>15</v>
      </c>
      <c r="D28" s="61"/>
      <c r="E28" s="1352"/>
      <c r="F28" s="61"/>
      <c r="G28" s="1352"/>
      <c r="H28" s="61"/>
      <c r="I28" s="1352"/>
      <c r="J28" s="61"/>
      <c r="K28" s="1367"/>
      <c r="L28" s="450"/>
      <c r="M28" s="451"/>
      <c r="N28" s="451"/>
      <c r="O28" s="452"/>
      <c r="P28" s="1998"/>
      <c r="Q28" s="18"/>
      <c r="R28" s="202"/>
      <c r="S28" s="203"/>
      <c r="T28" s="202"/>
      <c r="U28" s="203"/>
      <c r="V28" s="202"/>
      <c r="W28" s="203"/>
      <c r="X28" s="204"/>
      <c r="Y28" s="1998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64" t="s">
        <v>1205</v>
      </c>
      <c r="C29" s="1067" t="str">
        <f>估价对象房地状况!C10</f>
        <v>估价对象所在区域基础设施水平</v>
      </c>
      <c r="D29" s="62">
        <v>100</v>
      </c>
      <c r="E29" s="1347"/>
      <c r="F29" s="62">
        <f>SUMIF(90:90,E30,91:91)-SUMIF(90:90,C30,91:91)+100</f>
        <v>0</v>
      </c>
      <c r="G29" s="1347"/>
      <c r="H29" s="62">
        <f>SUMIF(90:90,G30,91:91)-SUMIF(90:90,C30,91:91)+100</f>
        <v>0</v>
      </c>
      <c r="I29" s="1362"/>
      <c r="J29" s="62">
        <f>SUMIF(90:90,I30,91:91)-SUMIF(90:90,C30,91:91)+100</f>
        <v>0</v>
      </c>
      <c r="K29" s="161"/>
      <c r="L29" s="450"/>
      <c r="M29" s="451"/>
      <c r="N29" s="451"/>
      <c r="O29" s="452"/>
      <c r="P29" s="1998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998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74" t="s">
        <v>5</v>
      </c>
      <c r="D30" s="61"/>
      <c r="E30" s="1352"/>
      <c r="F30" s="61"/>
      <c r="G30" s="1352"/>
      <c r="H30" s="61"/>
      <c r="I30" s="1352"/>
      <c r="J30" s="61"/>
      <c r="K30" s="1367"/>
      <c r="L30" s="450"/>
      <c r="M30" s="451"/>
      <c r="N30" s="451"/>
      <c r="O30" s="452"/>
      <c r="P30" s="1998"/>
      <c r="Q30" s="497"/>
      <c r="R30" s="202"/>
      <c r="S30" s="203"/>
      <c r="T30" s="202"/>
      <c r="U30" s="203"/>
      <c r="V30" s="202"/>
      <c r="W30" s="203"/>
      <c r="X30" s="204"/>
      <c r="Y30" s="1998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75" t="s">
        <v>29</v>
      </c>
      <c r="D31" s="56">
        <v>100</v>
      </c>
      <c r="E31" s="1353"/>
      <c r="F31" s="56">
        <f>SUMIF(92:92,E31,93:93)-SUMIF(92:92,C31,93:93)+100</f>
        <v>0</v>
      </c>
      <c r="G31" s="1353"/>
      <c r="H31" s="56">
        <f>SUMIF(92:92,G31,93:93)-SUMIF(92:92,C31,93:93)+100</f>
        <v>0</v>
      </c>
      <c r="I31" s="1353"/>
      <c r="J31" s="56">
        <f>SUMIF(92:92,I31,93:93)-SUMIF(92:92,C31,93:93)+100</f>
        <v>0</v>
      </c>
      <c r="K31" s="161"/>
      <c r="L31" s="458"/>
      <c r="M31" s="449"/>
      <c r="N31" s="449"/>
      <c r="O31" s="457"/>
      <c r="P31" s="1998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998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63" t="s">
        <v>129</v>
      </c>
      <c r="C32" s="1072" t="s">
        <v>136</v>
      </c>
      <c r="D32" s="62">
        <v>100</v>
      </c>
      <c r="E32" s="1347"/>
      <c r="F32" s="62">
        <f>SUMIF(94:94,E33,95:95)-SUMIF(94:94,C33,95:95)+100</f>
        <v>0</v>
      </c>
      <c r="G32" s="1347"/>
      <c r="H32" s="62">
        <f>SUMIF(94:94,G33,95:95)-SUMIF(94:94,C33,95:95)+100</f>
        <v>0</v>
      </c>
      <c r="I32" s="1362"/>
      <c r="J32" s="62">
        <f>SUMIF(94:94,I33,95:95)-SUMIF(94:94,C33,95:95)+100</f>
        <v>0</v>
      </c>
      <c r="K32" s="161"/>
      <c r="L32" s="458"/>
      <c r="M32" s="449"/>
      <c r="N32" s="449"/>
      <c r="O32" s="457"/>
      <c r="P32" s="1998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998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71" t="s">
        <v>21</v>
      </c>
      <c r="D33" s="61"/>
      <c r="E33" s="1351"/>
      <c r="F33" s="61"/>
      <c r="G33" s="1351"/>
      <c r="H33" s="61"/>
      <c r="I33" s="1351"/>
      <c r="J33" s="61"/>
      <c r="K33" s="1368"/>
      <c r="L33" s="458"/>
      <c r="M33" s="449"/>
      <c r="N33" s="449"/>
      <c r="O33" s="457"/>
      <c r="P33" s="1998"/>
      <c r="Q33" s="206"/>
      <c r="R33" s="207"/>
      <c r="S33" s="208"/>
      <c r="T33" s="207"/>
      <c r="U33" s="208"/>
      <c r="V33" s="207"/>
      <c r="W33" s="208"/>
      <c r="X33" s="201"/>
      <c r="Y33" s="1998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75"/>
      <c r="D34" s="56">
        <v>100</v>
      </c>
      <c r="E34" s="1354"/>
      <c r="F34" s="56">
        <f>SUMIF(96:96,E34,97:97)-SUMIF(96:96,C34,97:97)+100</f>
        <v>100</v>
      </c>
      <c r="G34" s="1354"/>
      <c r="H34" s="56">
        <f>SUMIF(96:96,G34,97:97)-SUMIF(96:96,C34,97:97)+100</f>
        <v>100</v>
      </c>
      <c r="I34" s="1353"/>
      <c r="J34" s="56">
        <f>SUMIF(96:96,I34,97:97)-SUMIF(96:96,C34,97:97)+100</f>
        <v>100</v>
      </c>
      <c r="K34" s="1369"/>
      <c r="L34" s="458"/>
      <c r="M34" s="449"/>
      <c r="N34" s="449"/>
      <c r="O34" s="457"/>
      <c r="P34" s="1998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998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76">
        <v>111</v>
      </c>
      <c r="C35" s="1077">
        <v>111</v>
      </c>
      <c r="D35" s="56">
        <v>100</v>
      </c>
      <c r="E35" s="1355"/>
      <c r="F35" s="56">
        <f>SUMIF(98:98,E35,99:99)-SUMIF(98:98,C35,99:99)+100</f>
        <v>0</v>
      </c>
      <c r="G35" s="1355"/>
      <c r="H35" s="56">
        <f>SUMIF(98:98,G35,99:99)-SUMIF(98:98,C35,99:99)+100</f>
        <v>0</v>
      </c>
      <c r="I35" s="1365"/>
      <c r="J35" s="56">
        <f>SUMIF(98:98,I35,99:99)-SUMIF(98:98,C35,99:99)+100</f>
        <v>0</v>
      </c>
      <c r="K35" s="1368"/>
      <c r="L35" s="458"/>
      <c r="M35" s="449"/>
      <c r="N35" s="449"/>
      <c r="O35" s="457"/>
      <c r="P35" s="1998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998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85">
        <v>111</v>
      </c>
      <c r="C36" s="1078">
        <v>111</v>
      </c>
      <c r="D36" s="63">
        <v>100</v>
      </c>
      <c r="E36" s="1356"/>
      <c r="F36" s="63">
        <f>SUMIF(100:100,E37,101:101)-SUMIF(100:100,C37,101:101)+100</f>
        <v>100</v>
      </c>
      <c r="G36" s="1356"/>
      <c r="H36" s="63">
        <f>SUMIF(100:100,G36,101:101)-SUMIF(100:100,C36,101:101)+100</f>
        <v>0</v>
      </c>
      <c r="I36" s="1366"/>
      <c r="J36" s="63">
        <f>SUMIF(100:100,I36,101:101)-SUMIF(100:100,C36,101:101)+100</f>
        <v>0</v>
      </c>
      <c r="K36" s="1368"/>
      <c r="L36" s="458"/>
      <c r="M36" s="449"/>
      <c r="N36" s="449"/>
      <c r="O36" s="457"/>
      <c r="P36" s="2000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2001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90" t="s">
        <v>1559</v>
      </c>
      <c r="B37" s="1087"/>
      <c r="C37" s="1139"/>
      <c r="D37" s="47">
        <v>100</v>
      </c>
      <c r="E37" s="1139"/>
      <c r="F37" s="1086">
        <f>SUMIF(102:102,E37,103:103)-SUMIF(102:102,C37,103:103)+100</f>
        <v>100</v>
      </c>
      <c r="G37" s="1139"/>
      <c r="H37" s="1086">
        <f>SUMIF(102:102,G37,103:103)-SUMIF(102:102,C37,103:103)+100</f>
        <v>100</v>
      </c>
      <c r="I37" s="1139"/>
      <c r="J37" s="1086">
        <f>SUMIF(102:102,I37,103:103)-SUMIF(102:102,C37,103:103)+100</f>
        <v>100</v>
      </c>
      <c r="K37" s="161"/>
      <c r="L37" s="456"/>
      <c r="M37" s="459"/>
      <c r="N37" s="459"/>
      <c r="O37" s="460"/>
      <c r="P37" s="2001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2001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1560</v>
      </c>
      <c r="B38" s="145" t="s">
        <v>138</v>
      </c>
      <c r="C38" s="1370"/>
      <c r="D38" s="61">
        <v>100</v>
      </c>
      <c r="E38" s="1345"/>
      <c r="F38" s="61">
        <f>LOOKUP(E38,105:105,106:106)-LOOKUP(C38,105:105,106:106)+100</f>
        <v>100</v>
      </c>
      <c r="G38" s="1345"/>
      <c r="H38" s="61">
        <f>LOOKUP(G38,105:105,106:106)-LOOKUP(C38,105:105,106:106)+100</f>
        <v>100</v>
      </c>
      <c r="I38" s="1345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2001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2001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57"/>
      <c r="D39" s="56">
        <v>100</v>
      </c>
      <c r="E39" s="1357"/>
      <c r="F39" s="56">
        <f>SUMIF(107:107,E39,108:108)-SUMIF(107:107,C39,108:108)+100</f>
        <v>100</v>
      </c>
      <c r="G39" s="1357"/>
      <c r="H39" s="56">
        <f>SUMIF(107:107,G39,108:108)-SUMIF(107:107,C39,108:108)+100</f>
        <v>100</v>
      </c>
      <c r="I39" s="1357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2001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2001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57"/>
      <c r="D40" s="56">
        <v>100</v>
      </c>
      <c r="E40" s="1357"/>
      <c r="F40" s="56">
        <f>SUMIF(109:109,E40,110:110)-SUMIF(109:109,C40,110:110)+100</f>
        <v>100</v>
      </c>
      <c r="G40" s="1357"/>
      <c r="H40" s="56">
        <f>SUMIF(109:109,G40,110:110)-SUMIF(109:109,C40,110:110)+100</f>
        <v>100</v>
      </c>
      <c r="I40" s="1357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2001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2001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58"/>
      <c r="D41" s="24">
        <v>100</v>
      </c>
      <c r="E41" s="1358"/>
      <c r="F41" s="56">
        <f>SUMIF(111:111,E41,112:112)-SUMIF(111:111,C41,112:112)+100</f>
        <v>100</v>
      </c>
      <c r="G41" s="1358"/>
      <c r="H41" s="56">
        <f>SUMIF(111:111,G41,112:112)-SUMIF(111:111,C41,112:112)+100</f>
        <v>100</v>
      </c>
      <c r="I41" s="1358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2001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2001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57"/>
      <c r="D42" s="56">
        <v>100</v>
      </c>
      <c r="E42" s="1357"/>
      <c r="F42" s="56">
        <f>SUMIF(113:113,E42,114:114)-SUMIF(113:113,C42,114:114)+100</f>
        <v>100</v>
      </c>
      <c r="G42" s="1357"/>
      <c r="H42" s="56">
        <f>SUMIF(113:113,G42,114:114)-SUMIF(113:113,C42,114:114)+100</f>
        <v>100</v>
      </c>
      <c r="I42" s="1357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2001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2001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88">
        <v>111</v>
      </c>
      <c r="C43" s="1359"/>
      <c r="D43" s="56">
        <v>100</v>
      </c>
      <c r="E43" s="1359"/>
      <c r="F43" s="56">
        <f>SUMIF(115:115,E43,116:116)-SUMIF(115:115,C43,116:116)+100</f>
        <v>100</v>
      </c>
      <c r="G43" s="1359"/>
      <c r="H43" s="56">
        <f>SUMIF(115:115,G43,116:116)-SUMIF(115:115,C43,116:116)+100</f>
        <v>100</v>
      </c>
      <c r="I43" s="1359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2001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2001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88">
        <v>111</v>
      </c>
      <c r="C44" s="1359"/>
      <c r="D44" s="56">
        <v>100</v>
      </c>
      <c r="E44" s="1359"/>
      <c r="F44" s="56">
        <f>SUMIF(117:117,E44,118:118)-SUMIF(117:117,C44,118:118)+100</f>
        <v>100</v>
      </c>
      <c r="G44" s="1359"/>
      <c r="H44" s="56">
        <f>SUMIF(117:117,G44,118:118)-SUMIF(117:117,C44,118:118)+100</f>
        <v>100</v>
      </c>
      <c r="I44" s="1359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2001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2001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91" t="s">
        <v>1561</v>
      </c>
      <c r="B45" s="1089"/>
      <c r="C45" s="1139"/>
      <c r="D45" s="1140">
        <v>100</v>
      </c>
      <c r="E45" s="1139"/>
      <c r="F45" s="58">
        <f>SUMIF(119:119,E45,120:120)-SUMIF(119:119,C45,120:120)+100</f>
        <v>100</v>
      </c>
      <c r="G45" s="1139"/>
      <c r="H45" s="58">
        <f>SUMIF(119:119,G45,120:120)-SUMIF(119:119,C45,120:120)+100</f>
        <v>100</v>
      </c>
      <c r="I45" s="1139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2001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2001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1756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969" t="str">
        <f>A46</f>
        <v>成交单价</v>
      </c>
      <c r="Q46" s="1969"/>
      <c r="R46" s="1993">
        <f>E46</f>
        <v>0</v>
      </c>
      <c r="S46" s="1993"/>
      <c r="T46" s="1993">
        <f>G46</f>
        <v>0</v>
      </c>
      <c r="U46" s="1993"/>
      <c r="V46" s="1993">
        <f>I46</f>
        <v>0</v>
      </c>
      <c r="W46" s="1993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969" t="str">
        <f>A47</f>
        <v>比较价值（元/平方米）</v>
      </c>
      <c r="Q47" s="1969"/>
      <c r="R47" s="2002" t="e">
        <f>ROUND(PRODUCT(R46,AA7:AA45),0)</f>
        <v>#DIV/0!</v>
      </c>
      <c r="S47" s="2002"/>
      <c r="T47" s="2002" t="e">
        <f>ROUND(PRODUCT(T46,AB7:AB45),0)</f>
        <v>#DIV/0!</v>
      </c>
      <c r="U47" s="2002"/>
      <c r="V47" s="2002" t="e">
        <f>ROUND(PRODUCT(V46,AC7:AC45),0)</f>
        <v>#DIV/0!</v>
      </c>
      <c r="W47" s="2002"/>
      <c r="X47" s="196"/>
      <c r="Y47" s="196"/>
      <c r="Z47" s="196"/>
      <c r="AA47" s="196"/>
      <c r="AB47" s="196"/>
      <c r="AC47" s="196"/>
    </row>
    <row r="48" spans="1:29" ht="15.75" thickBot="1">
      <c r="A48" s="1171" t="str">
        <f>"估价对象比较价值（"&amp;B46&amp;"，元/平方米）"</f>
        <v>估价对象比较价值（单价内涵，元/平方米）</v>
      </c>
      <c r="B48" s="1172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2003" t="str">
        <f>A48</f>
        <v>估价对象比较价值（单价内涵，元/平方米）</v>
      </c>
      <c r="Q48" s="2004"/>
      <c r="R48" s="2005" t="e">
        <f>ROUND(AVERAGE(R47:V47),0)</f>
        <v>#DIV/0!</v>
      </c>
      <c r="S48" s="2005"/>
      <c r="T48" s="2005"/>
      <c r="U48" s="2005"/>
      <c r="V48" s="2005"/>
      <c r="W48" s="2005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2011-9-1</v>
      </c>
      <c r="D56" s="1671">
        <f>EDATE(C56,-3)</f>
        <v>40695</v>
      </c>
      <c r="E56" s="1671">
        <f t="shared" ref="E56:O56" si="15">EDATE(D56,-3)</f>
        <v>40603</v>
      </c>
      <c r="F56" s="1671">
        <f t="shared" si="15"/>
        <v>40513</v>
      </c>
      <c r="G56" s="1671">
        <f t="shared" si="15"/>
        <v>40422</v>
      </c>
      <c r="H56" s="1671">
        <f t="shared" si="15"/>
        <v>40330</v>
      </c>
      <c r="I56" s="1671">
        <f t="shared" si="15"/>
        <v>40238</v>
      </c>
      <c r="J56" s="1671">
        <f t="shared" si="15"/>
        <v>40148</v>
      </c>
      <c r="K56" s="1671">
        <f t="shared" si="15"/>
        <v>40057</v>
      </c>
      <c r="L56" s="1671">
        <f t="shared" si="15"/>
        <v>39965</v>
      </c>
      <c r="M56" s="1671">
        <f t="shared" si="15"/>
        <v>39873</v>
      </c>
      <c r="N56" s="1671">
        <f t="shared" si="15"/>
        <v>39783</v>
      </c>
      <c r="O56" s="1671">
        <f t="shared" si="15"/>
        <v>39692</v>
      </c>
    </row>
    <row r="57" spans="1:17" ht="21.75" thickBot="1">
      <c r="A57" s="1163" t="s">
        <v>113</v>
      </c>
      <c r="B57" s="1164"/>
      <c r="C57" s="1165"/>
      <c r="D57" s="1165"/>
      <c r="E57" s="1165"/>
      <c r="F57" s="1166"/>
      <c r="G57" s="1166"/>
      <c r="H57" s="1165"/>
      <c r="I57" s="1167"/>
      <c r="J57" s="1167"/>
      <c r="K57" s="1168"/>
      <c r="L57" s="1169"/>
      <c r="M57" s="1167"/>
      <c r="N57" s="475"/>
      <c r="O57" s="475"/>
      <c r="P57" s="86"/>
      <c r="Q57" s="87"/>
    </row>
    <row r="58" spans="1:17" s="1159" customFormat="1" ht="15">
      <c r="A58" s="88" t="s">
        <v>98</v>
      </c>
      <c r="B58" s="89"/>
      <c r="C58" s="1670" t="str">
        <f>YEAR(C56)&amp;"-"&amp;ROUNDUP(MONTH(C56)/3,0)</f>
        <v>2011-3</v>
      </c>
      <c r="D58" s="1670" t="str">
        <f t="shared" ref="D58:O58" si="16">YEAR(D56)&amp;"-"&amp;ROUNDUP(MONTH(D56)/3,0)</f>
        <v>2011-2</v>
      </c>
      <c r="E58" s="1670" t="str">
        <f t="shared" si="16"/>
        <v>2011-1</v>
      </c>
      <c r="F58" s="1670" t="str">
        <f t="shared" si="16"/>
        <v>2010-4</v>
      </c>
      <c r="G58" s="1670" t="str">
        <f t="shared" si="16"/>
        <v>2010-3</v>
      </c>
      <c r="H58" s="1670" t="str">
        <f t="shared" si="16"/>
        <v>2010-2</v>
      </c>
      <c r="I58" s="1670" t="str">
        <f t="shared" si="16"/>
        <v>2010-1</v>
      </c>
      <c r="J58" s="1670" t="str">
        <f t="shared" si="16"/>
        <v>2009-4</v>
      </c>
      <c r="K58" s="1670" t="str">
        <f t="shared" si="16"/>
        <v>2009-3</v>
      </c>
      <c r="L58" s="1670" t="str">
        <f t="shared" si="16"/>
        <v>2009-2</v>
      </c>
      <c r="M58" s="1670" t="str">
        <f t="shared" si="16"/>
        <v>2009-1</v>
      </c>
      <c r="N58" s="1670" t="str">
        <f t="shared" si="16"/>
        <v>2008-4</v>
      </c>
      <c r="O58" s="1670" t="str">
        <f t="shared" si="16"/>
        <v>2008-3</v>
      </c>
      <c r="P58" s="1158"/>
    </row>
    <row r="59" spans="1:17" s="1098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691"/>
      <c r="N59" s="92"/>
      <c r="O59" s="1692"/>
      <c r="P59" s="1094"/>
    </row>
    <row r="60" spans="1:17" s="1098" customFormat="1" ht="15.75" thickBot="1">
      <c r="A60" s="94" t="s">
        <v>114</v>
      </c>
      <c r="B60" s="95"/>
      <c r="C60" s="1160"/>
      <c r="D60" s="1161"/>
      <c r="E60" s="1161"/>
      <c r="F60" s="1161"/>
      <c r="G60" s="1161"/>
      <c r="H60" s="1161"/>
      <c r="I60" s="1161"/>
      <c r="J60" s="1161"/>
      <c r="K60" s="1161"/>
      <c r="L60" s="1161"/>
      <c r="M60" s="1162"/>
      <c r="N60" s="1161"/>
      <c r="O60" s="1669"/>
      <c r="P60" s="1094"/>
      <c r="Q60" s="1094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'主表(商业）'!B12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58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55" t="s">
        <v>1547</v>
      </c>
      <c r="D70" s="1055" t="s">
        <v>1548</v>
      </c>
      <c r="E70" s="1055" t="s">
        <v>1549</v>
      </c>
      <c r="F70" s="1055" t="s">
        <v>1550</v>
      </c>
      <c r="G70" s="1055" t="s">
        <v>1551</v>
      </c>
      <c r="H70" s="1055" t="s">
        <v>1552</v>
      </c>
      <c r="I70" s="1055" t="s">
        <v>1553</v>
      </c>
      <c r="J70" s="1055" t="s">
        <v>1554</v>
      </c>
      <c r="K70" s="1055" t="s">
        <v>1555</v>
      </c>
      <c r="L70" s="1055" t="s">
        <v>1556</v>
      </c>
      <c r="M70" s="1056" t="s">
        <v>1557</v>
      </c>
      <c r="N70" s="1056" t="s">
        <v>1558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102" customFormat="1" ht="15.75" hidden="1" thickTop="1">
      <c r="A72" s="121"/>
      <c r="B72" s="106">
        <f>B13</f>
        <v>111</v>
      </c>
      <c r="C72" s="1103">
        <v>111</v>
      </c>
      <c r="D72" s="1103">
        <v>222</v>
      </c>
      <c r="E72" s="1103">
        <v>333</v>
      </c>
      <c r="F72" s="1103">
        <v>444</v>
      </c>
      <c r="G72" s="1103"/>
      <c r="H72" s="1141"/>
      <c r="I72" s="1141"/>
      <c r="J72" s="1141"/>
      <c r="K72" s="1141"/>
      <c r="L72" s="1142"/>
      <c r="M72" s="1143"/>
      <c r="N72" s="1099"/>
      <c r="O72" s="1099"/>
      <c r="P72" s="1144"/>
      <c r="Q72" s="1145"/>
    </row>
    <row r="73" spans="1:17" s="1102" customFormat="1" ht="15.75" hidden="1" thickBot="1">
      <c r="A73" s="121"/>
      <c r="B73" s="111"/>
      <c r="C73" s="1112">
        <v>100</v>
      </c>
      <c r="D73" s="1112">
        <v>99</v>
      </c>
      <c r="E73" s="1112">
        <v>98</v>
      </c>
      <c r="F73" s="1112">
        <v>97</v>
      </c>
      <c r="G73" s="1112"/>
      <c r="H73" s="1146"/>
      <c r="I73" s="1146"/>
      <c r="J73" s="1146"/>
      <c r="K73" s="1146"/>
      <c r="L73" s="1146"/>
      <c r="M73" s="1147"/>
      <c r="N73" s="1099"/>
      <c r="O73" s="1099"/>
      <c r="P73" s="1100"/>
      <c r="Q73" s="1101"/>
    </row>
    <row r="74" spans="1:17" s="1102" customFormat="1" ht="15.75" hidden="1" thickTop="1">
      <c r="A74" s="121"/>
      <c r="B74" s="114">
        <f>B14</f>
        <v>111</v>
      </c>
      <c r="C74" s="1115">
        <v>111</v>
      </c>
      <c r="D74" s="1115">
        <v>222</v>
      </c>
      <c r="E74" s="1115">
        <v>333</v>
      </c>
      <c r="F74" s="1115">
        <v>444</v>
      </c>
      <c r="G74" s="1115"/>
      <c r="H74" s="1148"/>
      <c r="I74" s="1148"/>
      <c r="J74" s="1148"/>
      <c r="K74" s="1148"/>
      <c r="L74" s="1149"/>
      <c r="M74" s="1150"/>
      <c r="N74" s="1099"/>
      <c r="O74" s="1099"/>
      <c r="P74" s="1151"/>
      <c r="Q74" s="1101"/>
    </row>
    <row r="75" spans="1:17" s="1102" customFormat="1" ht="15.75" hidden="1" thickBot="1">
      <c r="A75" s="124"/>
      <c r="B75" s="125"/>
      <c r="C75" s="1116">
        <v>100</v>
      </c>
      <c r="D75" s="1116">
        <v>98</v>
      </c>
      <c r="E75" s="1116">
        <v>96</v>
      </c>
      <c r="F75" s="1116">
        <v>94</v>
      </c>
      <c r="G75" s="1116"/>
      <c r="H75" s="1152"/>
      <c r="I75" s="1152"/>
      <c r="J75" s="1152"/>
      <c r="K75" s="1152"/>
      <c r="L75" s="1152"/>
      <c r="M75" s="1153"/>
      <c r="N75" s="1099"/>
      <c r="O75" s="1099"/>
      <c r="P75" s="1100"/>
      <c r="Q75" s="1101"/>
    </row>
    <row r="76" spans="1:17" s="1095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92"/>
      <c r="O76" s="1092"/>
      <c r="P76" s="1093"/>
      <c r="Q76" s="1094"/>
    </row>
    <row r="77" spans="1:17" s="1095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96"/>
      <c r="O77" s="1096"/>
      <c r="P77" s="1097"/>
      <c r="Q77" s="1094"/>
    </row>
    <row r="78" spans="1:17" s="1095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92"/>
      <c r="O78" s="1092"/>
      <c r="P78" s="1097"/>
      <c r="Q78" s="1094"/>
    </row>
    <row r="79" spans="1:17" s="1095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96"/>
      <c r="O79" s="1096"/>
      <c r="P79" s="1097"/>
      <c r="Q79" s="1094"/>
    </row>
    <row r="80" spans="1:17" s="1095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92"/>
      <c r="O80" s="1092"/>
      <c r="P80" s="1097"/>
      <c r="Q80" s="1094"/>
    </row>
    <row r="81" spans="1:17" s="1095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96"/>
      <c r="O81" s="1096"/>
      <c r="P81" s="1097"/>
      <c r="Q81" s="1094"/>
    </row>
    <row r="82" spans="1:17" s="1095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92"/>
      <c r="O82" s="1092"/>
      <c r="P82" s="1097"/>
      <c r="Q82" s="1094"/>
    </row>
    <row r="83" spans="1:17" s="1095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96"/>
      <c r="O83" s="1096"/>
      <c r="P83" s="1097"/>
      <c r="Q83" s="1094"/>
    </row>
    <row r="84" spans="1:17" s="1098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97"/>
      <c r="Q84" s="1094"/>
    </row>
    <row r="85" spans="1:17" s="1098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96"/>
      <c r="O85" s="1096"/>
      <c r="P85" s="1097"/>
      <c r="Q85" s="1094"/>
    </row>
    <row r="86" spans="1:17" s="1098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97"/>
      <c r="Q86" s="1094"/>
    </row>
    <row r="87" spans="1:17" s="1098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96"/>
      <c r="O87" s="1096"/>
      <c r="P87" s="1097"/>
      <c r="Q87" s="1094"/>
    </row>
    <row r="88" spans="1:17" s="1102" customFormat="1" ht="15.75" hidden="1" thickTop="1">
      <c r="A88" s="121"/>
      <c r="B88" s="156" t="s">
        <v>1204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99"/>
      <c r="O88" s="1099"/>
      <c r="P88" s="1100"/>
      <c r="Q88" s="1101"/>
    </row>
    <row r="89" spans="1:17" s="1102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99"/>
      <c r="O89" s="1099"/>
      <c r="P89" s="1100"/>
      <c r="Q89" s="1101"/>
    </row>
    <row r="90" spans="1:17" s="1102" customFormat="1" ht="15.75" hidden="1" thickTop="1">
      <c r="A90" s="121"/>
      <c r="B90" s="158" t="s">
        <v>1206</v>
      </c>
      <c r="C90" s="11" t="s">
        <v>1199</v>
      </c>
      <c r="D90" s="11" t="s">
        <v>1200</v>
      </c>
      <c r="E90" s="11" t="s">
        <v>1201</v>
      </c>
      <c r="F90" s="11" t="s">
        <v>1202</v>
      </c>
      <c r="G90" s="11" t="s">
        <v>1203</v>
      </c>
      <c r="H90" s="135"/>
      <c r="I90" s="135"/>
      <c r="J90" s="135"/>
      <c r="K90" s="135"/>
      <c r="L90" s="135"/>
      <c r="M90" s="137"/>
      <c r="N90" s="1099"/>
      <c r="O90" s="1099"/>
      <c r="P90" s="1100"/>
      <c r="Q90" s="1101"/>
    </row>
    <row r="91" spans="1:17" s="1102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9"/>
      <c r="N91" s="1099"/>
      <c r="O91" s="1099"/>
      <c r="P91" s="1100"/>
      <c r="Q91" s="1101"/>
    </row>
    <row r="92" spans="1:17" s="1095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92"/>
      <c r="O92" s="1092"/>
      <c r="P92" s="1097"/>
      <c r="Q92" s="1094"/>
    </row>
    <row r="93" spans="1:17" s="1095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96"/>
      <c r="O93" s="1096"/>
      <c r="P93" s="1097"/>
      <c r="Q93" s="1094"/>
    </row>
    <row r="94" spans="1:17" s="1095" customFormat="1" ht="27.75" hidden="1" thickTop="1">
      <c r="A94" s="102"/>
      <c r="B94" s="106" t="s">
        <v>129</v>
      </c>
      <c r="C94" s="1103" t="s">
        <v>19</v>
      </c>
      <c r="D94" s="1103" t="s">
        <v>20</v>
      </c>
      <c r="E94" s="1103" t="s">
        <v>22</v>
      </c>
      <c r="F94" s="1103" t="s">
        <v>23</v>
      </c>
      <c r="G94" s="1103" t="s">
        <v>24</v>
      </c>
      <c r="H94" s="1104"/>
      <c r="I94" s="1104"/>
      <c r="J94" s="1104"/>
      <c r="K94" s="1105"/>
      <c r="L94" s="1106"/>
      <c r="M94" s="1107"/>
      <c r="N94" s="1092"/>
      <c r="O94" s="1092"/>
      <c r="P94" s="1097"/>
      <c r="Q94" s="1094"/>
    </row>
    <row r="95" spans="1:17" s="1095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96"/>
      <c r="O95" s="1096"/>
      <c r="P95" s="1097"/>
      <c r="Q95" s="1094"/>
    </row>
    <row r="96" spans="1:17" s="1095" customFormat="1" ht="15.75" hidden="1" thickTop="1">
      <c r="A96" s="102"/>
      <c r="B96" s="106">
        <v>111</v>
      </c>
      <c r="C96" s="1104">
        <v>111</v>
      </c>
      <c r="D96" s="1104">
        <v>222</v>
      </c>
      <c r="E96" s="1104">
        <v>333</v>
      </c>
      <c r="F96" s="1104"/>
      <c r="G96" s="1104"/>
      <c r="H96" s="1104"/>
      <c r="I96" s="1104"/>
      <c r="J96" s="1104"/>
      <c r="K96" s="1105"/>
      <c r="L96" s="1106"/>
      <c r="M96" s="1107"/>
      <c r="N96" s="1092"/>
      <c r="O96" s="1092"/>
      <c r="P96" s="1097"/>
      <c r="Q96" s="1094"/>
    </row>
    <row r="97" spans="1:17" s="1095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96"/>
      <c r="O97" s="1096"/>
      <c r="P97" s="1097"/>
      <c r="Q97" s="1094"/>
    </row>
    <row r="98" spans="1:17" s="1095" customFormat="1" ht="15.75" hidden="1" thickTop="1">
      <c r="A98" s="102"/>
      <c r="B98" s="114">
        <f>B35</f>
        <v>111</v>
      </c>
      <c r="C98" s="1103">
        <v>111</v>
      </c>
      <c r="D98" s="1103">
        <v>222</v>
      </c>
      <c r="E98" s="1103">
        <v>333</v>
      </c>
      <c r="F98" s="1103">
        <v>444</v>
      </c>
      <c r="G98" s="1108"/>
      <c r="H98" s="1108"/>
      <c r="I98" s="1108"/>
      <c r="J98" s="1108"/>
      <c r="K98" s="1109"/>
      <c r="L98" s="1110"/>
      <c r="M98" s="1111"/>
      <c r="N98" s="1092"/>
      <c r="O98" s="1092"/>
      <c r="P98" s="1097"/>
      <c r="Q98" s="1094"/>
    </row>
    <row r="99" spans="1:17" s="1095" customFormat="1" ht="15.75" hidden="1" thickBot="1">
      <c r="A99" s="102"/>
      <c r="B99" s="125"/>
      <c r="C99" s="1112">
        <v>100</v>
      </c>
      <c r="D99" s="1112">
        <v>99</v>
      </c>
      <c r="E99" s="1112">
        <v>98</v>
      </c>
      <c r="F99" s="1112">
        <v>97</v>
      </c>
      <c r="G99" s="1113"/>
      <c r="H99" s="1113"/>
      <c r="I99" s="1113"/>
      <c r="J99" s="1113"/>
      <c r="K99" s="1113"/>
      <c r="L99" s="1113"/>
      <c r="M99" s="1114"/>
      <c r="N99" s="1096"/>
      <c r="O99" s="1096"/>
      <c r="P99" s="1097"/>
      <c r="Q99" s="1094"/>
    </row>
    <row r="100" spans="1:17" s="1095" customFormat="1" ht="15" hidden="1" thickTop="1">
      <c r="A100" s="162"/>
      <c r="B100" s="106">
        <f>B36</f>
        <v>111</v>
      </c>
      <c r="C100" s="1115">
        <v>111</v>
      </c>
      <c r="D100" s="1115">
        <v>222</v>
      </c>
      <c r="E100" s="1115">
        <v>333</v>
      </c>
      <c r="F100" s="1115">
        <v>444</v>
      </c>
      <c r="G100" s="1104"/>
      <c r="H100" s="1104"/>
      <c r="I100" s="1104"/>
      <c r="J100" s="1104"/>
      <c r="K100" s="1105"/>
      <c r="L100" s="1106"/>
      <c r="M100" s="1107"/>
      <c r="N100" s="1092"/>
      <c r="O100" s="1092"/>
      <c r="P100" s="1097"/>
      <c r="Q100" s="1094"/>
    </row>
    <row r="101" spans="1:17" s="1095" customFormat="1" ht="15" hidden="1">
      <c r="A101" s="102"/>
      <c r="B101" s="114"/>
      <c r="C101" s="1117">
        <v>100</v>
      </c>
      <c r="D101" s="1117">
        <v>98</v>
      </c>
      <c r="E101" s="1117">
        <v>96</v>
      </c>
      <c r="F101" s="1117">
        <v>94</v>
      </c>
      <c r="G101" s="1118"/>
      <c r="H101" s="1118"/>
      <c r="I101" s="1118"/>
      <c r="J101" s="1118"/>
      <c r="K101" s="1118"/>
      <c r="L101" s="1118"/>
      <c r="M101" s="1119"/>
      <c r="N101" s="1096"/>
      <c r="O101" s="1096"/>
      <c r="P101" s="1097"/>
      <c r="Q101" s="1094"/>
    </row>
    <row r="102" spans="1:17" s="65" customFormat="1" ht="15" thickTop="1">
      <c r="A102" s="1136" t="str">
        <f>A37</f>
        <v>区位状况</v>
      </c>
      <c r="B102" s="1137"/>
      <c r="C102" s="1134" t="s">
        <v>1562</v>
      </c>
      <c r="D102" s="1134" t="s">
        <v>1563</v>
      </c>
      <c r="E102" s="1134" t="s">
        <v>1564</v>
      </c>
      <c r="F102" s="1134" t="s">
        <v>1565</v>
      </c>
      <c r="G102" s="1134" t="s">
        <v>1566</v>
      </c>
      <c r="H102" s="1120"/>
      <c r="I102" s="1120"/>
      <c r="J102" s="1121"/>
      <c r="K102" s="1121"/>
      <c r="L102" s="1122"/>
      <c r="M102" s="1123"/>
      <c r="N102" s="474"/>
      <c r="O102" s="474"/>
      <c r="P102" s="122"/>
      <c r="Q102" s="123"/>
    </row>
    <row r="103" spans="1:17" s="65" customFormat="1" ht="15" thickBot="1">
      <c r="A103" s="1138"/>
      <c r="B103" s="125"/>
      <c r="C103" s="1135">
        <v>100</v>
      </c>
      <c r="D103" s="1042">
        <f>C103-$K37</f>
        <v>100</v>
      </c>
      <c r="E103" s="1042">
        <f>D103-$K37</f>
        <v>100</v>
      </c>
      <c r="F103" s="1042">
        <f>E103-$K37</f>
        <v>100</v>
      </c>
      <c r="G103" s="1042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95" customFormat="1" ht="30" hidden="1" thickTop="1" thickBot="1">
      <c r="A104" s="1125" t="s">
        <v>1561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17" t="str">
        <f t="shared" si="23"/>
        <v>100000(含)-150000</v>
      </c>
      <c r="I104" s="1517" t="str">
        <f t="shared" si="23"/>
        <v>150000(含)-200000</v>
      </c>
      <c r="J104" s="1517" t="str">
        <f t="shared" si="23"/>
        <v>200000(含)-300000</v>
      </c>
      <c r="K104" s="1518" t="str">
        <f t="shared" si="23"/>
        <v>300000(含)-500000</v>
      </c>
      <c r="L104" s="1519" t="str">
        <f t="shared" si="23"/>
        <v>500000(含)-</v>
      </c>
      <c r="M104" s="1520" t="str">
        <f>M105&amp;"(含)"&amp;"-"&amp;P105</f>
        <v>(含)-</v>
      </c>
      <c r="N104" s="1092"/>
      <c r="O104" s="1092"/>
      <c r="P104" s="1097"/>
      <c r="Q104" s="1094"/>
    </row>
    <row r="105" spans="1:17" s="1095" customFormat="1" ht="15" hidden="1" thickBot="1">
      <c r="A105" s="1125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21">
        <v>100000</v>
      </c>
      <c r="I105" s="1521">
        <v>150000</v>
      </c>
      <c r="J105" s="1522">
        <v>200000</v>
      </c>
      <c r="K105" s="1522">
        <v>300000</v>
      </c>
      <c r="L105" s="1523">
        <v>500000</v>
      </c>
      <c r="M105" s="1524"/>
      <c r="N105" s="1092"/>
      <c r="O105" s="1092"/>
      <c r="P105" s="1097"/>
      <c r="Q105" s="1094"/>
    </row>
    <row r="106" spans="1:17" s="1095" customFormat="1" ht="15" hidden="1" thickBot="1">
      <c r="A106" s="1125"/>
      <c r="B106" s="111"/>
      <c r="C106" s="1129">
        <v>100</v>
      </c>
      <c r="D106" s="1042">
        <v>101</v>
      </c>
      <c r="E106" s="1042">
        <v>102</v>
      </c>
      <c r="F106" s="1042">
        <v>103</v>
      </c>
      <c r="G106" s="1042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96"/>
      <c r="O106" s="1096"/>
      <c r="P106" s="1097"/>
      <c r="Q106" s="1094"/>
    </row>
    <row r="107" spans="1:17" s="1095" customFormat="1" ht="15.75" hidden="1" thickTop="1" thickBot="1">
      <c r="A107" s="1126"/>
      <c r="B107" s="106" t="s">
        <v>152</v>
      </c>
      <c r="C107" s="1130" t="s">
        <v>235</v>
      </c>
      <c r="D107" s="1130" t="s">
        <v>236</v>
      </c>
      <c r="E107" s="1130" t="s">
        <v>237</v>
      </c>
      <c r="F107" s="1130" t="s">
        <v>238</v>
      </c>
      <c r="G107" s="1130"/>
      <c r="H107" s="1525"/>
      <c r="I107" s="1525"/>
      <c r="J107" s="1525"/>
      <c r="K107" s="1526"/>
      <c r="L107" s="1527"/>
      <c r="M107" s="1528"/>
      <c r="N107" s="1092"/>
      <c r="O107" s="1092"/>
      <c r="P107" s="1097"/>
      <c r="Q107" s="1094"/>
    </row>
    <row r="108" spans="1:17" s="1095" customFormat="1" ht="15" hidden="1" thickBot="1">
      <c r="A108" s="1125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58">
        <f t="shared" si="24"/>
        <v>100</v>
      </c>
      <c r="I108" s="658">
        <f t="shared" si="24"/>
        <v>100</v>
      </c>
      <c r="J108" s="658">
        <f t="shared" si="24"/>
        <v>100</v>
      </c>
      <c r="K108" s="658">
        <f t="shared" si="24"/>
        <v>100</v>
      </c>
      <c r="L108" s="658">
        <f t="shared" si="24"/>
        <v>100</v>
      </c>
      <c r="M108" s="1529">
        <f t="shared" si="24"/>
        <v>100</v>
      </c>
      <c r="N108" s="1096"/>
      <c r="O108" s="1096"/>
      <c r="P108" s="1097"/>
      <c r="Q108" s="1094"/>
    </row>
    <row r="109" spans="1:17" s="1095" customFormat="1" ht="15.75" hidden="1" thickTop="1" thickBot="1">
      <c r="A109" s="1126"/>
      <c r="B109" s="106" t="s">
        <v>153</v>
      </c>
      <c r="C109" s="1131" t="s">
        <v>239</v>
      </c>
      <c r="D109" s="1131" t="s">
        <v>240</v>
      </c>
      <c r="E109" s="1131" t="s">
        <v>241</v>
      </c>
      <c r="F109" s="1130"/>
      <c r="G109" s="1130"/>
      <c r="H109" s="1525"/>
      <c r="I109" s="1525"/>
      <c r="J109" s="1525"/>
      <c r="K109" s="1526"/>
      <c r="L109" s="1527"/>
      <c r="M109" s="1528"/>
      <c r="N109" s="1092"/>
      <c r="O109" s="1092"/>
      <c r="P109" s="1097"/>
      <c r="Q109" s="1094"/>
    </row>
    <row r="110" spans="1:17" s="1095" customFormat="1" ht="15" hidden="1" thickBot="1">
      <c r="A110" s="1125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58">
        <f t="shared" si="25"/>
        <v>100</v>
      </c>
      <c r="I110" s="658">
        <f t="shared" si="25"/>
        <v>100</v>
      </c>
      <c r="J110" s="658">
        <f t="shared" si="25"/>
        <v>100</v>
      </c>
      <c r="K110" s="658">
        <f t="shared" si="25"/>
        <v>100</v>
      </c>
      <c r="L110" s="658">
        <f t="shared" si="25"/>
        <v>100</v>
      </c>
      <c r="M110" s="1529">
        <f t="shared" si="25"/>
        <v>100</v>
      </c>
      <c r="N110" s="1096"/>
      <c r="O110" s="1096"/>
      <c r="P110" s="1097"/>
      <c r="Q110" s="1094"/>
    </row>
    <row r="111" spans="1:17" s="1102" customFormat="1" ht="15.75" hidden="1" thickTop="1" thickBot="1">
      <c r="A111" s="1127"/>
      <c r="B111" s="106" t="s">
        <v>154</v>
      </c>
      <c r="C111" s="1131" t="s">
        <v>242</v>
      </c>
      <c r="D111" s="1131" t="s">
        <v>243</v>
      </c>
      <c r="E111" s="1131" t="s">
        <v>244</v>
      </c>
      <c r="F111" s="1131" t="s">
        <v>245</v>
      </c>
      <c r="G111" s="1131" t="s">
        <v>246</v>
      </c>
      <c r="H111" s="1525"/>
      <c r="I111" s="1525"/>
      <c r="J111" s="1525"/>
      <c r="K111" s="1526"/>
      <c r="L111" s="1527"/>
      <c r="M111" s="1528"/>
      <c r="N111" s="1099"/>
      <c r="O111" s="1099"/>
      <c r="P111" s="1100"/>
      <c r="Q111" s="1101"/>
    </row>
    <row r="112" spans="1:17" s="1102" customFormat="1" ht="15" hidden="1" thickBot="1">
      <c r="A112" s="1124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58">
        <f t="shared" si="26"/>
        <v>100</v>
      </c>
      <c r="I112" s="658">
        <f t="shared" si="26"/>
        <v>100</v>
      </c>
      <c r="J112" s="658">
        <f t="shared" si="26"/>
        <v>100</v>
      </c>
      <c r="K112" s="658">
        <f t="shared" si="26"/>
        <v>100</v>
      </c>
      <c r="L112" s="658">
        <f t="shared" si="26"/>
        <v>100</v>
      </c>
      <c r="M112" s="1529">
        <f t="shared" si="26"/>
        <v>100</v>
      </c>
      <c r="N112" s="1099"/>
      <c r="O112" s="1099"/>
      <c r="P112" s="1100"/>
      <c r="Q112" s="1101"/>
    </row>
    <row r="113" spans="1:17" s="1095" customFormat="1" ht="15.75" hidden="1" thickTop="1" thickBot="1">
      <c r="A113" s="1126"/>
      <c r="B113" s="106" t="s">
        <v>155</v>
      </c>
      <c r="C113" s="1131" t="s">
        <v>247</v>
      </c>
      <c r="D113" s="1131" t="s">
        <v>248</v>
      </c>
      <c r="E113" s="1130" t="s">
        <v>249</v>
      </c>
      <c r="F113" s="1130" t="s">
        <v>250</v>
      </c>
      <c r="G113" s="1130" t="s">
        <v>251</v>
      </c>
      <c r="H113" s="1525"/>
      <c r="I113" s="1525"/>
      <c r="J113" s="1525"/>
      <c r="K113" s="1526"/>
      <c r="L113" s="1527"/>
      <c r="M113" s="1528"/>
      <c r="N113" s="1092"/>
      <c r="O113" s="1092"/>
      <c r="P113" s="1097"/>
      <c r="Q113" s="1094"/>
    </row>
    <row r="114" spans="1:17" s="1095" customFormat="1" ht="15" hidden="1" thickBot="1">
      <c r="A114" s="1125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58">
        <f t="shared" si="27"/>
        <v>100</v>
      </c>
      <c r="I114" s="658">
        <f t="shared" si="27"/>
        <v>100</v>
      </c>
      <c r="J114" s="658">
        <f t="shared" si="27"/>
        <v>100</v>
      </c>
      <c r="K114" s="658">
        <f t="shared" si="27"/>
        <v>100</v>
      </c>
      <c r="L114" s="658">
        <f t="shared" si="27"/>
        <v>100</v>
      </c>
      <c r="M114" s="1529">
        <f t="shared" si="27"/>
        <v>100</v>
      </c>
      <c r="N114" s="1096"/>
      <c r="O114" s="1096"/>
      <c r="P114" s="1097"/>
      <c r="Q114" s="1094"/>
    </row>
    <row r="115" spans="1:17" s="1095" customFormat="1" ht="15.75" hidden="1" thickTop="1" thickBot="1">
      <c r="A115" s="1126"/>
      <c r="B115" s="106">
        <f>B43</f>
        <v>111</v>
      </c>
      <c r="C115" s="1131">
        <v>111</v>
      </c>
      <c r="D115" s="1131">
        <v>222</v>
      </c>
      <c r="E115" s="1131">
        <v>333</v>
      </c>
      <c r="F115" s="1131">
        <v>444</v>
      </c>
      <c r="G115" s="1131"/>
      <c r="H115" s="1525"/>
      <c r="I115" s="1525"/>
      <c r="J115" s="1525"/>
      <c r="K115" s="1526"/>
      <c r="L115" s="1527"/>
      <c r="M115" s="1528"/>
      <c r="N115" s="1092"/>
      <c r="O115" s="1092"/>
      <c r="P115" s="1097"/>
      <c r="Q115" s="1094"/>
    </row>
    <row r="116" spans="1:17" s="1095" customFormat="1" ht="15" hidden="1" thickBot="1">
      <c r="A116" s="1125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96"/>
      <c r="O116" s="1096"/>
      <c r="P116" s="1097"/>
      <c r="Q116" s="1094"/>
    </row>
    <row r="117" spans="1:17" s="1095" customFormat="1" ht="15.75" hidden="1" thickTop="1" thickBot="1">
      <c r="A117" s="1126"/>
      <c r="B117" s="106">
        <f>B44</f>
        <v>111</v>
      </c>
      <c r="C117" s="1132">
        <v>111</v>
      </c>
      <c r="D117" s="1132">
        <v>222</v>
      </c>
      <c r="E117" s="1132">
        <v>333</v>
      </c>
      <c r="F117" s="1132">
        <v>444</v>
      </c>
      <c r="G117" s="1130"/>
      <c r="H117" s="1525"/>
      <c r="I117" s="1525"/>
      <c r="J117" s="1525"/>
      <c r="K117" s="1526"/>
      <c r="L117" s="1527"/>
      <c r="M117" s="1528"/>
      <c r="N117" s="1092"/>
      <c r="O117" s="1092"/>
      <c r="P117" s="1097"/>
      <c r="Q117" s="1094"/>
    </row>
    <row r="118" spans="1:17" s="1095" customFormat="1" ht="15" hidden="1" thickBot="1">
      <c r="A118" s="1125"/>
      <c r="B118" s="114"/>
      <c r="C118" s="1133">
        <v>100</v>
      </c>
      <c r="D118" s="1133">
        <v>98</v>
      </c>
      <c r="E118" s="1133">
        <v>96</v>
      </c>
      <c r="F118" s="1133">
        <v>94</v>
      </c>
      <c r="G118" s="237"/>
      <c r="H118" s="1530"/>
      <c r="I118" s="1530"/>
      <c r="J118" s="1530"/>
      <c r="K118" s="1530"/>
      <c r="L118" s="1530"/>
      <c r="M118" s="1531"/>
      <c r="N118" s="1096"/>
      <c r="O118" s="1096"/>
      <c r="P118" s="1097"/>
      <c r="Q118" s="1094"/>
    </row>
    <row r="119" spans="1:17" s="65" customFormat="1">
      <c r="A119" s="1128" t="str">
        <f>A45</f>
        <v>实物状况</v>
      </c>
      <c r="B119" s="100"/>
      <c r="C119" s="1134" t="s">
        <v>1562</v>
      </c>
      <c r="D119" s="1134" t="s">
        <v>1563</v>
      </c>
      <c r="E119" s="1134" t="s">
        <v>1564</v>
      </c>
      <c r="F119" s="1134" t="s">
        <v>1565</v>
      </c>
      <c r="G119" s="1134" t="s">
        <v>1566</v>
      </c>
      <c r="H119" s="1121"/>
      <c r="I119" s="1121"/>
      <c r="J119" s="1121"/>
      <c r="K119" s="1121"/>
      <c r="L119" s="1122"/>
      <c r="M119" s="1123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35">
        <v>100</v>
      </c>
      <c r="D120" s="1042">
        <f>C120-$K45</f>
        <v>100</v>
      </c>
      <c r="E120" s="1042">
        <f>D120-$K45</f>
        <v>100</v>
      </c>
      <c r="F120" s="1042">
        <f>E120-$K45</f>
        <v>100</v>
      </c>
      <c r="G120" s="1042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4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88" customWidth="1"/>
    <col min="2" max="2" width="18.5" style="989" customWidth="1"/>
    <col min="3" max="3" width="15.625" style="989" customWidth="1"/>
    <col min="4" max="4" width="9.375" style="989" bestFit="1" customWidth="1"/>
    <col min="5" max="6" width="9" style="989"/>
    <col min="7" max="7" width="9.375" style="989" bestFit="1" customWidth="1"/>
    <col min="8" max="9" width="9" style="989"/>
    <col min="10" max="10" width="9.375" style="989" bestFit="1" customWidth="1"/>
    <col min="11" max="11" width="4" style="988" customWidth="1"/>
    <col min="12" max="12" width="5.125" style="989" customWidth="1"/>
    <col min="13" max="13" width="13.75" style="989" customWidth="1"/>
    <col min="14" max="256" width="9" style="989"/>
    <col min="257" max="257" width="4.875" style="989" customWidth="1"/>
    <col min="258" max="258" width="11.75" style="989" customWidth="1"/>
    <col min="259" max="259" width="17.75" style="989" customWidth="1"/>
    <col min="260" max="260" width="9.375" style="989" bestFit="1" customWidth="1"/>
    <col min="261" max="262" width="9" style="989"/>
    <col min="263" max="263" width="9.375" style="989" bestFit="1" customWidth="1"/>
    <col min="264" max="266" width="9" style="989"/>
    <col min="267" max="267" width="2.625" style="989" customWidth="1"/>
    <col min="268" max="268" width="5.125" style="989" customWidth="1"/>
    <col min="269" max="269" width="13.75" style="989" customWidth="1"/>
    <col min="270" max="512" width="9" style="989"/>
    <col min="513" max="513" width="4.875" style="989" customWidth="1"/>
    <col min="514" max="514" width="11.75" style="989" customWidth="1"/>
    <col min="515" max="515" width="17.75" style="989" customWidth="1"/>
    <col min="516" max="516" width="9.375" style="989" bestFit="1" customWidth="1"/>
    <col min="517" max="518" width="9" style="989"/>
    <col min="519" max="519" width="9.375" style="989" bestFit="1" customWidth="1"/>
    <col min="520" max="522" width="9" style="989"/>
    <col min="523" max="523" width="2.625" style="989" customWidth="1"/>
    <col min="524" max="524" width="5.125" style="989" customWidth="1"/>
    <col min="525" max="525" width="13.75" style="989" customWidth="1"/>
    <col min="526" max="768" width="9" style="989"/>
    <col min="769" max="769" width="4.875" style="989" customWidth="1"/>
    <col min="770" max="770" width="11.75" style="989" customWidth="1"/>
    <col min="771" max="771" width="17.75" style="989" customWidth="1"/>
    <col min="772" max="772" width="9.375" style="989" bestFit="1" customWidth="1"/>
    <col min="773" max="774" width="9" style="989"/>
    <col min="775" max="775" width="9.375" style="989" bestFit="1" customWidth="1"/>
    <col min="776" max="778" width="9" style="989"/>
    <col min="779" max="779" width="2.625" style="989" customWidth="1"/>
    <col min="780" max="780" width="5.125" style="989" customWidth="1"/>
    <col min="781" max="781" width="13.75" style="989" customWidth="1"/>
    <col min="782" max="1024" width="9" style="989"/>
    <col min="1025" max="1025" width="4.875" style="989" customWidth="1"/>
    <col min="1026" max="1026" width="11.75" style="989" customWidth="1"/>
    <col min="1027" max="1027" width="17.75" style="989" customWidth="1"/>
    <col min="1028" max="1028" width="9.375" style="989" bestFit="1" customWidth="1"/>
    <col min="1029" max="1030" width="9" style="989"/>
    <col min="1031" max="1031" width="9.375" style="989" bestFit="1" customWidth="1"/>
    <col min="1032" max="1034" width="9" style="989"/>
    <col min="1035" max="1035" width="2.625" style="989" customWidth="1"/>
    <col min="1036" max="1036" width="5.125" style="989" customWidth="1"/>
    <col min="1037" max="1037" width="13.75" style="989" customWidth="1"/>
    <col min="1038" max="1280" width="9" style="989"/>
    <col min="1281" max="1281" width="4.875" style="989" customWidth="1"/>
    <col min="1282" max="1282" width="11.75" style="989" customWidth="1"/>
    <col min="1283" max="1283" width="17.75" style="989" customWidth="1"/>
    <col min="1284" max="1284" width="9.375" style="989" bestFit="1" customWidth="1"/>
    <col min="1285" max="1286" width="9" style="989"/>
    <col min="1287" max="1287" width="9.375" style="989" bestFit="1" customWidth="1"/>
    <col min="1288" max="1290" width="9" style="989"/>
    <col min="1291" max="1291" width="2.625" style="989" customWidth="1"/>
    <col min="1292" max="1292" width="5.125" style="989" customWidth="1"/>
    <col min="1293" max="1293" width="13.75" style="989" customWidth="1"/>
    <col min="1294" max="1536" width="9" style="989"/>
    <col min="1537" max="1537" width="4.875" style="989" customWidth="1"/>
    <col min="1538" max="1538" width="11.75" style="989" customWidth="1"/>
    <col min="1539" max="1539" width="17.75" style="989" customWidth="1"/>
    <col min="1540" max="1540" width="9.375" style="989" bestFit="1" customWidth="1"/>
    <col min="1541" max="1542" width="9" style="989"/>
    <col min="1543" max="1543" width="9.375" style="989" bestFit="1" customWidth="1"/>
    <col min="1544" max="1546" width="9" style="989"/>
    <col min="1547" max="1547" width="2.625" style="989" customWidth="1"/>
    <col min="1548" max="1548" width="5.125" style="989" customWidth="1"/>
    <col min="1549" max="1549" width="13.75" style="989" customWidth="1"/>
    <col min="1550" max="1792" width="9" style="989"/>
    <col min="1793" max="1793" width="4.875" style="989" customWidth="1"/>
    <col min="1794" max="1794" width="11.75" style="989" customWidth="1"/>
    <col min="1795" max="1795" width="17.75" style="989" customWidth="1"/>
    <col min="1796" max="1796" width="9.375" style="989" bestFit="1" customWidth="1"/>
    <col min="1797" max="1798" width="9" style="989"/>
    <col min="1799" max="1799" width="9.375" style="989" bestFit="1" customWidth="1"/>
    <col min="1800" max="1802" width="9" style="989"/>
    <col min="1803" max="1803" width="2.625" style="989" customWidth="1"/>
    <col min="1804" max="1804" width="5.125" style="989" customWidth="1"/>
    <col min="1805" max="1805" width="13.75" style="989" customWidth="1"/>
    <col min="1806" max="2048" width="9" style="989"/>
    <col min="2049" max="2049" width="4.875" style="989" customWidth="1"/>
    <col min="2050" max="2050" width="11.75" style="989" customWidth="1"/>
    <col min="2051" max="2051" width="17.75" style="989" customWidth="1"/>
    <col min="2052" max="2052" width="9.375" style="989" bestFit="1" customWidth="1"/>
    <col min="2053" max="2054" width="9" style="989"/>
    <col min="2055" max="2055" width="9.375" style="989" bestFit="1" customWidth="1"/>
    <col min="2056" max="2058" width="9" style="989"/>
    <col min="2059" max="2059" width="2.625" style="989" customWidth="1"/>
    <col min="2060" max="2060" width="5.125" style="989" customWidth="1"/>
    <col min="2061" max="2061" width="13.75" style="989" customWidth="1"/>
    <col min="2062" max="2304" width="9" style="989"/>
    <col min="2305" max="2305" width="4.875" style="989" customWidth="1"/>
    <col min="2306" max="2306" width="11.75" style="989" customWidth="1"/>
    <col min="2307" max="2307" width="17.75" style="989" customWidth="1"/>
    <col min="2308" max="2308" width="9.375" style="989" bestFit="1" customWidth="1"/>
    <col min="2309" max="2310" width="9" style="989"/>
    <col min="2311" max="2311" width="9.375" style="989" bestFit="1" customWidth="1"/>
    <col min="2312" max="2314" width="9" style="989"/>
    <col min="2315" max="2315" width="2.625" style="989" customWidth="1"/>
    <col min="2316" max="2316" width="5.125" style="989" customWidth="1"/>
    <col min="2317" max="2317" width="13.75" style="989" customWidth="1"/>
    <col min="2318" max="2560" width="9" style="989"/>
    <col min="2561" max="2561" width="4.875" style="989" customWidth="1"/>
    <col min="2562" max="2562" width="11.75" style="989" customWidth="1"/>
    <col min="2563" max="2563" width="17.75" style="989" customWidth="1"/>
    <col min="2564" max="2564" width="9.375" style="989" bestFit="1" customWidth="1"/>
    <col min="2565" max="2566" width="9" style="989"/>
    <col min="2567" max="2567" width="9.375" style="989" bestFit="1" customWidth="1"/>
    <col min="2568" max="2570" width="9" style="989"/>
    <col min="2571" max="2571" width="2.625" style="989" customWidth="1"/>
    <col min="2572" max="2572" width="5.125" style="989" customWidth="1"/>
    <col min="2573" max="2573" width="13.75" style="989" customWidth="1"/>
    <col min="2574" max="2816" width="9" style="989"/>
    <col min="2817" max="2817" width="4.875" style="989" customWidth="1"/>
    <col min="2818" max="2818" width="11.75" style="989" customWidth="1"/>
    <col min="2819" max="2819" width="17.75" style="989" customWidth="1"/>
    <col min="2820" max="2820" width="9.375" style="989" bestFit="1" customWidth="1"/>
    <col min="2821" max="2822" width="9" style="989"/>
    <col min="2823" max="2823" width="9.375" style="989" bestFit="1" customWidth="1"/>
    <col min="2824" max="2826" width="9" style="989"/>
    <col min="2827" max="2827" width="2.625" style="989" customWidth="1"/>
    <col min="2828" max="2828" width="5.125" style="989" customWidth="1"/>
    <col min="2829" max="2829" width="13.75" style="989" customWidth="1"/>
    <col min="2830" max="3072" width="9" style="989"/>
    <col min="3073" max="3073" width="4.875" style="989" customWidth="1"/>
    <col min="3074" max="3074" width="11.75" style="989" customWidth="1"/>
    <col min="3075" max="3075" width="17.75" style="989" customWidth="1"/>
    <col min="3076" max="3076" width="9.375" style="989" bestFit="1" customWidth="1"/>
    <col min="3077" max="3078" width="9" style="989"/>
    <col min="3079" max="3079" width="9.375" style="989" bestFit="1" customWidth="1"/>
    <col min="3080" max="3082" width="9" style="989"/>
    <col min="3083" max="3083" width="2.625" style="989" customWidth="1"/>
    <col min="3084" max="3084" width="5.125" style="989" customWidth="1"/>
    <col min="3085" max="3085" width="13.75" style="989" customWidth="1"/>
    <col min="3086" max="3328" width="9" style="989"/>
    <col min="3329" max="3329" width="4.875" style="989" customWidth="1"/>
    <col min="3330" max="3330" width="11.75" style="989" customWidth="1"/>
    <col min="3331" max="3331" width="17.75" style="989" customWidth="1"/>
    <col min="3332" max="3332" width="9.375" style="989" bestFit="1" customWidth="1"/>
    <col min="3333" max="3334" width="9" style="989"/>
    <col min="3335" max="3335" width="9.375" style="989" bestFit="1" customWidth="1"/>
    <col min="3336" max="3338" width="9" style="989"/>
    <col min="3339" max="3339" width="2.625" style="989" customWidth="1"/>
    <col min="3340" max="3340" width="5.125" style="989" customWidth="1"/>
    <col min="3341" max="3341" width="13.75" style="989" customWidth="1"/>
    <col min="3342" max="3584" width="9" style="989"/>
    <col min="3585" max="3585" width="4.875" style="989" customWidth="1"/>
    <col min="3586" max="3586" width="11.75" style="989" customWidth="1"/>
    <col min="3587" max="3587" width="17.75" style="989" customWidth="1"/>
    <col min="3588" max="3588" width="9.375" style="989" bestFit="1" customWidth="1"/>
    <col min="3589" max="3590" width="9" style="989"/>
    <col min="3591" max="3591" width="9.375" style="989" bestFit="1" customWidth="1"/>
    <col min="3592" max="3594" width="9" style="989"/>
    <col min="3595" max="3595" width="2.625" style="989" customWidth="1"/>
    <col min="3596" max="3596" width="5.125" style="989" customWidth="1"/>
    <col min="3597" max="3597" width="13.75" style="989" customWidth="1"/>
    <col min="3598" max="3840" width="9" style="989"/>
    <col min="3841" max="3841" width="4.875" style="989" customWidth="1"/>
    <col min="3842" max="3842" width="11.75" style="989" customWidth="1"/>
    <col min="3843" max="3843" width="17.75" style="989" customWidth="1"/>
    <col min="3844" max="3844" width="9.375" style="989" bestFit="1" customWidth="1"/>
    <col min="3845" max="3846" width="9" style="989"/>
    <col min="3847" max="3847" width="9.375" style="989" bestFit="1" customWidth="1"/>
    <col min="3848" max="3850" width="9" style="989"/>
    <col min="3851" max="3851" width="2.625" style="989" customWidth="1"/>
    <col min="3852" max="3852" width="5.125" style="989" customWidth="1"/>
    <col min="3853" max="3853" width="13.75" style="989" customWidth="1"/>
    <col min="3854" max="4096" width="9" style="989"/>
    <col min="4097" max="4097" width="4.875" style="989" customWidth="1"/>
    <col min="4098" max="4098" width="11.75" style="989" customWidth="1"/>
    <col min="4099" max="4099" width="17.75" style="989" customWidth="1"/>
    <col min="4100" max="4100" width="9.375" style="989" bestFit="1" customWidth="1"/>
    <col min="4101" max="4102" width="9" style="989"/>
    <col min="4103" max="4103" width="9.375" style="989" bestFit="1" customWidth="1"/>
    <col min="4104" max="4106" width="9" style="989"/>
    <col min="4107" max="4107" width="2.625" style="989" customWidth="1"/>
    <col min="4108" max="4108" width="5.125" style="989" customWidth="1"/>
    <col min="4109" max="4109" width="13.75" style="989" customWidth="1"/>
    <col min="4110" max="4352" width="9" style="989"/>
    <col min="4353" max="4353" width="4.875" style="989" customWidth="1"/>
    <col min="4354" max="4354" width="11.75" style="989" customWidth="1"/>
    <col min="4355" max="4355" width="17.75" style="989" customWidth="1"/>
    <col min="4356" max="4356" width="9.375" style="989" bestFit="1" customWidth="1"/>
    <col min="4357" max="4358" width="9" style="989"/>
    <col min="4359" max="4359" width="9.375" style="989" bestFit="1" customWidth="1"/>
    <col min="4360" max="4362" width="9" style="989"/>
    <col min="4363" max="4363" width="2.625" style="989" customWidth="1"/>
    <col min="4364" max="4364" width="5.125" style="989" customWidth="1"/>
    <col min="4365" max="4365" width="13.75" style="989" customWidth="1"/>
    <col min="4366" max="4608" width="9" style="989"/>
    <col min="4609" max="4609" width="4.875" style="989" customWidth="1"/>
    <col min="4610" max="4610" width="11.75" style="989" customWidth="1"/>
    <col min="4611" max="4611" width="17.75" style="989" customWidth="1"/>
    <col min="4612" max="4612" width="9.375" style="989" bestFit="1" customWidth="1"/>
    <col min="4613" max="4614" width="9" style="989"/>
    <col min="4615" max="4615" width="9.375" style="989" bestFit="1" customWidth="1"/>
    <col min="4616" max="4618" width="9" style="989"/>
    <col min="4619" max="4619" width="2.625" style="989" customWidth="1"/>
    <col min="4620" max="4620" width="5.125" style="989" customWidth="1"/>
    <col min="4621" max="4621" width="13.75" style="989" customWidth="1"/>
    <col min="4622" max="4864" width="9" style="989"/>
    <col min="4865" max="4865" width="4.875" style="989" customWidth="1"/>
    <col min="4866" max="4866" width="11.75" style="989" customWidth="1"/>
    <col min="4867" max="4867" width="17.75" style="989" customWidth="1"/>
    <col min="4868" max="4868" width="9.375" style="989" bestFit="1" customWidth="1"/>
    <col min="4869" max="4870" width="9" style="989"/>
    <col min="4871" max="4871" width="9.375" style="989" bestFit="1" customWidth="1"/>
    <col min="4872" max="4874" width="9" style="989"/>
    <col min="4875" max="4875" width="2.625" style="989" customWidth="1"/>
    <col min="4876" max="4876" width="5.125" style="989" customWidth="1"/>
    <col min="4877" max="4877" width="13.75" style="989" customWidth="1"/>
    <col min="4878" max="5120" width="9" style="989"/>
    <col min="5121" max="5121" width="4.875" style="989" customWidth="1"/>
    <col min="5122" max="5122" width="11.75" style="989" customWidth="1"/>
    <col min="5123" max="5123" width="17.75" style="989" customWidth="1"/>
    <col min="5124" max="5124" width="9.375" style="989" bestFit="1" customWidth="1"/>
    <col min="5125" max="5126" width="9" style="989"/>
    <col min="5127" max="5127" width="9.375" style="989" bestFit="1" customWidth="1"/>
    <col min="5128" max="5130" width="9" style="989"/>
    <col min="5131" max="5131" width="2.625" style="989" customWidth="1"/>
    <col min="5132" max="5132" width="5.125" style="989" customWidth="1"/>
    <col min="5133" max="5133" width="13.75" style="989" customWidth="1"/>
    <col min="5134" max="5376" width="9" style="989"/>
    <col min="5377" max="5377" width="4.875" style="989" customWidth="1"/>
    <col min="5378" max="5378" width="11.75" style="989" customWidth="1"/>
    <col min="5379" max="5379" width="17.75" style="989" customWidth="1"/>
    <col min="5380" max="5380" width="9.375" style="989" bestFit="1" customWidth="1"/>
    <col min="5381" max="5382" width="9" style="989"/>
    <col min="5383" max="5383" width="9.375" style="989" bestFit="1" customWidth="1"/>
    <col min="5384" max="5386" width="9" style="989"/>
    <col min="5387" max="5387" width="2.625" style="989" customWidth="1"/>
    <col min="5388" max="5388" width="5.125" style="989" customWidth="1"/>
    <col min="5389" max="5389" width="13.75" style="989" customWidth="1"/>
    <col min="5390" max="5632" width="9" style="989"/>
    <col min="5633" max="5633" width="4.875" style="989" customWidth="1"/>
    <col min="5634" max="5634" width="11.75" style="989" customWidth="1"/>
    <col min="5635" max="5635" width="17.75" style="989" customWidth="1"/>
    <col min="5636" max="5636" width="9.375" style="989" bestFit="1" customWidth="1"/>
    <col min="5637" max="5638" width="9" style="989"/>
    <col min="5639" max="5639" width="9.375" style="989" bestFit="1" customWidth="1"/>
    <col min="5640" max="5642" width="9" style="989"/>
    <col min="5643" max="5643" width="2.625" style="989" customWidth="1"/>
    <col min="5644" max="5644" width="5.125" style="989" customWidth="1"/>
    <col min="5645" max="5645" width="13.75" style="989" customWidth="1"/>
    <col min="5646" max="5888" width="9" style="989"/>
    <col min="5889" max="5889" width="4.875" style="989" customWidth="1"/>
    <col min="5890" max="5890" width="11.75" style="989" customWidth="1"/>
    <col min="5891" max="5891" width="17.75" style="989" customWidth="1"/>
    <col min="5892" max="5892" width="9.375" style="989" bestFit="1" customWidth="1"/>
    <col min="5893" max="5894" width="9" style="989"/>
    <col min="5895" max="5895" width="9.375" style="989" bestFit="1" customWidth="1"/>
    <col min="5896" max="5898" width="9" style="989"/>
    <col min="5899" max="5899" width="2.625" style="989" customWidth="1"/>
    <col min="5900" max="5900" width="5.125" style="989" customWidth="1"/>
    <col min="5901" max="5901" width="13.75" style="989" customWidth="1"/>
    <col min="5902" max="6144" width="9" style="989"/>
    <col min="6145" max="6145" width="4.875" style="989" customWidth="1"/>
    <col min="6146" max="6146" width="11.75" style="989" customWidth="1"/>
    <col min="6147" max="6147" width="17.75" style="989" customWidth="1"/>
    <col min="6148" max="6148" width="9.375" style="989" bestFit="1" customWidth="1"/>
    <col min="6149" max="6150" width="9" style="989"/>
    <col min="6151" max="6151" width="9.375" style="989" bestFit="1" customWidth="1"/>
    <col min="6152" max="6154" width="9" style="989"/>
    <col min="6155" max="6155" width="2.625" style="989" customWidth="1"/>
    <col min="6156" max="6156" width="5.125" style="989" customWidth="1"/>
    <col min="6157" max="6157" width="13.75" style="989" customWidth="1"/>
    <col min="6158" max="6400" width="9" style="989"/>
    <col min="6401" max="6401" width="4.875" style="989" customWidth="1"/>
    <col min="6402" max="6402" width="11.75" style="989" customWidth="1"/>
    <col min="6403" max="6403" width="17.75" style="989" customWidth="1"/>
    <col min="6404" max="6404" width="9.375" style="989" bestFit="1" customWidth="1"/>
    <col min="6405" max="6406" width="9" style="989"/>
    <col min="6407" max="6407" width="9.375" style="989" bestFit="1" customWidth="1"/>
    <col min="6408" max="6410" width="9" style="989"/>
    <col min="6411" max="6411" width="2.625" style="989" customWidth="1"/>
    <col min="6412" max="6412" width="5.125" style="989" customWidth="1"/>
    <col min="6413" max="6413" width="13.75" style="989" customWidth="1"/>
    <col min="6414" max="6656" width="9" style="989"/>
    <col min="6657" max="6657" width="4.875" style="989" customWidth="1"/>
    <col min="6658" max="6658" width="11.75" style="989" customWidth="1"/>
    <col min="6659" max="6659" width="17.75" style="989" customWidth="1"/>
    <col min="6660" max="6660" width="9.375" style="989" bestFit="1" customWidth="1"/>
    <col min="6661" max="6662" width="9" style="989"/>
    <col min="6663" max="6663" width="9.375" style="989" bestFit="1" customWidth="1"/>
    <col min="6664" max="6666" width="9" style="989"/>
    <col min="6667" max="6667" width="2.625" style="989" customWidth="1"/>
    <col min="6668" max="6668" width="5.125" style="989" customWidth="1"/>
    <col min="6669" max="6669" width="13.75" style="989" customWidth="1"/>
    <col min="6670" max="6912" width="9" style="989"/>
    <col min="6913" max="6913" width="4.875" style="989" customWidth="1"/>
    <col min="6914" max="6914" width="11.75" style="989" customWidth="1"/>
    <col min="6915" max="6915" width="17.75" style="989" customWidth="1"/>
    <col min="6916" max="6916" width="9.375" style="989" bestFit="1" customWidth="1"/>
    <col min="6917" max="6918" width="9" style="989"/>
    <col min="6919" max="6919" width="9.375" style="989" bestFit="1" customWidth="1"/>
    <col min="6920" max="6922" width="9" style="989"/>
    <col min="6923" max="6923" width="2.625" style="989" customWidth="1"/>
    <col min="6924" max="6924" width="5.125" style="989" customWidth="1"/>
    <col min="6925" max="6925" width="13.75" style="989" customWidth="1"/>
    <col min="6926" max="7168" width="9" style="989"/>
    <col min="7169" max="7169" width="4.875" style="989" customWidth="1"/>
    <col min="7170" max="7170" width="11.75" style="989" customWidth="1"/>
    <col min="7171" max="7171" width="17.75" style="989" customWidth="1"/>
    <col min="7172" max="7172" width="9.375" style="989" bestFit="1" customWidth="1"/>
    <col min="7173" max="7174" width="9" style="989"/>
    <col min="7175" max="7175" width="9.375" style="989" bestFit="1" customWidth="1"/>
    <col min="7176" max="7178" width="9" style="989"/>
    <col min="7179" max="7179" width="2.625" style="989" customWidth="1"/>
    <col min="7180" max="7180" width="5.125" style="989" customWidth="1"/>
    <col min="7181" max="7181" width="13.75" style="989" customWidth="1"/>
    <col min="7182" max="7424" width="9" style="989"/>
    <col min="7425" max="7425" width="4.875" style="989" customWidth="1"/>
    <col min="7426" max="7426" width="11.75" style="989" customWidth="1"/>
    <col min="7427" max="7427" width="17.75" style="989" customWidth="1"/>
    <col min="7428" max="7428" width="9.375" style="989" bestFit="1" customWidth="1"/>
    <col min="7429" max="7430" width="9" style="989"/>
    <col min="7431" max="7431" width="9.375" style="989" bestFit="1" customWidth="1"/>
    <col min="7432" max="7434" width="9" style="989"/>
    <col min="7435" max="7435" width="2.625" style="989" customWidth="1"/>
    <col min="7436" max="7436" width="5.125" style="989" customWidth="1"/>
    <col min="7437" max="7437" width="13.75" style="989" customWidth="1"/>
    <col min="7438" max="7680" width="9" style="989"/>
    <col min="7681" max="7681" width="4.875" style="989" customWidth="1"/>
    <col min="7682" max="7682" width="11.75" style="989" customWidth="1"/>
    <col min="7683" max="7683" width="17.75" style="989" customWidth="1"/>
    <col min="7684" max="7684" width="9.375" style="989" bestFit="1" customWidth="1"/>
    <col min="7685" max="7686" width="9" style="989"/>
    <col min="7687" max="7687" width="9.375" style="989" bestFit="1" customWidth="1"/>
    <col min="7688" max="7690" width="9" style="989"/>
    <col min="7691" max="7691" width="2.625" style="989" customWidth="1"/>
    <col min="7692" max="7692" width="5.125" style="989" customWidth="1"/>
    <col min="7693" max="7693" width="13.75" style="989" customWidth="1"/>
    <col min="7694" max="7936" width="9" style="989"/>
    <col min="7937" max="7937" width="4.875" style="989" customWidth="1"/>
    <col min="7938" max="7938" width="11.75" style="989" customWidth="1"/>
    <col min="7939" max="7939" width="17.75" style="989" customWidth="1"/>
    <col min="7940" max="7940" width="9.375" style="989" bestFit="1" customWidth="1"/>
    <col min="7941" max="7942" width="9" style="989"/>
    <col min="7943" max="7943" width="9.375" style="989" bestFit="1" customWidth="1"/>
    <col min="7944" max="7946" width="9" style="989"/>
    <col min="7947" max="7947" width="2.625" style="989" customWidth="1"/>
    <col min="7948" max="7948" width="5.125" style="989" customWidth="1"/>
    <col min="7949" max="7949" width="13.75" style="989" customWidth="1"/>
    <col min="7950" max="8192" width="9" style="989"/>
    <col min="8193" max="8193" width="4.875" style="989" customWidth="1"/>
    <col min="8194" max="8194" width="11.75" style="989" customWidth="1"/>
    <col min="8195" max="8195" width="17.75" style="989" customWidth="1"/>
    <col min="8196" max="8196" width="9.375" style="989" bestFit="1" customWidth="1"/>
    <col min="8197" max="8198" width="9" style="989"/>
    <col min="8199" max="8199" width="9.375" style="989" bestFit="1" customWidth="1"/>
    <col min="8200" max="8202" width="9" style="989"/>
    <col min="8203" max="8203" width="2.625" style="989" customWidth="1"/>
    <col min="8204" max="8204" width="5.125" style="989" customWidth="1"/>
    <col min="8205" max="8205" width="13.75" style="989" customWidth="1"/>
    <col min="8206" max="8448" width="9" style="989"/>
    <col min="8449" max="8449" width="4.875" style="989" customWidth="1"/>
    <col min="8450" max="8450" width="11.75" style="989" customWidth="1"/>
    <col min="8451" max="8451" width="17.75" style="989" customWidth="1"/>
    <col min="8452" max="8452" width="9.375" style="989" bestFit="1" customWidth="1"/>
    <col min="8453" max="8454" width="9" style="989"/>
    <col min="8455" max="8455" width="9.375" style="989" bestFit="1" customWidth="1"/>
    <col min="8456" max="8458" width="9" style="989"/>
    <col min="8459" max="8459" width="2.625" style="989" customWidth="1"/>
    <col min="8460" max="8460" width="5.125" style="989" customWidth="1"/>
    <col min="8461" max="8461" width="13.75" style="989" customWidth="1"/>
    <col min="8462" max="8704" width="9" style="989"/>
    <col min="8705" max="8705" width="4.875" style="989" customWidth="1"/>
    <col min="8706" max="8706" width="11.75" style="989" customWidth="1"/>
    <col min="8707" max="8707" width="17.75" style="989" customWidth="1"/>
    <col min="8708" max="8708" width="9.375" style="989" bestFit="1" customWidth="1"/>
    <col min="8709" max="8710" width="9" style="989"/>
    <col min="8711" max="8711" width="9.375" style="989" bestFit="1" customWidth="1"/>
    <col min="8712" max="8714" width="9" style="989"/>
    <col min="8715" max="8715" width="2.625" style="989" customWidth="1"/>
    <col min="8716" max="8716" width="5.125" style="989" customWidth="1"/>
    <col min="8717" max="8717" width="13.75" style="989" customWidth="1"/>
    <col min="8718" max="8960" width="9" style="989"/>
    <col min="8961" max="8961" width="4.875" style="989" customWidth="1"/>
    <col min="8962" max="8962" width="11.75" style="989" customWidth="1"/>
    <col min="8963" max="8963" width="17.75" style="989" customWidth="1"/>
    <col min="8964" max="8964" width="9.375" style="989" bestFit="1" customWidth="1"/>
    <col min="8965" max="8966" width="9" style="989"/>
    <col min="8967" max="8967" width="9.375" style="989" bestFit="1" customWidth="1"/>
    <col min="8968" max="8970" width="9" style="989"/>
    <col min="8971" max="8971" width="2.625" style="989" customWidth="1"/>
    <col min="8972" max="8972" width="5.125" style="989" customWidth="1"/>
    <col min="8973" max="8973" width="13.75" style="989" customWidth="1"/>
    <col min="8974" max="9216" width="9" style="989"/>
    <col min="9217" max="9217" width="4.875" style="989" customWidth="1"/>
    <col min="9218" max="9218" width="11.75" style="989" customWidth="1"/>
    <col min="9219" max="9219" width="17.75" style="989" customWidth="1"/>
    <col min="9220" max="9220" width="9.375" style="989" bestFit="1" customWidth="1"/>
    <col min="9221" max="9222" width="9" style="989"/>
    <col min="9223" max="9223" width="9.375" style="989" bestFit="1" customWidth="1"/>
    <col min="9224" max="9226" width="9" style="989"/>
    <col min="9227" max="9227" width="2.625" style="989" customWidth="1"/>
    <col min="9228" max="9228" width="5.125" style="989" customWidth="1"/>
    <col min="9229" max="9229" width="13.75" style="989" customWidth="1"/>
    <col min="9230" max="9472" width="9" style="989"/>
    <col min="9473" max="9473" width="4.875" style="989" customWidth="1"/>
    <col min="9474" max="9474" width="11.75" style="989" customWidth="1"/>
    <col min="9475" max="9475" width="17.75" style="989" customWidth="1"/>
    <col min="9476" max="9476" width="9.375" style="989" bestFit="1" customWidth="1"/>
    <col min="9477" max="9478" width="9" style="989"/>
    <col min="9479" max="9479" width="9.375" style="989" bestFit="1" customWidth="1"/>
    <col min="9480" max="9482" width="9" style="989"/>
    <col min="9483" max="9483" width="2.625" style="989" customWidth="1"/>
    <col min="9484" max="9484" width="5.125" style="989" customWidth="1"/>
    <col min="9485" max="9485" width="13.75" style="989" customWidth="1"/>
    <col min="9486" max="9728" width="9" style="989"/>
    <col min="9729" max="9729" width="4.875" style="989" customWidth="1"/>
    <col min="9730" max="9730" width="11.75" style="989" customWidth="1"/>
    <col min="9731" max="9731" width="17.75" style="989" customWidth="1"/>
    <col min="9732" max="9732" width="9.375" style="989" bestFit="1" customWidth="1"/>
    <col min="9733" max="9734" width="9" style="989"/>
    <col min="9735" max="9735" width="9.375" style="989" bestFit="1" customWidth="1"/>
    <col min="9736" max="9738" width="9" style="989"/>
    <col min="9739" max="9739" width="2.625" style="989" customWidth="1"/>
    <col min="9740" max="9740" width="5.125" style="989" customWidth="1"/>
    <col min="9741" max="9741" width="13.75" style="989" customWidth="1"/>
    <col min="9742" max="9984" width="9" style="989"/>
    <col min="9985" max="9985" width="4.875" style="989" customWidth="1"/>
    <col min="9986" max="9986" width="11.75" style="989" customWidth="1"/>
    <col min="9987" max="9987" width="17.75" style="989" customWidth="1"/>
    <col min="9988" max="9988" width="9.375" style="989" bestFit="1" customWidth="1"/>
    <col min="9989" max="9990" width="9" style="989"/>
    <col min="9991" max="9991" width="9.375" style="989" bestFit="1" customWidth="1"/>
    <col min="9992" max="9994" width="9" style="989"/>
    <col min="9995" max="9995" width="2.625" style="989" customWidth="1"/>
    <col min="9996" max="9996" width="5.125" style="989" customWidth="1"/>
    <col min="9997" max="9997" width="13.75" style="989" customWidth="1"/>
    <col min="9998" max="10240" width="9" style="989"/>
    <col min="10241" max="10241" width="4.875" style="989" customWidth="1"/>
    <col min="10242" max="10242" width="11.75" style="989" customWidth="1"/>
    <col min="10243" max="10243" width="17.75" style="989" customWidth="1"/>
    <col min="10244" max="10244" width="9.375" style="989" bestFit="1" customWidth="1"/>
    <col min="10245" max="10246" width="9" style="989"/>
    <col min="10247" max="10247" width="9.375" style="989" bestFit="1" customWidth="1"/>
    <col min="10248" max="10250" width="9" style="989"/>
    <col min="10251" max="10251" width="2.625" style="989" customWidth="1"/>
    <col min="10252" max="10252" width="5.125" style="989" customWidth="1"/>
    <col min="10253" max="10253" width="13.75" style="989" customWidth="1"/>
    <col min="10254" max="10496" width="9" style="989"/>
    <col min="10497" max="10497" width="4.875" style="989" customWidth="1"/>
    <col min="10498" max="10498" width="11.75" style="989" customWidth="1"/>
    <col min="10499" max="10499" width="17.75" style="989" customWidth="1"/>
    <col min="10500" max="10500" width="9.375" style="989" bestFit="1" customWidth="1"/>
    <col min="10501" max="10502" width="9" style="989"/>
    <col min="10503" max="10503" width="9.375" style="989" bestFit="1" customWidth="1"/>
    <col min="10504" max="10506" width="9" style="989"/>
    <col min="10507" max="10507" width="2.625" style="989" customWidth="1"/>
    <col min="10508" max="10508" width="5.125" style="989" customWidth="1"/>
    <col min="10509" max="10509" width="13.75" style="989" customWidth="1"/>
    <col min="10510" max="10752" width="9" style="989"/>
    <col min="10753" max="10753" width="4.875" style="989" customWidth="1"/>
    <col min="10754" max="10754" width="11.75" style="989" customWidth="1"/>
    <col min="10755" max="10755" width="17.75" style="989" customWidth="1"/>
    <col min="10756" max="10756" width="9.375" style="989" bestFit="1" customWidth="1"/>
    <col min="10757" max="10758" width="9" style="989"/>
    <col min="10759" max="10759" width="9.375" style="989" bestFit="1" customWidth="1"/>
    <col min="10760" max="10762" width="9" style="989"/>
    <col min="10763" max="10763" width="2.625" style="989" customWidth="1"/>
    <col min="10764" max="10764" width="5.125" style="989" customWidth="1"/>
    <col min="10765" max="10765" width="13.75" style="989" customWidth="1"/>
    <col min="10766" max="11008" width="9" style="989"/>
    <col min="11009" max="11009" width="4.875" style="989" customWidth="1"/>
    <col min="11010" max="11010" width="11.75" style="989" customWidth="1"/>
    <col min="11011" max="11011" width="17.75" style="989" customWidth="1"/>
    <col min="11012" max="11012" width="9.375" style="989" bestFit="1" customWidth="1"/>
    <col min="11013" max="11014" width="9" style="989"/>
    <col min="11015" max="11015" width="9.375" style="989" bestFit="1" customWidth="1"/>
    <col min="11016" max="11018" width="9" style="989"/>
    <col min="11019" max="11019" width="2.625" style="989" customWidth="1"/>
    <col min="11020" max="11020" width="5.125" style="989" customWidth="1"/>
    <col min="11021" max="11021" width="13.75" style="989" customWidth="1"/>
    <col min="11022" max="11264" width="9" style="989"/>
    <col min="11265" max="11265" width="4.875" style="989" customWidth="1"/>
    <col min="11266" max="11266" width="11.75" style="989" customWidth="1"/>
    <col min="11267" max="11267" width="17.75" style="989" customWidth="1"/>
    <col min="11268" max="11268" width="9.375" style="989" bestFit="1" customWidth="1"/>
    <col min="11269" max="11270" width="9" style="989"/>
    <col min="11271" max="11271" width="9.375" style="989" bestFit="1" customWidth="1"/>
    <col min="11272" max="11274" width="9" style="989"/>
    <col min="11275" max="11275" width="2.625" style="989" customWidth="1"/>
    <col min="11276" max="11276" width="5.125" style="989" customWidth="1"/>
    <col min="11277" max="11277" width="13.75" style="989" customWidth="1"/>
    <col min="11278" max="11520" width="9" style="989"/>
    <col min="11521" max="11521" width="4.875" style="989" customWidth="1"/>
    <col min="11522" max="11522" width="11.75" style="989" customWidth="1"/>
    <col min="11523" max="11523" width="17.75" style="989" customWidth="1"/>
    <col min="11524" max="11524" width="9.375" style="989" bestFit="1" customWidth="1"/>
    <col min="11525" max="11526" width="9" style="989"/>
    <col min="11527" max="11527" width="9.375" style="989" bestFit="1" customWidth="1"/>
    <col min="11528" max="11530" width="9" style="989"/>
    <col min="11531" max="11531" width="2.625" style="989" customWidth="1"/>
    <col min="11532" max="11532" width="5.125" style="989" customWidth="1"/>
    <col min="11533" max="11533" width="13.75" style="989" customWidth="1"/>
    <col min="11534" max="11776" width="9" style="989"/>
    <col min="11777" max="11777" width="4.875" style="989" customWidth="1"/>
    <col min="11778" max="11778" width="11.75" style="989" customWidth="1"/>
    <col min="11779" max="11779" width="17.75" style="989" customWidth="1"/>
    <col min="11780" max="11780" width="9.375" style="989" bestFit="1" customWidth="1"/>
    <col min="11781" max="11782" width="9" style="989"/>
    <col min="11783" max="11783" width="9.375" style="989" bestFit="1" customWidth="1"/>
    <col min="11784" max="11786" width="9" style="989"/>
    <col min="11787" max="11787" width="2.625" style="989" customWidth="1"/>
    <col min="11788" max="11788" width="5.125" style="989" customWidth="1"/>
    <col min="11789" max="11789" width="13.75" style="989" customWidth="1"/>
    <col min="11790" max="12032" width="9" style="989"/>
    <col min="12033" max="12033" width="4.875" style="989" customWidth="1"/>
    <col min="12034" max="12034" width="11.75" style="989" customWidth="1"/>
    <col min="12035" max="12035" width="17.75" style="989" customWidth="1"/>
    <col min="12036" max="12036" width="9.375" style="989" bestFit="1" customWidth="1"/>
    <col min="12037" max="12038" width="9" style="989"/>
    <col min="12039" max="12039" width="9.375" style="989" bestFit="1" customWidth="1"/>
    <col min="12040" max="12042" width="9" style="989"/>
    <col min="12043" max="12043" width="2.625" style="989" customWidth="1"/>
    <col min="12044" max="12044" width="5.125" style="989" customWidth="1"/>
    <col min="12045" max="12045" width="13.75" style="989" customWidth="1"/>
    <col min="12046" max="12288" width="9" style="989"/>
    <col min="12289" max="12289" width="4.875" style="989" customWidth="1"/>
    <col min="12290" max="12290" width="11.75" style="989" customWidth="1"/>
    <col min="12291" max="12291" width="17.75" style="989" customWidth="1"/>
    <col min="12292" max="12292" width="9.375" style="989" bestFit="1" customWidth="1"/>
    <col min="12293" max="12294" width="9" style="989"/>
    <col min="12295" max="12295" width="9.375" style="989" bestFit="1" customWidth="1"/>
    <col min="12296" max="12298" width="9" style="989"/>
    <col min="12299" max="12299" width="2.625" style="989" customWidth="1"/>
    <col min="12300" max="12300" width="5.125" style="989" customWidth="1"/>
    <col min="12301" max="12301" width="13.75" style="989" customWidth="1"/>
    <col min="12302" max="12544" width="9" style="989"/>
    <col min="12545" max="12545" width="4.875" style="989" customWidth="1"/>
    <col min="12546" max="12546" width="11.75" style="989" customWidth="1"/>
    <col min="12547" max="12547" width="17.75" style="989" customWidth="1"/>
    <col min="12548" max="12548" width="9.375" style="989" bestFit="1" customWidth="1"/>
    <col min="12549" max="12550" width="9" style="989"/>
    <col min="12551" max="12551" width="9.375" style="989" bestFit="1" customWidth="1"/>
    <col min="12552" max="12554" width="9" style="989"/>
    <col min="12555" max="12555" width="2.625" style="989" customWidth="1"/>
    <col min="12556" max="12556" width="5.125" style="989" customWidth="1"/>
    <col min="12557" max="12557" width="13.75" style="989" customWidth="1"/>
    <col min="12558" max="12800" width="9" style="989"/>
    <col min="12801" max="12801" width="4.875" style="989" customWidth="1"/>
    <col min="12802" max="12802" width="11.75" style="989" customWidth="1"/>
    <col min="12803" max="12803" width="17.75" style="989" customWidth="1"/>
    <col min="12804" max="12804" width="9.375" style="989" bestFit="1" customWidth="1"/>
    <col min="12805" max="12806" width="9" style="989"/>
    <col min="12807" max="12807" width="9.375" style="989" bestFit="1" customWidth="1"/>
    <col min="12808" max="12810" width="9" style="989"/>
    <col min="12811" max="12811" width="2.625" style="989" customWidth="1"/>
    <col min="12812" max="12812" width="5.125" style="989" customWidth="1"/>
    <col min="12813" max="12813" width="13.75" style="989" customWidth="1"/>
    <col min="12814" max="13056" width="9" style="989"/>
    <col min="13057" max="13057" width="4.875" style="989" customWidth="1"/>
    <col min="13058" max="13058" width="11.75" style="989" customWidth="1"/>
    <col min="13059" max="13059" width="17.75" style="989" customWidth="1"/>
    <col min="13060" max="13060" width="9.375" style="989" bestFit="1" customWidth="1"/>
    <col min="13061" max="13062" width="9" style="989"/>
    <col min="13063" max="13063" width="9.375" style="989" bestFit="1" customWidth="1"/>
    <col min="13064" max="13066" width="9" style="989"/>
    <col min="13067" max="13067" width="2.625" style="989" customWidth="1"/>
    <col min="13068" max="13068" width="5.125" style="989" customWidth="1"/>
    <col min="13069" max="13069" width="13.75" style="989" customWidth="1"/>
    <col min="13070" max="13312" width="9" style="989"/>
    <col min="13313" max="13313" width="4.875" style="989" customWidth="1"/>
    <col min="13314" max="13314" width="11.75" style="989" customWidth="1"/>
    <col min="13315" max="13315" width="17.75" style="989" customWidth="1"/>
    <col min="13316" max="13316" width="9.375" style="989" bestFit="1" customWidth="1"/>
    <col min="13317" max="13318" width="9" style="989"/>
    <col min="13319" max="13319" width="9.375" style="989" bestFit="1" customWidth="1"/>
    <col min="13320" max="13322" width="9" style="989"/>
    <col min="13323" max="13323" width="2.625" style="989" customWidth="1"/>
    <col min="13324" max="13324" width="5.125" style="989" customWidth="1"/>
    <col min="13325" max="13325" width="13.75" style="989" customWidth="1"/>
    <col min="13326" max="13568" width="9" style="989"/>
    <col min="13569" max="13569" width="4.875" style="989" customWidth="1"/>
    <col min="13570" max="13570" width="11.75" style="989" customWidth="1"/>
    <col min="13571" max="13571" width="17.75" style="989" customWidth="1"/>
    <col min="13572" max="13572" width="9.375" style="989" bestFit="1" customWidth="1"/>
    <col min="13573" max="13574" width="9" style="989"/>
    <col min="13575" max="13575" width="9.375" style="989" bestFit="1" customWidth="1"/>
    <col min="13576" max="13578" width="9" style="989"/>
    <col min="13579" max="13579" width="2.625" style="989" customWidth="1"/>
    <col min="13580" max="13580" width="5.125" style="989" customWidth="1"/>
    <col min="13581" max="13581" width="13.75" style="989" customWidth="1"/>
    <col min="13582" max="13824" width="9" style="989"/>
    <col min="13825" max="13825" width="4.875" style="989" customWidth="1"/>
    <col min="13826" max="13826" width="11.75" style="989" customWidth="1"/>
    <col min="13827" max="13827" width="17.75" style="989" customWidth="1"/>
    <col min="13828" max="13828" width="9.375" style="989" bestFit="1" customWidth="1"/>
    <col min="13829" max="13830" width="9" style="989"/>
    <col min="13831" max="13831" width="9.375" style="989" bestFit="1" customWidth="1"/>
    <col min="13832" max="13834" width="9" style="989"/>
    <col min="13835" max="13835" width="2.625" style="989" customWidth="1"/>
    <col min="13836" max="13836" width="5.125" style="989" customWidth="1"/>
    <col min="13837" max="13837" width="13.75" style="989" customWidth="1"/>
    <col min="13838" max="14080" width="9" style="989"/>
    <col min="14081" max="14081" width="4.875" style="989" customWidth="1"/>
    <col min="14082" max="14082" width="11.75" style="989" customWidth="1"/>
    <col min="14083" max="14083" width="17.75" style="989" customWidth="1"/>
    <col min="14084" max="14084" width="9.375" style="989" bestFit="1" customWidth="1"/>
    <col min="14085" max="14086" width="9" style="989"/>
    <col min="14087" max="14087" width="9.375" style="989" bestFit="1" customWidth="1"/>
    <col min="14088" max="14090" width="9" style="989"/>
    <col min="14091" max="14091" width="2.625" style="989" customWidth="1"/>
    <col min="14092" max="14092" width="5.125" style="989" customWidth="1"/>
    <col min="14093" max="14093" width="13.75" style="989" customWidth="1"/>
    <col min="14094" max="14336" width="9" style="989"/>
    <col min="14337" max="14337" width="4.875" style="989" customWidth="1"/>
    <col min="14338" max="14338" width="11.75" style="989" customWidth="1"/>
    <col min="14339" max="14339" width="17.75" style="989" customWidth="1"/>
    <col min="14340" max="14340" width="9.375" style="989" bestFit="1" customWidth="1"/>
    <col min="14341" max="14342" width="9" style="989"/>
    <col min="14343" max="14343" width="9.375" style="989" bestFit="1" customWidth="1"/>
    <col min="14344" max="14346" width="9" style="989"/>
    <col min="14347" max="14347" width="2.625" style="989" customWidth="1"/>
    <col min="14348" max="14348" width="5.125" style="989" customWidth="1"/>
    <col min="14349" max="14349" width="13.75" style="989" customWidth="1"/>
    <col min="14350" max="14592" width="9" style="989"/>
    <col min="14593" max="14593" width="4.875" style="989" customWidth="1"/>
    <col min="14594" max="14594" width="11.75" style="989" customWidth="1"/>
    <col min="14595" max="14595" width="17.75" style="989" customWidth="1"/>
    <col min="14596" max="14596" width="9.375" style="989" bestFit="1" customWidth="1"/>
    <col min="14597" max="14598" width="9" style="989"/>
    <col min="14599" max="14599" width="9.375" style="989" bestFit="1" customWidth="1"/>
    <col min="14600" max="14602" width="9" style="989"/>
    <col min="14603" max="14603" width="2.625" style="989" customWidth="1"/>
    <col min="14604" max="14604" width="5.125" style="989" customWidth="1"/>
    <col min="14605" max="14605" width="13.75" style="989" customWidth="1"/>
    <col min="14606" max="14848" width="9" style="989"/>
    <col min="14849" max="14849" width="4.875" style="989" customWidth="1"/>
    <col min="14850" max="14850" width="11.75" style="989" customWidth="1"/>
    <col min="14851" max="14851" width="17.75" style="989" customWidth="1"/>
    <col min="14852" max="14852" width="9.375" style="989" bestFit="1" customWidth="1"/>
    <col min="14853" max="14854" width="9" style="989"/>
    <col min="14855" max="14855" width="9.375" style="989" bestFit="1" customWidth="1"/>
    <col min="14856" max="14858" width="9" style="989"/>
    <col min="14859" max="14859" width="2.625" style="989" customWidth="1"/>
    <col min="14860" max="14860" width="5.125" style="989" customWidth="1"/>
    <col min="14861" max="14861" width="13.75" style="989" customWidth="1"/>
    <col min="14862" max="15104" width="9" style="989"/>
    <col min="15105" max="15105" width="4.875" style="989" customWidth="1"/>
    <col min="15106" max="15106" width="11.75" style="989" customWidth="1"/>
    <col min="15107" max="15107" width="17.75" style="989" customWidth="1"/>
    <col min="15108" max="15108" width="9.375" style="989" bestFit="1" customWidth="1"/>
    <col min="15109" max="15110" width="9" style="989"/>
    <col min="15111" max="15111" width="9.375" style="989" bestFit="1" customWidth="1"/>
    <col min="15112" max="15114" width="9" style="989"/>
    <col min="15115" max="15115" width="2.625" style="989" customWidth="1"/>
    <col min="15116" max="15116" width="5.125" style="989" customWidth="1"/>
    <col min="15117" max="15117" width="13.75" style="989" customWidth="1"/>
    <col min="15118" max="15360" width="9" style="989"/>
    <col min="15361" max="15361" width="4.875" style="989" customWidth="1"/>
    <col min="15362" max="15362" width="11.75" style="989" customWidth="1"/>
    <col min="15363" max="15363" width="17.75" style="989" customWidth="1"/>
    <col min="15364" max="15364" width="9.375" style="989" bestFit="1" customWidth="1"/>
    <col min="15365" max="15366" width="9" style="989"/>
    <col min="15367" max="15367" width="9.375" style="989" bestFit="1" customWidth="1"/>
    <col min="15368" max="15370" width="9" style="989"/>
    <col min="15371" max="15371" width="2.625" style="989" customWidth="1"/>
    <col min="15372" max="15372" width="5.125" style="989" customWidth="1"/>
    <col min="15373" max="15373" width="13.75" style="989" customWidth="1"/>
    <col min="15374" max="15616" width="9" style="989"/>
    <col min="15617" max="15617" width="4.875" style="989" customWidth="1"/>
    <col min="15618" max="15618" width="11.75" style="989" customWidth="1"/>
    <col min="15619" max="15619" width="17.75" style="989" customWidth="1"/>
    <col min="15620" max="15620" width="9.375" style="989" bestFit="1" customWidth="1"/>
    <col min="15621" max="15622" width="9" style="989"/>
    <col min="15623" max="15623" width="9.375" style="989" bestFit="1" customWidth="1"/>
    <col min="15624" max="15626" width="9" style="989"/>
    <col min="15627" max="15627" width="2.625" style="989" customWidth="1"/>
    <col min="15628" max="15628" width="5.125" style="989" customWidth="1"/>
    <col min="15629" max="15629" width="13.75" style="989" customWidth="1"/>
    <col min="15630" max="15872" width="9" style="989"/>
    <col min="15873" max="15873" width="4.875" style="989" customWidth="1"/>
    <col min="15874" max="15874" width="11.75" style="989" customWidth="1"/>
    <col min="15875" max="15875" width="17.75" style="989" customWidth="1"/>
    <col min="15876" max="15876" width="9.375" style="989" bestFit="1" customWidth="1"/>
    <col min="15877" max="15878" width="9" style="989"/>
    <col min="15879" max="15879" width="9.375" style="989" bestFit="1" customWidth="1"/>
    <col min="15880" max="15882" width="9" style="989"/>
    <col min="15883" max="15883" width="2.625" style="989" customWidth="1"/>
    <col min="15884" max="15884" width="5.125" style="989" customWidth="1"/>
    <col min="15885" max="15885" width="13.75" style="989" customWidth="1"/>
    <col min="15886" max="16128" width="9" style="989"/>
    <col min="16129" max="16129" width="4.875" style="989" customWidth="1"/>
    <col min="16130" max="16130" width="11.75" style="989" customWidth="1"/>
    <col min="16131" max="16131" width="17.75" style="989" customWidth="1"/>
    <col min="16132" max="16132" width="9.375" style="989" bestFit="1" customWidth="1"/>
    <col min="16133" max="16134" width="9" style="989"/>
    <col min="16135" max="16135" width="9.375" style="989" bestFit="1" customWidth="1"/>
    <col min="16136" max="16138" width="9" style="989"/>
    <col min="16139" max="16139" width="2.625" style="989" customWidth="1"/>
    <col min="16140" max="16140" width="5.125" style="989" customWidth="1"/>
    <col min="16141" max="16141" width="13.75" style="989" customWidth="1"/>
    <col min="16142" max="16384" width="9" style="989"/>
  </cols>
  <sheetData>
    <row r="1" spans="1:26">
      <c r="B1" s="1027" t="s">
        <v>1519</v>
      </c>
      <c r="C1" s="1031">
        <f>'主表(商业）'!B3</f>
        <v>43796</v>
      </c>
      <c r="D1" s="986" t="str">
        <f>'主表(商业）'!A23</f>
        <v>建设期</v>
      </c>
      <c r="E1" s="1026">
        <f>'主表(商业）'!B23</f>
        <v>1</v>
      </c>
      <c r="F1" s="986" t="s">
        <v>1520</v>
      </c>
      <c r="G1" s="987">
        <f ca="1">INDIRECT("d"&amp;$K$1)/100</f>
        <v>4.3499999999999997E-2</v>
      </c>
      <c r="H1" s="986" t="s">
        <v>1521</v>
      </c>
      <c r="I1" s="987">
        <f ca="1">SUMIF(F4:F8,E1,G4:G8)/100</f>
        <v>1.4999999999999999E-2</v>
      </c>
      <c r="J1" s="1156">
        <f>IF(C1&gt;C14,0,MATCH(C1,C$14:C$59,-1))+IF(SUMIF(C14:C59,C1,D14:D59)=0,14,13)</f>
        <v>14</v>
      </c>
      <c r="K1" s="1156">
        <f ca="1">MATCH(E1,C4:C8,1)+IF(SUMIF(C4:C8,E1,D4:D8)=0,3,2)</f>
        <v>5</v>
      </c>
      <c r="L1" s="1156">
        <f>IF(C1&gt;M14,0,MATCH(C1,M$14:M$52,-1))+IF(SUMIF(M14:M52,C1,N14:N52)=0,14,13)</f>
        <v>14</v>
      </c>
      <c r="M1" s="988"/>
      <c r="N1" s="988"/>
      <c r="O1" s="988"/>
      <c r="P1" s="988"/>
      <c r="Q1" s="988"/>
      <c r="R1" s="988"/>
      <c r="S1" s="988"/>
      <c r="T1" s="988"/>
      <c r="U1" s="988"/>
      <c r="V1" s="988"/>
      <c r="W1" s="988"/>
      <c r="X1" s="988"/>
      <c r="Y1" s="988"/>
      <c r="Z1" s="988"/>
    </row>
    <row r="2" spans="1:26">
      <c r="B2" s="1029" t="s">
        <v>1207</v>
      </c>
      <c r="C2" s="1032">
        <f>'主表(商业）'!B4</f>
        <v>40813</v>
      </c>
      <c r="D2" s="1030" t="str">
        <f>'主表(商业）'!A24</f>
        <v>土地开发期</v>
      </c>
      <c r="E2" s="1026">
        <f>'主表(商业）'!B24</f>
        <v>1</v>
      </c>
      <c r="F2" s="986" t="s">
        <v>1520</v>
      </c>
      <c r="G2" s="987">
        <f ca="1">INDIRECT("e"&amp;$K$2)/100</f>
        <v>6.5599999999999992E-2</v>
      </c>
      <c r="H2" s="986" t="s">
        <v>1521</v>
      </c>
      <c r="I2" s="987">
        <f ca="1">SUMIF(F4:F8,E2,G4:G8)/100</f>
        <v>1.4999999999999999E-2</v>
      </c>
      <c r="J2" s="1156">
        <f>IF(C2&gt;C14,0,MATCH(C2,C$14:C$59,-1))+IF(SUMIF(C14:C59,C2,D14:D59)=0,14,13)</f>
        <v>22</v>
      </c>
      <c r="K2" s="1156">
        <f ca="1">MATCH(E2,C4:C8,1)+IF(SUMIF(C4:C8,E2,D4:D8)=0,3,2)</f>
        <v>5</v>
      </c>
      <c r="L2" s="1156">
        <f>IF(C2&gt;M14,0,MATCH(C2,M$14:M$52,-1))+IF(SUMIF(M14:M52,C2,N14:N52)=0,14,13)</f>
        <v>22</v>
      </c>
      <c r="M2" s="988"/>
      <c r="N2" s="988"/>
      <c r="O2" s="988"/>
      <c r="P2" s="988"/>
      <c r="Q2" s="988"/>
      <c r="R2" s="988"/>
      <c r="S2" s="988"/>
      <c r="T2" s="988"/>
      <c r="U2" s="988"/>
      <c r="V2" s="988"/>
      <c r="W2" s="988"/>
      <c r="X2" s="988"/>
      <c r="Y2" s="988"/>
      <c r="Z2" s="988"/>
    </row>
    <row r="3" spans="1:26" ht="12.75" thickBot="1">
      <c r="A3" s="985"/>
      <c r="B3" s="1034"/>
      <c r="C3" s="1035"/>
      <c r="D3" s="1036"/>
      <c r="E3" s="1037">
        <v>3</v>
      </c>
      <c r="F3" s="1037" t="s">
        <v>1520</v>
      </c>
      <c r="G3" s="1038">
        <f ca="1">INDIRECT("e"&amp;$K$3)/100</f>
        <v>6.6500000000000004E-2</v>
      </c>
      <c r="H3" s="1037" t="s">
        <v>1521</v>
      </c>
      <c r="I3" s="1038">
        <f ca="1">SUMIF(F4:F8,E3,H4:H8)/100</f>
        <v>0.05</v>
      </c>
      <c r="J3" s="1157"/>
      <c r="K3" s="1156">
        <f ca="1">MATCH(E3,C4:C8,1)+IF(SUMIF(C4:C8,E3,D4:D8)=0,3,2)</f>
        <v>6</v>
      </c>
      <c r="L3" s="1157"/>
      <c r="M3" s="988"/>
      <c r="N3" s="988"/>
      <c r="O3" s="988"/>
      <c r="P3" s="988"/>
      <c r="Q3" s="988"/>
      <c r="R3" s="988"/>
      <c r="S3" s="988"/>
      <c r="T3" s="988"/>
      <c r="U3" s="988"/>
      <c r="V3" s="988"/>
      <c r="W3" s="988"/>
      <c r="X3" s="988"/>
      <c r="Y3" s="988"/>
      <c r="Z3" s="988"/>
    </row>
    <row r="4" spans="1:26" ht="12.75" thickTop="1">
      <c r="B4" s="1028" t="s">
        <v>1522</v>
      </c>
      <c r="C4" s="1023">
        <v>0</v>
      </c>
      <c r="D4" s="1022">
        <f ca="1">INDIRECT("d"&amp;$J$1)</f>
        <v>4.3499999999999996</v>
      </c>
      <c r="E4" s="1022">
        <f ca="1">INDIRECT("d"&amp;$J$2)</f>
        <v>6.1</v>
      </c>
      <c r="F4" s="1023">
        <v>0.5</v>
      </c>
      <c r="G4" s="1024">
        <f ca="1">INDIRECT("p"&amp;$L$1)</f>
        <v>1.3</v>
      </c>
      <c r="H4" s="1024">
        <f ca="1">INDIRECT("p"&amp;$L$2)</f>
        <v>3.3</v>
      </c>
      <c r="I4" s="988"/>
      <c r="J4" s="988"/>
      <c r="K4" s="988">
        <f ca="1">MATCH(1,C4:C8,1)+IF(SUMIF(C4:C8,1,D4:D8)=0,3,2)</f>
        <v>5</v>
      </c>
      <c r="L4" s="988"/>
      <c r="M4" s="988"/>
      <c r="N4" s="988"/>
      <c r="O4" s="988"/>
      <c r="P4" s="988"/>
      <c r="Q4" s="988"/>
      <c r="R4" s="988"/>
      <c r="S4" s="988"/>
      <c r="T4" s="988"/>
      <c r="U4" s="988"/>
      <c r="V4" s="988"/>
      <c r="W4" s="988"/>
      <c r="X4" s="988"/>
      <c r="Y4" s="988"/>
      <c r="Z4" s="988"/>
    </row>
    <row r="5" spans="1:26">
      <c r="B5" s="992" t="s">
        <v>1523</v>
      </c>
      <c r="C5" s="993">
        <v>0.5</v>
      </c>
      <c r="D5" s="994">
        <f ca="1">INDIRECT("e"&amp;$J$1)</f>
        <v>4.3499999999999996</v>
      </c>
      <c r="E5" s="994">
        <f ca="1">INDIRECT("e"&amp;$J$2)</f>
        <v>6.56</v>
      </c>
      <c r="F5" s="993">
        <v>1</v>
      </c>
      <c r="G5" s="1025">
        <f ca="1">INDIRECT("q"&amp;$L$1)</f>
        <v>1.5</v>
      </c>
      <c r="H5" s="1025">
        <f ca="1">INDIRECT("q"&amp;$L$2)</f>
        <v>3.5</v>
      </c>
      <c r="I5" s="988"/>
      <c r="J5" s="988"/>
      <c r="L5" s="988"/>
      <c r="M5" s="988"/>
      <c r="N5" s="988"/>
      <c r="O5" s="988"/>
      <c r="P5" s="988"/>
      <c r="Q5" s="988"/>
      <c r="R5" s="988"/>
      <c r="S5" s="988"/>
      <c r="T5" s="988"/>
      <c r="U5" s="988"/>
      <c r="V5" s="988"/>
      <c r="W5" s="988"/>
      <c r="X5" s="988"/>
      <c r="Y5" s="988"/>
      <c r="Z5" s="988"/>
    </row>
    <row r="6" spans="1:26">
      <c r="B6" s="992" t="s">
        <v>1524</v>
      </c>
      <c r="C6" s="993">
        <v>1</v>
      </c>
      <c r="D6" s="994">
        <f ca="1">INDIRECT("f"&amp;$J$1)</f>
        <v>4.75</v>
      </c>
      <c r="E6" s="994">
        <f ca="1">INDIRECT("f"&amp;$J$2)</f>
        <v>6.65</v>
      </c>
      <c r="F6" s="993">
        <v>2</v>
      </c>
      <c r="G6" s="1025">
        <f ca="1">INDIRECT("r"&amp;$L$1)</f>
        <v>2.1</v>
      </c>
      <c r="H6" s="1025">
        <f ca="1">INDIRECT("r"&amp;$L$2)</f>
        <v>4.4000000000000004</v>
      </c>
      <c r="I6" s="988"/>
      <c r="J6" s="988"/>
      <c r="L6" s="988"/>
      <c r="M6" s="988"/>
      <c r="N6" s="988"/>
      <c r="O6" s="988"/>
      <c r="P6" s="988"/>
      <c r="Q6" s="988"/>
      <c r="R6" s="988"/>
      <c r="S6" s="988"/>
      <c r="T6" s="988"/>
      <c r="U6" s="988"/>
      <c r="V6" s="988"/>
      <c r="W6" s="988"/>
      <c r="X6" s="988"/>
      <c r="Y6" s="988"/>
      <c r="Z6" s="988"/>
    </row>
    <row r="7" spans="1:26">
      <c r="B7" s="992" t="s">
        <v>1525</v>
      </c>
      <c r="C7" s="993">
        <v>3</v>
      </c>
      <c r="D7" s="994">
        <f ca="1">INDIRECT("g"&amp;$J$1)</f>
        <v>4.75</v>
      </c>
      <c r="E7" s="994">
        <f ca="1">INDIRECT("g"&amp;$J$2)</f>
        <v>6.9</v>
      </c>
      <c r="F7" s="993">
        <v>3</v>
      </c>
      <c r="G7" s="1025">
        <f ca="1">INDIRECT("s"&amp;$L$1)</f>
        <v>2.75</v>
      </c>
      <c r="H7" s="1025">
        <f ca="1">INDIRECT("s"&amp;$L$2)</f>
        <v>5</v>
      </c>
      <c r="I7" s="988"/>
      <c r="J7" s="988"/>
      <c r="L7" s="988"/>
      <c r="M7" s="988"/>
      <c r="N7" s="988"/>
      <c r="O7" s="988"/>
      <c r="P7" s="988"/>
      <c r="Q7" s="988"/>
      <c r="R7" s="988"/>
      <c r="S7" s="988"/>
      <c r="T7" s="988"/>
      <c r="U7" s="988"/>
      <c r="V7" s="988"/>
      <c r="W7" s="988"/>
      <c r="X7" s="988"/>
      <c r="Y7" s="988"/>
      <c r="Z7" s="988"/>
    </row>
    <row r="8" spans="1:26">
      <c r="B8" s="992" t="s">
        <v>1526</v>
      </c>
      <c r="C8" s="993">
        <v>5</v>
      </c>
      <c r="D8" s="994">
        <f ca="1">INDIRECT("h"&amp;$J$1)</f>
        <v>4.9000000000000004</v>
      </c>
      <c r="E8" s="994">
        <f ca="1">INDIRECT("h"&amp;$J$2)</f>
        <v>7.05</v>
      </c>
      <c r="F8" s="993">
        <v>5</v>
      </c>
      <c r="G8" s="1025">
        <f ca="1">INDIRECT("t"&amp;$L$1)</f>
        <v>0</v>
      </c>
      <c r="H8" s="1025">
        <f ca="1">INDIRECT("t"&amp;$L$2)</f>
        <v>5.5</v>
      </c>
      <c r="I8" s="988"/>
      <c r="J8" s="988"/>
      <c r="L8" s="988"/>
      <c r="M8" s="988"/>
      <c r="N8" s="988"/>
      <c r="O8" s="988"/>
      <c r="P8" s="988"/>
      <c r="Q8" s="988"/>
      <c r="R8" s="988"/>
      <c r="S8" s="988"/>
      <c r="T8" s="988"/>
      <c r="U8" s="988"/>
      <c r="V8" s="988"/>
      <c r="W8" s="988"/>
      <c r="X8" s="988"/>
      <c r="Y8" s="988"/>
      <c r="Z8" s="988"/>
    </row>
    <row r="9" spans="1:26">
      <c r="A9" s="985"/>
      <c r="B9" s="990"/>
      <c r="C9" s="991"/>
      <c r="D9" s="988"/>
      <c r="E9" s="988"/>
      <c r="F9" s="988"/>
      <c r="G9" s="988"/>
      <c r="H9" s="988"/>
      <c r="I9" s="988"/>
      <c r="J9" s="988"/>
      <c r="L9" s="988"/>
      <c r="M9" s="988"/>
      <c r="N9" s="988"/>
      <c r="O9" s="988"/>
      <c r="P9" s="988"/>
      <c r="Q9" s="988"/>
      <c r="R9" s="988"/>
      <c r="S9" s="988"/>
      <c r="T9" s="988"/>
      <c r="U9" s="988"/>
      <c r="V9" s="988"/>
      <c r="W9" s="988"/>
      <c r="X9" s="988"/>
      <c r="Y9" s="988"/>
      <c r="Z9" s="988"/>
    </row>
    <row r="10" spans="1:26">
      <c r="A10" s="985"/>
      <c r="B10" s="990"/>
      <c r="C10" s="991"/>
      <c r="D10" s="988"/>
      <c r="E10" s="988"/>
      <c r="F10" s="988"/>
      <c r="G10" s="988"/>
      <c r="H10" s="988"/>
      <c r="I10" s="988"/>
      <c r="J10" s="988"/>
      <c r="L10" s="988"/>
      <c r="M10" s="988"/>
      <c r="N10" s="988"/>
      <c r="O10" s="988"/>
      <c r="P10" s="988"/>
      <c r="Q10" s="988"/>
      <c r="R10" s="988"/>
      <c r="S10" s="988"/>
      <c r="T10" s="988"/>
      <c r="U10" s="988"/>
      <c r="V10" s="988"/>
      <c r="W10" s="988"/>
      <c r="X10" s="988"/>
      <c r="Y10" s="988"/>
      <c r="Z10" s="988"/>
    </row>
    <row r="11" spans="1:26" s="997" customFormat="1" ht="22.5">
      <c r="A11" s="995"/>
      <c r="B11" s="996" t="s">
        <v>1527</v>
      </c>
      <c r="C11" s="995"/>
      <c r="D11" s="995"/>
      <c r="E11" s="995"/>
      <c r="F11" s="995"/>
      <c r="G11" s="995"/>
      <c r="H11" s="995"/>
      <c r="I11" s="988"/>
      <c r="J11" s="988"/>
      <c r="K11" s="995"/>
      <c r="L11" s="996" t="s">
        <v>1528</v>
      </c>
      <c r="M11" s="995"/>
      <c r="N11" s="995"/>
      <c r="O11" s="995"/>
      <c r="P11" s="995"/>
      <c r="Q11" s="995"/>
      <c r="R11" s="995"/>
      <c r="S11" s="995"/>
      <c r="T11" s="995"/>
      <c r="U11" s="995"/>
      <c r="V11" s="995"/>
      <c r="W11" s="995"/>
      <c r="X11" s="995"/>
      <c r="Y11" s="995"/>
      <c r="Z11" s="995"/>
    </row>
    <row r="12" spans="1:26" s="1004" customFormat="1">
      <c r="A12" s="998"/>
      <c r="B12" s="999" t="s">
        <v>1529</v>
      </c>
      <c r="C12" s="1000" t="s">
        <v>1530</v>
      </c>
      <c r="D12" s="1001" t="s">
        <v>1531</v>
      </c>
      <c r="E12" s="1002"/>
      <c r="F12" s="1001" t="s">
        <v>1532</v>
      </c>
      <c r="G12" s="1003"/>
      <c r="H12" s="1002"/>
      <c r="I12" s="1001" t="s">
        <v>1533</v>
      </c>
      <c r="J12" s="1002"/>
      <c r="K12" s="998"/>
      <c r="L12" s="999" t="s">
        <v>1529</v>
      </c>
      <c r="M12" s="1000" t="s">
        <v>1530</v>
      </c>
      <c r="N12" s="999" t="s">
        <v>1534</v>
      </c>
      <c r="O12" s="1001" t="s">
        <v>1535</v>
      </c>
      <c r="P12" s="1003"/>
      <c r="Q12" s="1003"/>
      <c r="R12" s="1003"/>
      <c r="S12" s="1003"/>
      <c r="T12" s="1002"/>
      <c r="U12" s="1001" t="s">
        <v>1536</v>
      </c>
      <c r="V12" s="1003"/>
      <c r="W12" s="1002"/>
      <c r="X12" s="999" t="s">
        <v>1537</v>
      </c>
      <c r="Y12" s="999" t="s">
        <v>1538</v>
      </c>
      <c r="Z12" s="999" t="s">
        <v>1539</v>
      </c>
    </row>
    <row r="13" spans="1:26" s="1009" customFormat="1">
      <c r="A13" s="1005"/>
      <c r="B13" s="1006"/>
      <c r="C13" s="1007"/>
      <c r="D13" s="992" t="s">
        <v>1522</v>
      </c>
      <c r="E13" s="992" t="s">
        <v>1523</v>
      </c>
      <c r="F13" s="992" t="s">
        <v>1524</v>
      </c>
      <c r="G13" s="992" t="s">
        <v>1525</v>
      </c>
      <c r="H13" s="992" t="s">
        <v>1526</v>
      </c>
      <c r="I13" s="1008" t="s">
        <v>1540</v>
      </c>
      <c r="J13" s="1008" t="s">
        <v>1540</v>
      </c>
      <c r="K13" s="1005"/>
      <c r="L13" s="1006"/>
      <c r="M13" s="1007"/>
      <c r="N13" s="1006"/>
      <c r="O13" s="1008" t="s">
        <v>1541</v>
      </c>
      <c r="P13" s="1008">
        <v>0.5</v>
      </c>
      <c r="Q13" s="1008">
        <v>1</v>
      </c>
      <c r="R13" s="1008">
        <v>2</v>
      </c>
      <c r="S13" s="1008">
        <v>3</v>
      </c>
      <c r="T13" s="1008">
        <v>5</v>
      </c>
      <c r="U13" s="1008">
        <v>1</v>
      </c>
      <c r="V13" s="1008">
        <v>3</v>
      </c>
      <c r="W13" s="1008">
        <v>5</v>
      </c>
      <c r="X13" s="1006"/>
      <c r="Y13" s="1006"/>
      <c r="Z13" s="1006"/>
    </row>
    <row r="14" spans="1:26" s="1015" customFormat="1" ht="14.25">
      <c r="A14" s="1010"/>
      <c r="B14" s="1011" t="s">
        <v>1542</v>
      </c>
      <c r="C14" s="1012">
        <v>42301</v>
      </c>
      <c r="D14" s="1013">
        <v>4.3499999999999996</v>
      </c>
      <c r="E14" s="1013">
        <v>4.3499999999999996</v>
      </c>
      <c r="F14" s="1013">
        <v>4.75</v>
      </c>
      <c r="G14" s="1013">
        <v>4.75</v>
      </c>
      <c r="H14" s="1013">
        <v>4.9000000000000004</v>
      </c>
      <c r="I14" s="1013">
        <v>2.75</v>
      </c>
      <c r="J14" s="1013">
        <v>3.25</v>
      </c>
      <c r="K14" s="1033"/>
      <c r="L14" s="1011" t="s">
        <v>1542</v>
      </c>
      <c r="M14" s="1014">
        <v>42301</v>
      </c>
      <c r="N14" s="1013">
        <v>0.35</v>
      </c>
      <c r="O14" s="1013">
        <v>1.1000000000000001</v>
      </c>
      <c r="P14" s="1013">
        <v>1.3</v>
      </c>
      <c r="Q14" s="1013">
        <v>1.5</v>
      </c>
      <c r="R14" s="1013">
        <v>2.1</v>
      </c>
      <c r="S14" s="1013">
        <v>2.75</v>
      </c>
      <c r="T14" s="1013"/>
      <c r="U14" s="1013"/>
      <c r="V14" s="1013"/>
      <c r="W14" s="1013"/>
      <c r="X14" s="1013"/>
      <c r="Y14" s="1013"/>
      <c r="Z14" s="1013"/>
    </row>
    <row r="15" spans="1:26">
      <c r="B15" s="1016"/>
      <c r="C15" s="1017">
        <v>42242</v>
      </c>
      <c r="D15" s="1016">
        <v>4.5999999999999996</v>
      </c>
      <c r="E15" s="1016">
        <v>4.5999999999999996</v>
      </c>
      <c r="F15" s="1016">
        <v>5</v>
      </c>
      <c r="G15" s="1016">
        <v>5</v>
      </c>
      <c r="H15" s="1016">
        <v>5.15</v>
      </c>
      <c r="I15" s="1016">
        <v>2.75</v>
      </c>
      <c r="J15" s="1016">
        <v>3.25</v>
      </c>
      <c r="L15" s="1016"/>
      <c r="M15" s="1017">
        <v>42242</v>
      </c>
      <c r="N15" s="1016">
        <v>0.35</v>
      </c>
      <c r="O15" s="1016">
        <v>1.35</v>
      </c>
      <c r="P15" s="1016">
        <v>1.55</v>
      </c>
      <c r="Q15" s="1016">
        <v>1.75</v>
      </c>
      <c r="R15" s="1016">
        <v>2.35</v>
      </c>
      <c r="S15" s="1016">
        <v>3</v>
      </c>
      <c r="T15" s="1016"/>
      <c r="U15" s="1016"/>
      <c r="V15" s="1016"/>
      <c r="W15" s="1016"/>
      <c r="X15" s="1016"/>
      <c r="Y15" s="1016"/>
      <c r="Z15" s="1016"/>
    </row>
    <row r="16" spans="1:26">
      <c r="B16" s="1016"/>
      <c r="C16" s="1017">
        <v>42183</v>
      </c>
      <c r="D16" s="1016">
        <v>4.8499999999999996</v>
      </c>
      <c r="E16" s="1016">
        <v>4.8499999999999996</v>
      </c>
      <c r="F16" s="1016">
        <v>5.25</v>
      </c>
      <c r="G16" s="1016">
        <v>5.25</v>
      </c>
      <c r="H16" s="1016">
        <v>5.4</v>
      </c>
      <c r="I16" s="1016">
        <v>3</v>
      </c>
      <c r="J16" s="1016">
        <v>3.5</v>
      </c>
      <c r="L16" s="1016"/>
      <c r="M16" s="1017">
        <v>42183</v>
      </c>
      <c r="N16" s="1016">
        <v>0.35</v>
      </c>
      <c r="O16" s="1016">
        <v>1.6</v>
      </c>
      <c r="P16" s="1016">
        <v>1.8</v>
      </c>
      <c r="Q16" s="1016">
        <v>2</v>
      </c>
      <c r="R16" s="1016">
        <v>2.6</v>
      </c>
      <c r="S16" s="1016">
        <v>3.25</v>
      </c>
      <c r="T16" s="1016"/>
      <c r="U16" s="1016"/>
      <c r="V16" s="1016"/>
      <c r="W16" s="1016"/>
      <c r="X16" s="1016"/>
      <c r="Y16" s="1016"/>
      <c r="Z16" s="1016"/>
    </row>
    <row r="17" spans="2:26">
      <c r="B17" s="1016"/>
      <c r="C17" s="1017">
        <v>42135</v>
      </c>
      <c r="D17" s="1016">
        <v>5.0999999999999996</v>
      </c>
      <c r="E17" s="1016">
        <v>5.0999999999999996</v>
      </c>
      <c r="F17" s="1016">
        <v>5.5</v>
      </c>
      <c r="G17" s="1016">
        <v>5.5</v>
      </c>
      <c r="H17" s="1016">
        <v>5.65</v>
      </c>
      <c r="I17" s="1016">
        <v>3.25</v>
      </c>
      <c r="J17" s="1016">
        <v>3.75</v>
      </c>
      <c r="L17" s="1016"/>
      <c r="M17" s="1017">
        <v>42135</v>
      </c>
      <c r="N17" s="1016">
        <v>0.35</v>
      </c>
      <c r="O17" s="1016">
        <v>1.85</v>
      </c>
      <c r="P17" s="1016">
        <v>2.0499999999999998</v>
      </c>
      <c r="Q17" s="1016">
        <v>2.25</v>
      </c>
      <c r="R17" s="1016">
        <v>2.85</v>
      </c>
      <c r="S17" s="1016">
        <v>3.5</v>
      </c>
      <c r="T17" s="1016"/>
      <c r="U17" s="1016"/>
      <c r="V17" s="1016"/>
      <c r="W17" s="1016"/>
      <c r="X17" s="1016"/>
      <c r="Y17" s="1016"/>
      <c r="Z17" s="1016"/>
    </row>
    <row r="18" spans="2:26">
      <c r="B18" s="1016"/>
      <c r="C18" s="1017">
        <v>42064</v>
      </c>
      <c r="D18" s="1016">
        <v>5.35</v>
      </c>
      <c r="E18" s="1016">
        <v>5.35</v>
      </c>
      <c r="F18" s="1016">
        <v>5.75</v>
      </c>
      <c r="G18" s="1016">
        <v>5.75</v>
      </c>
      <c r="H18" s="1016">
        <v>5.9</v>
      </c>
      <c r="I18" s="1016"/>
      <c r="J18" s="1016"/>
      <c r="L18" s="1016"/>
      <c r="M18" s="1017">
        <v>42064</v>
      </c>
      <c r="N18" s="1016">
        <v>0.35</v>
      </c>
      <c r="O18" s="1016">
        <v>2.1</v>
      </c>
      <c r="P18" s="1016">
        <v>2.2999999999999998</v>
      </c>
      <c r="Q18" s="1016">
        <v>2.5</v>
      </c>
      <c r="R18" s="1016">
        <v>3.1</v>
      </c>
      <c r="S18" s="1016">
        <v>3.75</v>
      </c>
      <c r="T18" s="1016">
        <v>4.5</v>
      </c>
      <c r="U18" s="1016">
        <v>2.35</v>
      </c>
      <c r="V18" s="1016">
        <v>2.5499999999999998</v>
      </c>
      <c r="W18" s="1016">
        <v>2.75</v>
      </c>
      <c r="X18" s="1016"/>
      <c r="Y18" s="1016">
        <v>0.8</v>
      </c>
      <c r="Z18" s="1016">
        <v>1.35</v>
      </c>
    </row>
    <row r="19" spans="2:26" ht="15">
      <c r="B19" s="1016"/>
      <c r="C19" s="1017">
        <v>41965</v>
      </c>
      <c r="D19" s="1016">
        <v>5.6</v>
      </c>
      <c r="E19" s="1016">
        <v>5.6</v>
      </c>
      <c r="F19" s="1016">
        <v>6</v>
      </c>
      <c r="G19" s="1016">
        <v>6</v>
      </c>
      <c r="H19" s="1016">
        <v>6.15</v>
      </c>
      <c r="I19" s="1016"/>
      <c r="J19" s="1016"/>
      <c r="L19" s="1016"/>
      <c r="M19" s="1017">
        <v>41965</v>
      </c>
      <c r="N19" s="1016">
        <v>0.35</v>
      </c>
      <c r="O19" s="1016">
        <v>2.35</v>
      </c>
      <c r="P19" s="1016">
        <v>2.5499999999999998</v>
      </c>
      <c r="Q19" s="1016">
        <v>2.75</v>
      </c>
      <c r="R19" s="1016">
        <v>3.35</v>
      </c>
      <c r="S19" s="1016">
        <v>4</v>
      </c>
      <c r="T19" s="1016">
        <v>4.75</v>
      </c>
      <c r="U19" s="1018">
        <v>2.35</v>
      </c>
      <c r="V19" s="1018">
        <v>2.5499999999999998</v>
      </c>
      <c r="W19" s="1018">
        <v>2.75</v>
      </c>
      <c r="X19" s="1016"/>
      <c r="Y19" s="1018">
        <v>0.8</v>
      </c>
      <c r="Z19" s="1018">
        <v>1.35</v>
      </c>
    </row>
    <row r="20" spans="2:26">
      <c r="B20" s="1016"/>
      <c r="C20" s="1017">
        <v>41096</v>
      </c>
      <c r="D20" s="1016">
        <v>5.6</v>
      </c>
      <c r="E20" s="1016">
        <v>6</v>
      </c>
      <c r="F20" s="1016">
        <v>6.15</v>
      </c>
      <c r="G20" s="1016">
        <v>6.4</v>
      </c>
      <c r="H20" s="1016">
        <v>6.55</v>
      </c>
      <c r="I20" s="1016">
        <v>4</v>
      </c>
      <c r="J20" s="1016">
        <v>4.5</v>
      </c>
      <c r="L20" s="1016"/>
      <c r="M20" s="1017">
        <v>41096</v>
      </c>
      <c r="N20" s="1016">
        <v>0.35</v>
      </c>
      <c r="O20" s="1016">
        <v>2.6</v>
      </c>
      <c r="P20" s="1016">
        <v>2.8</v>
      </c>
      <c r="Q20" s="1016">
        <v>3</v>
      </c>
      <c r="R20" s="1016">
        <v>3.75</v>
      </c>
      <c r="S20" s="1016">
        <v>4.25</v>
      </c>
      <c r="T20" s="1016">
        <v>4.75</v>
      </c>
      <c r="U20" s="1016">
        <v>2.85</v>
      </c>
      <c r="V20" s="1016">
        <v>2.9</v>
      </c>
      <c r="W20" s="1016">
        <v>3</v>
      </c>
      <c r="X20" s="1016">
        <v>1.1499999999999999</v>
      </c>
      <c r="Y20" s="1016">
        <v>0.8</v>
      </c>
      <c r="Z20" s="1016">
        <v>1.35</v>
      </c>
    </row>
    <row r="21" spans="2:26">
      <c r="B21" s="1016"/>
      <c r="C21" s="1017">
        <v>41068</v>
      </c>
      <c r="D21" s="1016">
        <v>5.85</v>
      </c>
      <c r="E21" s="1016">
        <v>6.31</v>
      </c>
      <c r="F21" s="1016">
        <v>6.4</v>
      </c>
      <c r="G21" s="1016">
        <v>6.65</v>
      </c>
      <c r="H21" s="1016">
        <v>6.8</v>
      </c>
      <c r="I21" s="1016">
        <v>4.2</v>
      </c>
      <c r="J21" s="1016">
        <v>4.7</v>
      </c>
      <c r="L21" s="1016"/>
      <c r="M21" s="1017">
        <v>41068</v>
      </c>
      <c r="N21" s="1016">
        <v>0.4</v>
      </c>
      <c r="O21" s="1016">
        <v>2.85</v>
      </c>
      <c r="P21" s="1016">
        <v>3.05</v>
      </c>
      <c r="Q21" s="1016">
        <v>3.25</v>
      </c>
      <c r="R21" s="1016">
        <v>4.0999999999999996</v>
      </c>
      <c r="S21" s="1016">
        <v>4.6500000000000004</v>
      </c>
      <c r="T21" s="1016">
        <v>5.0999999999999996</v>
      </c>
      <c r="U21" s="1016">
        <v>3.1</v>
      </c>
      <c r="V21" s="1016">
        <v>3.15</v>
      </c>
      <c r="W21" s="1016">
        <v>3.25</v>
      </c>
      <c r="X21" s="1016">
        <v>1.31</v>
      </c>
      <c r="Y21" s="1016">
        <v>0.94</v>
      </c>
      <c r="Z21" s="1016">
        <v>1.49</v>
      </c>
    </row>
    <row r="22" spans="2:26">
      <c r="B22" s="1016"/>
      <c r="C22" s="1017">
        <v>40731</v>
      </c>
      <c r="D22" s="1016">
        <v>6.1</v>
      </c>
      <c r="E22" s="1016">
        <v>6.56</v>
      </c>
      <c r="F22" s="1016">
        <v>6.65</v>
      </c>
      <c r="G22" s="1016">
        <v>6.9</v>
      </c>
      <c r="H22" s="1016">
        <v>7.05</v>
      </c>
      <c r="I22" s="1016">
        <v>4.45</v>
      </c>
      <c r="J22" s="1016">
        <v>4.9000000000000004</v>
      </c>
      <c r="L22" s="1016"/>
      <c r="M22" s="1017">
        <v>40731</v>
      </c>
      <c r="N22" s="1016">
        <v>0.5</v>
      </c>
      <c r="O22" s="1016">
        <v>3.1</v>
      </c>
      <c r="P22" s="1016">
        <v>3.3</v>
      </c>
      <c r="Q22" s="1016">
        <v>3.5</v>
      </c>
      <c r="R22" s="1016">
        <v>4.4000000000000004</v>
      </c>
      <c r="S22" s="1016">
        <v>5</v>
      </c>
      <c r="T22" s="1016">
        <v>5.5</v>
      </c>
      <c r="U22" s="1016">
        <v>3.1</v>
      </c>
      <c r="V22" s="1016">
        <v>3.3</v>
      </c>
      <c r="W22" s="1016">
        <v>3.5</v>
      </c>
      <c r="X22" s="1016">
        <v>1.31</v>
      </c>
      <c r="Y22" s="1016">
        <v>0.95</v>
      </c>
      <c r="Z22" s="1016">
        <v>1.49</v>
      </c>
    </row>
    <row r="23" spans="2:26">
      <c r="B23" s="1016"/>
      <c r="C23" s="1017">
        <v>40639</v>
      </c>
      <c r="D23" s="1016">
        <v>5.85</v>
      </c>
      <c r="E23" s="1016">
        <v>6.31</v>
      </c>
      <c r="F23" s="1016">
        <v>6.4</v>
      </c>
      <c r="G23" s="1016">
        <v>6.65</v>
      </c>
      <c r="H23" s="1016">
        <v>6.8</v>
      </c>
      <c r="I23" s="1016">
        <v>4.2</v>
      </c>
      <c r="J23" s="1016">
        <v>4.7</v>
      </c>
      <c r="L23" s="1016"/>
      <c r="M23" s="1017">
        <v>40639</v>
      </c>
      <c r="N23" s="1016">
        <v>0.5</v>
      </c>
      <c r="O23" s="1016">
        <v>2.85</v>
      </c>
      <c r="P23" s="1016">
        <v>3.05</v>
      </c>
      <c r="Q23" s="1016">
        <v>3.25</v>
      </c>
      <c r="R23" s="1016">
        <v>4.1500000000000004</v>
      </c>
      <c r="S23" s="1016">
        <v>4.75</v>
      </c>
      <c r="T23" s="1016">
        <v>5.25</v>
      </c>
      <c r="U23" s="1016">
        <v>2.85</v>
      </c>
      <c r="V23" s="1016">
        <v>3.05</v>
      </c>
      <c r="W23" s="1016">
        <v>3.25</v>
      </c>
      <c r="X23" s="1016">
        <v>1.31</v>
      </c>
      <c r="Y23" s="1016">
        <v>0.95</v>
      </c>
      <c r="Z23" s="1016">
        <v>1.49</v>
      </c>
    </row>
    <row r="24" spans="2:26">
      <c r="B24" s="1016"/>
      <c r="C24" s="1017">
        <v>40583</v>
      </c>
      <c r="D24" s="1016">
        <v>5.6</v>
      </c>
      <c r="E24" s="1016">
        <v>6.06</v>
      </c>
      <c r="F24" s="1016">
        <v>6.1</v>
      </c>
      <c r="G24" s="1016">
        <v>6.45</v>
      </c>
      <c r="H24" s="1016">
        <v>6.6</v>
      </c>
      <c r="I24" s="1016">
        <v>4</v>
      </c>
      <c r="J24" s="1016">
        <v>4.5</v>
      </c>
      <c r="L24" s="1016"/>
      <c r="M24" s="1017">
        <v>40583</v>
      </c>
      <c r="N24" s="1016">
        <v>0.4</v>
      </c>
      <c r="O24" s="1016">
        <v>2.6</v>
      </c>
      <c r="P24" s="1016">
        <v>2.8</v>
      </c>
      <c r="Q24" s="1016">
        <v>3</v>
      </c>
      <c r="R24" s="1016">
        <v>3.9</v>
      </c>
      <c r="S24" s="1016">
        <v>4.5</v>
      </c>
      <c r="T24" s="1016">
        <v>5</v>
      </c>
      <c r="U24" s="1016">
        <v>2.6</v>
      </c>
      <c r="V24" s="1016">
        <v>2.8</v>
      </c>
      <c r="W24" s="1016">
        <v>3</v>
      </c>
      <c r="X24" s="1016">
        <v>1.21</v>
      </c>
      <c r="Y24" s="1016">
        <v>0.85</v>
      </c>
      <c r="Z24" s="1016">
        <v>1.39</v>
      </c>
    </row>
    <row r="25" spans="2:26">
      <c r="B25" s="1016"/>
      <c r="C25" s="1017">
        <v>40538</v>
      </c>
      <c r="D25" s="1016">
        <v>5.35</v>
      </c>
      <c r="E25" s="1016">
        <v>5.81</v>
      </c>
      <c r="F25" s="1016">
        <v>5.85</v>
      </c>
      <c r="G25" s="1016">
        <v>6.22</v>
      </c>
      <c r="H25" s="1016">
        <v>6.4</v>
      </c>
      <c r="I25" s="1016">
        <v>3.75</v>
      </c>
      <c r="J25" s="1016">
        <v>4.3</v>
      </c>
      <c r="L25" s="1016"/>
      <c r="M25" s="1017">
        <v>40538</v>
      </c>
      <c r="N25" s="1016">
        <v>0.36</v>
      </c>
      <c r="O25" s="1016">
        <v>2.25</v>
      </c>
      <c r="P25" s="1016">
        <v>2.5</v>
      </c>
      <c r="Q25" s="1016">
        <v>2.75</v>
      </c>
      <c r="R25" s="1016">
        <v>3.55</v>
      </c>
      <c r="S25" s="1016">
        <v>4.1500000000000004</v>
      </c>
      <c r="T25" s="1016">
        <v>4.55</v>
      </c>
      <c r="U25" s="1016">
        <v>2.16</v>
      </c>
      <c r="V25" s="1016">
        <v>2.5</v>
      </c>
      <c r="W25" s="1016">
        <v>2.85</v>
      </c>
      <c r="X25" s="1016">
        <v>1.17</v>
      </c>
      <c r="Y25" s="1016">
        <v>0.81</v>
      </c>
      <c r="Z25" s="1016">
        <v>1.35</v>
      </c>
    </row>
    <row r="26" spans="2:26">
      <c r="B26" s="1016"/>
      <c r="C26" s="1017">
        <v>40471</v>
      </c>
      <c r="D26" s="1016">
        <v>5.0999999999999996</v>
      </c>
      <c r="E26" s="1016">
        <v>5.56</v>
      </c>
      <c r="F26" s="1016">
        <v>5.6</v>
      </c>
      <c r="G26" s="1016">
        <v>5.96</v>
      </c>
      <c r="H26" s="1016">
        <v>6.14</v>
      </c>
      <c r="I26" s="1016">
        <v>3.5</v>
      </c>
      <c r="J26" s="1016">
        <v>4.05</v>
      </c>
      <c r="L26" s="1016"/>
      <c r="M26" s="1017">
        <v>40471</v>
      </c>
      <c r="N26" s="1016">
        <v>0.36</v>
      </c>
      <c r="O26" s="1016">
        <v>1.91</v>
      </c>
      <c r="P26" s="1016">
        <v>2.2000000000000002</v>
      </c>
      <c r="Q26" s="1016">
        <v>2.5</v>
      </c>
      <c r="R26" s="1016">
        <v>3.25</v>
      </c>
      <c r="S26" s="1016">
        <v>3.85</v>
      </c>
      <c r="T26" s="1016">
        <v>4.2</v>
      </c>
      <c r="U26" s="1016">
        <v>1.91</v>
      </c>
      <c r="V26" s="1016">
        <v>2.2000000000000002</v>
      </c>
      <c r="W26" s="1016">
        <v>2.5</v>
      </c>
      <c r="X26" s="1016">
        <v>1.17</v>
      </c>
      <c r="Y26" s="1016">
        <v>0.81</v>
      </c>
      <c r="Z26" s="1016">
        <v>1.35</v>
      </c>
    </row>
    <row r="27" spans="2:26">
      <c r="B27" s="1016"/>
      <c r="C27" s="1017">
        <v>39805</v>
      </c>
      <c r="D27" s="1016">
        <v>4.8600000000000003</v>
      </c>
      <c r="E27" s="1016">
        <v>5.31</v>
      </c>
      <c r="F27" s="1016">
        <v>5.4</v>
      </c>
      <c r="G27" s="1016">
        <v>5.76</v>
      </c>
      <c r="H27" s="1016">
        <v>5.94</v>
      </c>
      <c r="I27" s="1016">
        <v>3.33</v>
      </c>
      <c r="J27" s="1016">
        <v>3.87</v>
      </c>
      <c r="L27" s="1016"/>
      <c r="M27" s="1017">
        <v>39805</v>
      </c>
      <c r="N27" s="1016">
        <v>0.36</v>
      </c>
      <c r="O27" s="1016">
        <v>1.71</v>
      </c>
      <c r="P27" s="1016">
        <v>1.98</v>
      </c>
      <c r="Q27" s="1016">
        <v>2.25</v>
      </c>
      <c r="R27" s="1016">
        <v>2.79</v>
      </c>
      <c r="S27" s="1016">
        <v>3.33</v>
      </c>
      <c r="T27" s="1016">
        <v>3.6</v>
      </c>
      <c r="U27" s="1016">
        <v>1.71</v>
      </c>
      <c r="V27" s="1016">
        <v>1.98</v>
      </c>
      <c r="W27" s="1016">
        <v>2.25</v>
      </c>
      <c r="X27" s="1016">
        <v>1.17</v>
      </c>
      <c r="Y27" s="1016">
        <v>0.81</v>
      </c>
      <c r="Z27" s="1016">
        <v>1.35</v>
      </c>
    </row>
    <row r="28" spans="2:26">
      <c r="B28" s="1016"/>
      <c r="C28" s="1017">
        <v>39779</v>
      </c>
      <c r="D28" s="1016">
        <v>5.04</v>
      </c>
      <c r="E28" s="1016">
        <v>5.58</v>
      </c>
      <c r="F28" s="1016">
        <v>5.67</v>
      </c>
      <c r="G28" s="1016">
        <v>5.94</v>
      </c>
      <c r="H28" s="1016">
        <v>6.12</v>
      </c>
      <c r="I28" s="1016">
        <v>3.51</v>
      </c>
      <c r="J28" s="1016">
        <v>4.05</v>
      </c>
      <c r="L28" s="1016"/>
      <c r="M28" s="1017">
        <v>39779</v>
      </c>
      <c r="N28" s="1016">
        <v>0.36</v>
      </c>
      <c r="O28" s="1016">
        <v>1.98</v>
      </c>
      <c r="P28" s="1016">
        <v>2.25</v>
      </c>
      <c r="Q28" s="1016">
        <v>2.52</v>
      </c>
      <c r="R28" s="1016">
        <v>3.06</v>
      </c>
      <c r="S28" s="1016">
        <v>3.6</v>
      </c>
      <c r="T28" s="1016">
        <v>3.87</v>
      </c>
      <c r="U28" s="1016">
        <v>1.98</v>
      </c>
      <c r="V28" s="1016">
        <v>2.25</v>
      </c>
      <c r="W28" s="1016">
        <v>2.52</v>
      </c>
      <c r="X28" s="1016">
        <v>1.17</v>
      </c>
      <c r="Y28" s="1016">
        <v>0.81</v>
      </c>
      <c r="Z28" s="1016">
        <v>1.35</v>
      </c>
    </row>
    <row r="29" spans="2:26">
      <c r="B29" s="1016"/>
      <c r="C29" s="1017">
        <v>39751</v>
      </c>
      <c r="D29" s="1016">
        <v>6.03</v>
      </c>
      <c r="E29" s="1016">
        <v>6.66</v>
      </c>
      <c r="F29" s="1016">
        <v>6.75</v>
      </c>
      <c r="G29" s="1016">
        <v>7.02</v>
      </c>
      <c r="H29" s="1016">
        <v>7.2</v>
      </c>
      <c r="I29" s="1016">
        <v>4.05</v>
      </c>
      <c r="J29" s="1016">
        <v>4.59</v>
      </c>
      <c r="L29" s="1016"/>
      <c r="M29" s="1017">
        <v>39751</v>
      </c>
      <c r="N29" s="1016">
        <v>0.72</v>
      </c>
      <c r="O29" s="1016">
        <v>2.88</v>
      </c>
      <c r="P29" s="1016">
        <v>3.24</v>
      </c>
      <c r="Q29" s="1016">
        <v>3.6</v>
      </c>
      <c r="R29" s="1016">
        <v>4.1399999999999997</v>
      </c>
      <c r="S29" s="1016">
        <v>4.7699999999999996</v>
      </c>
      <c r="T29" s="1016">
        <v>5.13</v>
      </c>
      <c r="U29" s="1016">
        <v>2.88</v>
      </c>
      <c r="V29" s="1016">
        <v>3.24</v>
      </c>
      <c r="W29" s="1016">
        <v>3.6</v>
      </c>
      <c r="X29" s="1016">
        <v>1.53</v>
      </c>
      <c r="Y29" s="1016">
        <v>1.17</v>
      </c>
      <c r="Z29" s="1016">
        <v>1.71</v>
      </c>
    </row>
    <row r="30" spans="2:26">
      <c r="B30" s="1016"/>
      <c r="C30" s="1019">
        <v>39748</v>
      </c>
      <c r="D30" s="1016">
        <v>6.12</v>
      </c>
      <c r="E30" s="1016">
        <v>6.93</v>
      </c>
      <c r="F30" s="1016">
        <v>7.02</v>
      </c>
      <c r="G30" s="1016">
        <v>7.29</v>
      </c>
      <c r="H30" s="1016">
        <v>7.47</v>
      </c>
      <c r="I30" s="1016">
        <v>4.05</v>
      </c>
      <c r="J30" s="1016">
        <v>4.59</v>
      </c>
      <c r="L30" s="1016"/>
      <c r="M30" s="1019">
        <v>39736</v>
      </c>
      <c r="N30" s="1016">
        <v>0.72</v>
      </c>
      <c r="O30" s="1016">
        <v>3.15</v>
      </c>
      <c r="P30" s="1016">
        <v>3.51</v>
      </c>
      <c r="Q30" s="1016">
        <v>3.87</v>
      </c>
      <c r="R30" s="1016">
        <v>4.41</v>
      </c>
      <c r="S30" s="1016">
        <v>5.13</v>
      </c>
      <c r="T30" s="1016">
        <v>5.58</v>
      </c>
      <c r="U30" s="1016">
        <v>3.15</v>
      </c>
      <c r="V30" s="1016">
        <v>3.51</v>
      </c>
      <c r="W30" s="1016">
        <v>3.87</v>
      </c>
      <c r="X30" s="1016">
        <v>1.53</v>
      </c>
      <c r="Y30" s="1016">
        <v>1.17</v>
      </c>
      <c r="Z30" s="1016">
        <v>1.71</v>
      </c>
    </row>
    <row r="31" spans="2:26">
      <c r="B31" s="1016"/>
      <c r="C31" s="1017">
        <v>39730</v>
      </c>
      <c r="D31" s="1016">
        <v>6.12</v>
      </c>
      <c r="E31" s="1016">
        <v>6.93</v>
      </c>
      <c r="F31" s="1016">
        <v>7.02</v>
      </c>
      <c r="G31" s="1016">
        <v>7.29</v>
      </c>
      <c r="H31" s="1016">
        <v>7.47</v>
      </c>
      <c r="I31" s="1016">
        <v>4.32</v>
      </c>
      <c r="J31" s="1016">
        <v>4.8600000000000003</v>
      </c>
      <c r="L31" s="1016"/>
      <c r="M31" s="1017">
        <v>39730</v>
      </c>
      <c r="N31" s="1016">
        <v>0.72</v>
      </c>
      <c r="O31" s="1016">
        <v>3.15</v>
      </c>
      <c r="P31" s="1016">
        <v>3.51</v>
      </c>
      <c r="Q31" s="1016">
        <v>3.87</v>
      </c>
      <c r="R31" s="1016">
        <v>4.41</v>
      </c>
      <c r="S31" s="1016">
        <v>5.13</v>
      </c>
      <c r="T31" s="1016">
        <v>5.58</v>
      </c>
      <c r="U31" s="1016">
        <v>3.15</v>
      </c>
      <c r="V31" s="1016">
        <v>3.51</v>
      </c>
      <c r="W31" s="1016">
        <v>3.87</v>
      </c>
      <c r="X31" s="1016">
        <v>1.53</v>
      </c>
      <c r="Y31" s="1016">
        <v>1.17</v>
      </c>
      <c r="Z31" s="1016">
        <v>1.71</v>
      </c>
    </row>
    <row r="32" spans="2:26">
      <c r="B32" s="1016"/>
      <c r="C32" s="1017">
        <v>39707</v>
      </c>
      <c r="D32" s="1016">
        <v>6.21</v>
      </c>
      <c r="E32" s="1016">
        <v>7.2</v>
      </c>
      <c r="F32" s="1016">
        <v>7.29</v>
      </c>
      <c r="G32" s="1016">
        <v>7.56</v>
      </c>
      <c r="H32" s="1016">
        <v>7.74</v>
      </c>
      <c r="I32" s="1016">
        <v>4.59</v>
      </c>
      <c r="J32" s="1016">
        <v>5.13</v>
      </c>
      <c r="L32" s="1016"/>
      <c r="M32" s="1017">
        <v>39437</v>
      </c>
      <c r="N32" s="1016">
        <v>0.72</v>
      </c>
      <c r="O32" s="1016">
        <v>3.33</v>
      </c>
      <c r="P32" s="1016">
        <v>3.78</v>
      </c>
      <c r="Q32" s="1016">
        <v>4.1399999999999997</v>
      </c>
      <c r="R32" s="1016">
        <v>4.68</v>
      </c>
      <c r="S32" s="1016">
        <v>5.4</v>
      </c>
      <c r="T32" s="1016">
        <v>5.85</v>
      </c>
      <c r="U32" s="1016">
        <v>3.33</v>
      </c>
      <c r="V32" s="1016">
        <v>3.78</v>
      </c>
      <c r="W32" s="1016">
        <v>4.1399999999999997</v>
      </c>
      <c r="X32" s="1016">
        <v>1.53</v>
      </c>
      <c r="Y32" s="1016">
        <v>1.17</v>
      </c>
      <c r="Z32" s="1016">
        <v>1.71</v>
      </c>
    </row>
    <row r="33" spans="2:26">
      <c r="B33" s="1016"/>
      <c r="C33" s="1017">
        <v>39437</v>
      </c>
      <c r="D33" s="1016">
        <v>6.57</v>
      </c>
      <c r="E33" s="1016">
        <v>7.47</v>
      </c>
      <c r="F33" s="1016">
        <v>7.56</v>
      </c>
      <c r="G33" s="1016">
        <v>7.74</v>
      </c>
      <c r="H33" s="1016">
        <v>7.83</v>
      </c>
      <c r="I33" s="1016">
        <v>4.7699999999999996</v>
      </c>
      <c r="J33" s="1016">
        <v>5.22</v>
      </c>
      <c r="L33" s="1016"/>
      <c r="M33" s="1017">
        <v>39340</v>
      </c>
      <c r="N33" s="1016">
        <v>0.81</v>
      </c>
      <c r="O33" s="1016">
        <v>2.88</v>
      </c>
      <c r="P33" s="1016">
        <v>3.42</v>
      </c>
      <c r="Q33" s="1016">
        <v>3.87</v>
      </c>
      <c r="R33" s="1016">
        <v>4.5</v>
      </c>
      <c r="S33" s="1016">
        <v>5.22</v>
      </c>
      <c r="T33" s="1016">
        <v>5.76</v>
      </c>
      <c r="U33" s="1016">
        <v>2.88</v>
      </c>
      <c r="V33" s="1016">
        <v>3.42</v>
      </c>
      <c r="W33" s="1016">
        <v>3.87</v>
      </c>
      <c r="X33" s="1016">
        <v>1.53</v>
      </c>
      <c r="Y33" s="1016">
        <v>1.17</v>
      </c>
      <c r="Z33" s="1016">
        <v>1.71</v>
      </c>
    </row>
    <row r="34" spans="2:26">
      <c r="B34" s="1016"/>
      <c r="C34" s="1017">
        <v>39340</v>
      </c>
      <c r="D34" s="1016">
        <v>6.48</v>
      </c>
      <c r="E34" s="1016">
        <v>7.29</v>
      </c>
      <c r="F34" s="1016">
        <v>7.47</v>
      </c>
      <c r="G34" s="1016">
        <v>7.65</v>
      </c>
      <c r="H34" s="1016">
        <v>7.83</v>
      </c>
      <c r="I34" s="1016">
        <v>4.7699999999999996</v>
      </c>
      <c r="J34" s="1016">
        <v>5.22</v>
      </c>
      <c r="L34" s="1016"/>
      <c r="M34" s="1017">
        <v>39316</v>
      </c>
      <c r="N34" s="1016">
        <v>0.81</v>
      </c>
      <c r="O34" s="1016">
        <v>2.61</v>
      </c>
      <c r="P34" s="1016">
        <v>3.15</v>
      </c>
      <c r="Q34" s="1016">
        <v>3.6</v>
      </c>
      <c r="R34" s="1016">
        <v>4.2300000000000004</v>
      </c>
      <c r="S34" s="1016">
        <v>4.95</v>
      </c>
      <c r="T34" s="1016">
        <v>5.49</v>
      </c>
      <c r="U34" s="1016">
        <v>2.61</v>
      </c>
      <c r="V34" s="1016">
        <v>3.15</v>
      </c>
      <c r="W34" s="1016">
        <v>3.6</v>
      </c>
      <c r="X34" s="1016">
        <v>1.53</v>
      </c>
      <c r="Y34" s="1016">
        <v>1.17</v>
      </c>
      <c r="Z34" s="1016">
        <v>1.71</v>
      </c>
    </row>
    <row r="35" spans="2:26">
      <c r="B35" s="1016"/>
      <c r="C35" s="1017">
        <v>39316</v>
      </c>
      <c r="D35" s="1016">
        <v>6.21</v>
      </c>
      <c r="E35" s="1016">
        <v>7.02</v>
      </c>
      <c r="F35" s="1016">
        <v>7.2</v>
      </c>
      <c r="G35" s="1016">
        <v>7.38</v>
      </c>
      <c r="H35" s="1016">
        <v>7.56</v>
      </c>
      <c r="I35" s="1016">
        <v>4.59</v>
      </c>
      <c r="J35" s="1016">
        <v>5.04</v>
      </c>
      <c r="L35" s="1016"/>
      <c r="M35" s="1017">
        <v>39284</v>
      </c>
      <c r="N35" s="1016">
        <v>0.81</v>
      </c>
      <c r="O35" s="1016">
        <v>2.34</v>
      </c>
      <c r="P35" s="1016">
        <v>2.88</v>
      </c>
      <c r="Q35" s="1016">
        <v>3.33</v>
      </c>
      <c r="R35" s="1016">
        <v>3.96</v>
      </c>
      <c r="S35" s="1016">
        <v>4.68</v>
      </c>
      <c r="T35" s="1016">
        <v>5.22</v>
      </c>
      <c r="U35" s="1016">
        <v>2.34</v>
      </c>
      <c r="V35" s="1016">
        <v>2.88</v>
      </c>
      <c r="W35" s="1016">
        <v>3.33</v>
      </c>
      <c r="X35" s="1016">
        <v>1.53</v>
      </c>
      <c r="Y35" s="1016">
        <v>1.17</v>
      </c>
      <c r="Z35" s="1016">
        <v>1.71</v>
      </c>
    </row>
    <row r="36" spans="2:26">
      <c r="B36" s="1016"/>
      <c r="C36" s="1017">
        <v>39284</v>
      </c>
      <c r="D36" s="1016">
        <v>6.03</v>
      </c>
      <c r="E36" s="1016">
        <v>6.84</v>
      </c>
      <c r="F36" s="1016">
        <v>7.02</v>
      </c>
      <c r="G36" s="1016">
        <v>7.2</v>
      </c>
      <c r="H36" s="1016">
        <v>7.38</v>
      </c>
      <c r="I36" s="1016">
        <v>4.5</v>
      </c>
      <c r="J36" s="1016">
        <v>4.95</v>
      </c>
      <c r="L36" s="1016"/>
      <c r="M36" s="1017">
        <v>39221</v>
      </c>
      <c r="N36" s="1016">
        <v>0.72</v>
      </c>
      <c r="O36" s="1016">
        <v>2.0699999999999998</v>
      </c>
      <c r="P36" s="1016">
        <v>2.61</v>
      </c>
      <c r="Q36" s="1016">
        <v>3.06</v>
      </c>
      <c r="R36" s="1016">
        <v>3.69</v>
      </c>
      <c r="S36" s="1016">
        <v>4.41</v>
      </c>
      <c r="T36" s="1016">
        <v>4.95</v>
      </c>
      <c r="U36" s="1016">
        <v>2.0699999999999998</v>
      </c>
      <c r="V36" s="1016">
        <v>2.61</v>
      </c>
      <c r="W36" s="1016">
        <v>3.06</v>
      </c>
      <c r="X36" s="1016">
        <v>1.44</v>
      </c>
      <c r="Y36" s="1016">
        <v>1.08</v>
      </c>
      <c r="Z36" s="1016">
        <v>1.62</v>
      </c>
    </row>
    <row r="37" spans="2:26">
      <c r="B37" s="1016"/>
      <c r="C37" s="1017">
        <v>39221</v>
      </c>
      <c r="D37" s="1016">
        <v>5.85</v>
      </c>
      <c r="E37" s="1016">
        <v>6.57</v>
      </c>
      <c r="F37" s="1016">
        <v>6.75</v>
      </c>
      <c r="G37" s="1016">
        <v>6.93</v>
      </c>
      <c r="H37" s="1016">
        <v>7.2</v>
      </c>
      <c r="I37" s="1016">
        <v>4.41</v>
      </c>
      <c r="J37" s="1016">
        <v>4.8600000000000003</v>
      </c>
      <c r="L37" s="1016"/>
      <c r="M37" s="1017">
        <v>39159</v>
      </c>
      <c r="N37" s="1016">
        <v>0.72</v>
      </c>
      <c r="O37" s="1016">
        <v>1.98</v>
      </c>
      <c r="P37" s="1016">
        <v>2.4300000000000002</v>
      </c>
      <c r="Q37" s="1016">
        <v>2.79</v>
      </c>
      <c r="R37" s="1016">
        <v>3.33</v>
      </c>
      <c r="S37" s="1016">
        <v>3.96</v>
      </c>
      <c r="T37" s="1016">
        <v>4.41</v>
      </c>
      <c r="U37" s="1016">
        <v>1.98</v>
      </c>
      <c r="V37" s="1016">
        <v>2.4300000000000002</v>
      </c>
      <c r="W37" s="1016">
        <v>2.79</v>
      </c>
      <c r="X37" s="1016">
        <v>1.44</v>
      </c>
      <c r="Y37" s="1016">
        <v>1.08</v>
      </c>
      <c r="Z37" s="1016">
        <v>1.62</v>
      </c>
    </row>
    <row r="38" spans="2:26">
      <c r="B38" s="1016"/>
      <c r="C38" s="1017">
        <v>39159</v>
      </c>
      <c r="D38" s="1016">
        <v>5.67</v>
      </c>
      <c r="E38" s="1016">
        <v>6.39</v>
      </c>
      <c r="F38" s="1016">
        <v>6.57</v>
      </c>
      <c r="G38" s="1016">
        <v>6.75</v>
      </c>
      <c r="H38" s="1016">
        <v>7.11</v>
      </c>
      <c r="I38" s="1016">
        <v>4.32</v>
      </c>
      <c r="J38" s="1016">
        <v>4.7699999999999996</v>
      </c>
      <c r="L38" s="1016"/>
      <c r="M38" s="1017">
        <v>38948</v>
      </c>
      <c r="N38" s="1016">
        <v>0.72</v>
      </c>
      <c r="O38" s="1016">
        <v>1.8</v>
      </c>
      <c r="P38" s="1016">
        <v>2.25</v>
      </c>
      <c r="Q38" s="1016">
        <v>2.52</v>
      </c>
      <c r="R38" s="1016">
        <v>3.06</v>
      </c>
      <c r="S38" s="1016">
        <v>3.69</v>
      </c>
      <c r="T38" s="1016">
        <v>4.1399999999999997</v>
      </c>
      <c r="U38" s="1016">
        <v>1.8</v>
      </c>
      <c r="V38" s="1016">
        <v>2.25</v>
      </c>
      <c r="W38" s="1016">
        <v>2.52</v>
      </c>
      <c r="X38" s="1016">
        <v>1.44</v>
      </c>
      <c r="Y38" s="1016">
        <v>1.08</v>
      </c>
      <c r="Z38" s="1016">
        <v>1.62</v>
      </c>
    </row>
    <row r="39" spans="2:26">
      <c r="B39" s="1016"/>
      <c r="C39" s="1017">
        <v>38948</v>
      </c>
      <c r="D39" s="1016">
        <v>5.58</v>
      </c>
      <c r="E39" s="1016">
        <v>6.12</v>
      </c>
      <c r="F39" s="1016">
        <v>6.3</v>
      </c>
      <c r="G39" s="1016">
        <v>6.48</v>
      </c>
      <c r="H39" s="1016">
        <v>6.84</v>
      </c>
      <c r="I39" s="1016">
        <v>4.1399999999999997</v>
      </c>
      <c r="J39" s="1016">
        <v>4.59</v>
      </c>
      <c r="L39" s="1016"/>
      <c r="M39" s="1017">
        <v>38289</v>
      </c>
      <c r="N39" s="1016">
        <v>0.72</v>
      </c>
      <c r="O39" s="1016">
        <v>1.71</v>
      </c>
      <c r="P39" s="1016">
        <v>2.0699999999999998</v>
      </c>
      <c r="Q39" s="1016">
        <v>2.25</v>
      </c>
      <c r="R39" s="1016">
        <v>2.7</v>
      </c>
      <c r="S39" s="1016">
        <v>3.24</v>
      </c>
      <c r="T39" s="1016">
        <v>3.6</v>
      </c>
      <c r="U39" s="1016">
        <v>1.71</v>
      </c>
      <c r="V39" s="1016">
        <v>2.0699999999999998</v>
      </c>
      <c r="W39" s="1016">
        <v>2.25</v>
      </c>
      <c r="X39" s="1016">
        <v>1.44</v>
      </c>
      <c r="Y39" s="1016">
        <v>1.08</v>
      </c>
      <c r="Z39" s="1016">
        <v>1.62</v>
      </c>
    </row>
    <row r="40" spans="2:26">
      <c r="B40" s="1016"/>
      <c r="C40" s="1017">
        <v>38835</v>
      </c>
      <c r="D40" s="1016">
        <v>5.4</v>
      </c>
      <c r="E40" s="1016">
        <v>5.85</v>
      </c>
      <c r="F40" s="1016">
        <v>6.03</v>
      </c>
      <c r="G40" s="1016">
        <v>6.12</v>
      </c>
      <c r="H40" s="1016">
        <v>6.39</v>
      </c>
      <c r="I40" s="1016">
        <v>4.1399999999999997</v>
      </c>
      <c r="J40" s="1016">
        <v>4.59</v>
      </c>
      <c r="L40" s="1016"/>
      <c r="M40" s="1017">
        <v>37308</v>
      </c>
      <c r="N40" s="1016">
        <v>0.72</v>
      </c>
      <c r="O40" s="1016">
        <v>1.71</v>
      </c>
      <c r="P40" s="1016">
        <v>1.89</v>
      </c>
      <c r="Q40" s="1016">
        <v>1.98</v>
      </c>
      <c r="R40" s="1016">
        <v>2.25</v>
      </c>
      <c r="S40" s="1016">
        <v>2.52</v>
      </c>
      <c r="T40" s="1016">
        <v>2.79</v>
      </c>
      <c r="U40" s="1016">
        <v>1.71</v>
      </c>
      <c r="V40" s="1016">
        <v>1.89</v>
      </c>
      <c r="W40" s="1016">
        <v>1.98</v>
      </c>
      <c r="X40" s="1016">
        <v>1.44</v>
      </c>
      <c r="Y40" s="1016">
        <v>1.08</v>
      </c>
      <c r="Z40" s="1016">
        <v>1.62</v>
      </c>
    </row>
    <row r="41" spans="2:26">
      <c r="B41" s="1016"/>
      <c r="C41" s="1017">
        <v>38428</v>
      </c>
      <c r="D41" s="1016">
        <v>5.22</v>
      </c>
      <c r="E41" s="1016">
        <v>5.58</v>
      </c>
      <c r="F41" s="1016">
        <v>5.76</v>
      </c>
      <c r="G41" s="1016">
        <v>5.85</v>
      </c>
      <c r="H41" s="1016">
        <v>6.12</v>
      </c>
      <c r="I41" s="1016">
        <v>3.96</v>
      </c>
      <c r="J41" s="1016">
        <v>4.41</v>
      </c>
      <c r="L41" s="1016"/>
      <c r="M41" s="1017">
        <v>36321</v>
      </c>
      <c r="N41" s="1016">
        <v>0.99</v>
      </c>
      <c r="O41" s="1016">
        <v>1.98</v>
      </c>
      <c r="P41" s="1016">
        <v>2.16</v>
      </c>
      <c r="Q41" s="1016">
        <v>2.25</v>
      </c>
      <c r="R41" s="1016">
        <v>2.4300000000000002</v>
      </c>
      <c r="S41" s="1016">
        <v>2.7</v>
      </c>
      <c r="T41" s="1016">
        <v>2.88</v>
      </c>
      <c r="U41" s="1016">
        <v>1.98</v>
      </c>
      <c r="V41" s="1016">
        <v>2.16</v>
      </c>
      <c r="W41" s="1016">
        <v>2.25</v>
      </c>
      <c r="X41" s="1016">
        <v>1.71</v>
      </c>
      <c r="Y41" s="1016">
        <v>1.35</v>
      </c>
      <c r="Z41" s="1016">
        <v>1.89</v>
      </c>
    </row>
    <row r="42" spans="2:26">
      <c r="B42" s="1016"/>
      <c r="C42" s="1017">
        <v>38289</v>
      </c>
      <c r="D42" s="1016">
        <v>5.22</v>
      </c>
      <c r="E42" s="1016">
        <v>5.58</v>
      </c>
      <c r="F42" s="1016">
        <v>5.76</v>
      </c>
      <c r="G42" s="1016">
        <v>5.85</v>
      </c>
      <c r="H42" s="1016">
        <v>6.12</v>
      </c>
      <c r="I42" s="1016">
        <v>3.78</v>
      </c>
      <c r="J42" s="1016">
        <v>4.2300000000000004</v>
      </c>
      <c r="L42" s="1016"/>
      <c r="M42" s="1017">
        <v>36136</v>
      </c>
      <c r="N42" s="1016">
        <v>1.44</v>
      </c>
      <c r="O42" s="1016">
        <v>2.79</v>
      </c>
      <c r="P42" s="1016">
        <v>3.33</v>
      </c>
      <c r="Q42" s="1016">
        <v>3.78</v>
      </c>
      <c r="R42" s="1016">
        <v>3.96</v>
      </c>
      <c r="S42" s="1016">
        <v>4.1399999999999997</v>
      </c>
      <c r="T42" s="1016">
        <v>4.5</v>
      </c>
      <c r="U42" s="1016">
        <v>3.33</v>
      </c>
      <c r="V42" s="1016">
        <v>3.78</v>
      </c>
      <c r="W42" s="1016">
        <v>4.1399999999999997</v>
      </c>
      <c r="X42" s="1016">
        <v>2.16</v>
      </c>
      <c r="Y42" s="1016">
        <v>1.8</v>
      </c>
      <c r="Z42" s="1016">
        <v>2.34</v>
      </c>
    </row>
    <row r="43" spans="2:26">
      <c r="B43" s="1016"/>
      <c r="C43" s="1017">
        <v>37308</v>
      </c>
      <c r="D43" s="1016">
        <v>5.04</v>
      </c>
      <c r="E43" s="1016">
        <v>5.31</v>
      </c>
      <c r="F43" s="1016">
        <v>5.49</v>
      </c>
      <c r="G43" s="1016">
        <v>5.58</v>
      </c>
      <c r="H43" s="1016">
        <v>5.76</v>
      </c>
      <c r="I43" s="1016">
        <v>3.6</v>
      </c>
      <c r="J43" s="1016">
        <v>4.05</v>
      </c>
      <c r="L43" s="1016"/>
      <c r="M43" s="1017">
        <v>35977</v>
      </c>
      <c r="N43" s="1016">
        <v>1.44</v>
      </c>
      <c r="O43" s="1016">
        <v>2.79</v>
      </c>
      <c r="P43" s="1016">
        <v>3.96</v>
      </c>
      <c r="Q43" s="1016">
        <v>4.7699999999999996</v>
      </c>
      <c r="R43" s="1016">
        <v>4.8600000000000003</v>
      </c>
      <c r="S43" s="1016">
        <v>4.95</v>
      </c>
      <c r="T43" s="1016">
        <v>5.22</v>
      </c>
      <c r="U43" s="1016">
        <v>3.96</v>
      </c>
      <c r="V43" s="1016">
        <v>4.7699999999999996</v>
      </c>
      <c r="W43" s="1016">
        <v>4.95</v>
      </c>
      <c r="X43" s="1016" t="s">
        <v>1543</v>
      </c>
      <c r="Y43" s="1016" t="s">
        <v>1543</v>
      </c>
      <c r="Z43" s="1016" t="s">
        <v>1543</v>
      </c>
    </row>
    <row r="44" spans="2:26">
      <c r="B44" s="1016"/>
      <c r="C44" s="1017">
        <v>36321</v>
      </c>
      <c r="D44" s="1016">
        <v>5.58</v>
      </c>
      <c r="E44" s="1016">
        <v>5.85</v>
      </c>
      <c r="F44" s="1016">
        <v>5.94</v>
      </c>
      <c r="G44" s="1016">
        <v>6.03</v>
      </c>
      <c r="H44" s="1016">
        <v>6.21</v>
      </c>
      <c r="I44" s="1016">
        <v>4.1399999999999997</v>
      </c>
      <c r="J44" s="1016">
        <v>4.59</v>
      </c>
      <c r="L44" s="1016"/>
      <c r="M44" s="1017">
        <v>35879</v>
      </c>
      <c r="N44" s="1016">
        <v>1.71</v>
      </c>
      <c r="O44" s="1016">
        <v>2.88</v>
      </c>
      <c r="P44" s="1016">
        <v>4.1399999999999997</v>
      </c>
      <c r="Q44" s="1016">
        <v>5.22</v>
      </c>
      <c r="R44" s="1016">
        <v>5.58</v>
      </c>
      <c r="S44" s="1016">
        <v>6.21</v>
      </c>
      <c r="T44" s="1016">
        <v>6.66</v>
      </c>
      <c r="U44" s="1016">
        <v>4.1399999999999997</v>
      </c>
      <c r="V44" s="1016">
        <v>5.22</v>
      </c>
      <c r="W44" s="1016">
        <v>6.21</v>
      </c>
      <c r="X44" s="1016" t="s">
        <v>1543</v>
      </c>
      <c r="Y44" s="1016" t="s">
        <v>1543</v>
      </c>
      <c r="Z44" s="1016" t="s">
        <v>1543</v>
      </c>
    </row>
    <row r="45" spans="2:26">
      <c r="B45" s="1016"/>
      <c r="C45" s="1017">
        <v>36136</v>
      </c>
      <c r="D45" s="1016">
        <v>6.12</v>
      </c>
      <c r="E45" s="1016">
        <v>6.39</v>
      </c>
      <c r="F45" s="1016">
        <v>6.66</v>
      </c>
      <c r="G45" s="1016">
        <v>7.2</v>
      </c>
      <c r="H45" s="1016">
        <v>7.56</v>
      </c>
      <c r="I45" s="1016">
        <v>0</v>
      </c>
      <c r="J45" s="1016">
        <v>0</v>
      </c>
      <c r="L45" s="1016"/>
      <c r="M45" s="1017">
        <v>35726</v>
      </c>
      <c r="N45" s="1016">
        <v>1.71</v>
      </c>
      <c r="O45" s="1016">
        <v>2.88</v>
      </c>
      <c r="P45" s="1016">
        <v>4.1399999999999997</v>
      </c>
      <c r="Q45" s="1016">
        <v>5.67</v>
      </c>
      <c r="R45" s="1016">
        <v>5.94</v>
      </c>
      <c r="S45" s="1016">
        <v>6.21</v>
      </c>
      <c r="T45" s="1016">
        <v>6.66</v>
      </c>
      <c r="U45" s="1016">
        <v>4.1399999999999997</v>
      </c>
      <c r="V45" s="1016">
        <v>5.67</v>
      </c>
      <c r="W45" s="1016">
        <v>6.21</v>
      </c>
      <c r="X45" s="1016" t="s">
        <v>1543</v>
      </c>
      <c r="Y45" s="1016" t="s">
        <v>1543</v>
      </c>
      <c r="Z45" s="1016" t="s">
        <v>1543</v>
      </c>
    </row>
    <row r="46" spans="2:26">
      <c r="B46" s="1016"/>
      <c r="C46" s="1017">
        <v>35977</v>
      </c>
      <c r="D46" s="1016">
        <v>6.57</v>
      </c>
      <c r="E46" s="1016">
        <v>6.93</v>
      </c>
      <c r="F46" s="1016">
        <v>7.11</v>
      </c>
      <c r="G46" s="1016">
        <v>7.65</v>
      </c>
      <c r="H46" s="1016">
        <v>8.01</v>
      </c>
      <c r="I46" s="1016">
        <v>0</v>
      </c>
      <c r="J46" s="1016">
        <v>0</v>
      </c>
      <c r="L46" s="1016"/>
      <c r="M46" s="1017">
        <v>35300</v>
      </c>
      <c r="N46" s="1016">
        <v>1.98</v>
      </c>
      <c r="O46" s="1016">
        <v>3.33</v>
      </c>
      <c r="P46" s="1016">
        <v>5.4</v>
      </c>
      <c r="Q46" s="1016">
        <v>7.47</v>
      </c>
      <c r="R46" s="1016">
        <v>7.92</v>
      </c>
      <c r="S46" s="1016">
        <v>8.2799999999999994</v>
      </c>
      <c r="T46" s="1016">
        <v>9</v>
      </c>
      <c r="U46" s="1016">
        <v>5.4</v>
      </c>
      <c r="V46" s="1016">
        <v>7.47</v>
      </c>
      <c r="W46" s="1016">
        <v>8.2799999999999994</v>
      </c>
      <c r="X46" s="1016" t="s">
        <v>1543</v>
      </c>
      <c r="Y46" s="1016" t="s">
        <v>1543</v>
      </c>
      <c r="Z46" s="1016" t="s">
        <v>1543</v>
      </c>
    </row>
    <row r="47" spans="2:26">
      <c r="B47" s="1016"/>
      <c r="C47" s="1017">
        <v>35879</v>
      </c>
      <c r="D47" s="1016">
        <v>7.02</v>
      </c>
      <c r="E47" s="1016">
        <v>7.92</v>
      </c>
      <c r="F47" s="1016">
        <v>9</v>
      </c>
      <c r="G47" s="1016">
        <v>9.7200000000000006</v>
      </c>
      <c r="H47" s="1016">
        <v>10.35</v>
      </c>
      <c r="I47" s="1016">
        <v>0</v>
      </c>
      <c r="J47" s="1016">
        <v>0</v>
      </c>
      <c r="L47" s="1016"/>
      <c r="M47" s="1017">
        <v>35186</v>
      </c>
      <c r="N47" s="1016">
        <v>2.97</v>
      </c>
      <c r="O47" s="1016">
        <v>4.8600000000000003</v>
      </c>
      <c r="P47" s="1016">
        <v>7.2</v>
      </c>
      <c r="Q47" s="1016">
        <v>9.18</v>
      </c>
      <c r="R47" s="1016">
        <v>9.9</v>
      </c>
      <c r="S47" s="1016">
        <v>10.8</v>
      </c>
      <c r="T47" s="1016">
        <v>12.06</v>
      </c>
      <c r="U47" s="1016">
        <v>7.2</v>
      </c>
      <c r="V47" s="1016">
        <v>9.18</v>
      </c>
      <c r="W47" s="1016">
        <v>10.8</v>
      </c>
      <c r="X47" s="1016" t="s">
        <v>1543</v>
      </c>
      <c r="Y47" s="1016" t="s">
        <v>1543</v>
      </c>
      <c r="Z47" s="1016" t="s">
        <v>1543</v>
      </c>
    </row>
    <row r="48" spans="2:26">
      <c r="B48" s="1016"/>
      <c r="C48" s="1017">
        <v>35726</v>
      </c>
      <c r="D48" s="1016">
        <v>7.65</v>
      </c>
      <c r="E48" s="1016">
        <v>8.64</v>
      </c>
      <c r="F48" s="1016">
        <v>9.36</v>
      </c>
      <c r="G48" s="1016">
        <v>9.9</v>
      </c>
      <c r="H48" s="1016">
        <v>10.53</v>
      </c>
      <c r="I48" s="1016">
        <v>0</v>
      </c>
      <c r="J48" s="1016">
        <v>0</v>
      </c>
      <c r="L48" s="1016"/>
      <c r="M48" s="1017">
        <v>34161</v>
      </c>
      <c r="N48" s="1016">
        <v>3.15</v>
      </c>
      <c r="O48" s="1016">
        <v>6.66</v>
      </c>
      <c r="P48" s="1016">
        <v>9</v>
      </c>
      <c r="Q48" s="1016">
        <v>10.98</v>
      </c>
      <c r="R48" s="1016">
        <v>11.7</v>
      </c>
      <c r="S48" s="1016">
        <v>12.24</v>
      </c>
      <c r="T48" s="1016">
        <v>13.86</v>
      </c>
      <c r="U48" s="1016">
        <v>9</v>
      </c>
      <c r="V48" s="1016">
        <v>10.98</v>
      </c>
      <c r="W48" s="1016">
        <v>12.24</v>
      </c>
      <c r="X48" s="1016" t="s">
        <v>1543</v>
      </c>
      <c r="Y48" s="1016" t="s">
        <v>1543</v>
      </c>
      <c r="Z48" s="1016" t="s">
        <v>1543</v>
      </c>
    </row>
    <row r="49" spans="2:26">
      <c r="B49" s="1016"/>
      <c r="C49" s="1017">
        <v>35300</v>
      </c>
      <c r="D49" s="1016">
        <v>9.18</v>
      </c>
      <c r="E49" s="1016">
        <v>10.08</v>
      </c>
      <c r="F49" s="1016">
        <v>10.98</v>
      </c>
      <c r="G49" s="1016">
        <v>11.7</v>
      </c>
      <c r="H49" s="1016">
        <v>12.42</v>
      </c>
      <c r="I49" s="1016">
        <v>0</v>
      </c>
      <c r="J49" s="1016">
        <v>0</v>
      </c>
      <c r="L49" s="1016"/>
      <c r="M49" s="1017">
        <v>34104</v>
      </c>
      <c r="N49" s="1016">
        <v>2.16</v>
      </c>
      <c r="O49" s="1016">
        <v>4.8600000000000003</v>
      </c>
      <c r="P49" s="1016">
        <v>7.2</v>
      </c>
      <c r="Q49" s="1016">
        <v>9.18</v>
      </c>
      <c r="R49" s="1016">
        <v>9.9</v>
      </c>
      <c r="S49" s="1016">
        <v>10.8</v>
      </c>
      <c r="T49" s="1016">
        <v>12.06</v>
      </c>
      <c r="U49" s="1016">
        <v>7.2</v>
      </c>
      <c r="V49" s="1016">
        <v>9.18</v>
      </c>
      <c r="W49" s="1016">
        <v>10.8</v>
      </c>
      <c r="X49" s="1016" t="s">
        <v>1543</v>
      </c>
      <c r="Y49" s="1016" t="s">
        <v>1543</v>
      </c>
      <c r="Z49" s="1016" t="s">
        <v>1543</v>
      </c>
    </row>
    <row r="50" spans="2:26">
      <c r="B50" s="1016"/>
      <c r="C50" s="1017">
        <v>35186</v>
      </c>
      <c r="D50" s="1016">
        <v>9.7200000000000006</v>
      </c>
      <c r="E50" s="1016">
        <v>10.98</v>
      </c>
      <c r="F50" s="1016">
        <v>13.14</v>
      </c>
      <c r="G50" s="1016">
        <v>14.94</v>
      </c>
      <c r="H50" s="1016">
        <v>15.12</v>
      </c>
      <c r="I50" s="1016">
        <v>0</v>
      </c>
      <c r="J50" s="1016">
        <v>0</v>
      </c>
      <c r="L50" s="1016"/>
      <c r="M50" s="1017">
        <v>33349</v>
      </c>
      <c r="N50" s="1016">
        <v>1.8</v>
      </c>
      <c r="O50" s="1016">
        <v>3.24</v>
      </c>
      <c r="P50" s="1016">
        <v>5.4</v>
      </c>
      <c r="Q50" s="1016">
        <v>7.56</v>
      </c>
      <c r="R50" s="1016">
        <v>7.92</v>
      </c>
      <c r="S50" s="1016">
        <v>8.2799999999999994</v>
      </c>
      <c r="T50" s="1016">
        <v>9</v>
      </c>
      <c r="U50" s="1016">
        <v>6.12</v>
      </c>
      <c r="V50" s="1016">
        <v>6.84</v>
      </c>
      <c r="W50" s="1016">
        <v>7.56</v>
      </c>
      <c r="X50" s="1016" t="s">
        <v>1543</v>
      </c>
      <c r="Y50" s="1016" t="s">
        <v>1543</v>
      </c>
      <c r="Z50" s="1016" t="s">
        <v>1543</v>
      </c>
    </row>
    <row r="51" spans="2:26">
      <c r="B51" s="1016"/>
      <c r="C51" s="1017">
        <v>34881</v>
      </c>
      <c r="D51" s="1016">
        <v>10.08</v>
      </c>
      <c r="E51" s="1016">
        <v>12.06</v>
      </c>
      <c r="F51" s="1016">
        <v>13.5</v>
      </c>
      <c r="G51" s="1016">
        <v>15.12</v>
      </c>
      <c r="H51" s="1016">
        <v>15.3</v>
      </c>
      <c r="I51" s="1016">
        <v>0</v>
      </c>
      <c r="J51" s="1016">
        <v>0</v>
      </c>
      <c r="L51" s="1016"/>
      <c r="M51" s="1017">
        <v>33106</v>
      </c>
      <c r="N51" s="1016">
        <v>2.16</v>
      </c>
      <c r="O51" s="1016">
        <v>4.32</v>
      </c>
      <c r="P51" s="1016">
        <v>6.48</v>
      </c>
      <c r="Q51" s="1016">
        <v>8.64</v>
      </c>
      <c r="R51" s="1016">
        <v>9.36</v>
      </c>
      <c r="S51" s="1016">
        <v>10.08</v>
      </c>
      <c r="T51" s="1016">
        <v>11.52</v>
      </c>
      <c r="U51" s="1016">
        <v>7.2</v>
      </c>
      <c r="V51" s="1016">
        <v>8.64</v>
      </c>
      <c r="W51" s="1016">
        <v>10.08</v>
      </c>
      <c r="X51" s="1016" t="s">
        <v>1543</v>
      </c>
      <c r="Y51" s="1016" t="s">
        <v>1543</v>
      </c>
      <c r="Z51" s="1016" t="s">
        <v>1543</v>
      </c>
    </row>
    <row r="52" spans="2:26">
      <c r="B52" s="1016"/>
      <c r="C52" s="1017">
        <v>34700</v>
      </c>
      <c r="D52" s="1016">
        <v>9</v>
      </c>
      <c r="E52" s="1016">
        <v>10.98</v>
      </c>
      <c r="F52" s="1016">
        <v>12.96</v>
      </c>
      <c r="G52" s="1016">
        <v>14.58</v>
      </c>
      <c r="H52" s="1016">
        <v>14.76</v>
      </c>
      <c r="I52" s="1016">
        <v>0</v>
      </c>
      <c r="J52" s="1016">
        <v>0</v>
      </c>
      <c r="L52" s="1016"/>
      <c r="M52" s="1017">
        <v>32978</v>
      </c>
      <c r="N52" s="1016">
        <v>2.88</v>
      </c>
      <c r="O52" s="1016">
        <v>6.3</v>
      </c>
      <c r="P52" s="1016">
        <v>7.74</v>
      </c>
      <c r="Q52" s="1016">
        <v>10.08</v>
      </c>
      <c r="R52" s="1016">
        <v>10.98</v>
      </c>
      <c r="S52" s="1016">
        <v>11.88</v>
      </c>
      <c r="T52" s="1016">
        <v>13.68</v>
      </c>
      <c r="U52" s="1016" t="s">
        <v>1543</v>
      </c>
      <c r="V52" s="1016" t="s">
        <v>1543</v>
      </c>
      <c r="W52" s="1016" t="s">
        <v>1543</v>
      </c>
      <c r="X52" s="1016" t="s">
        <v>1543</v>
      </c>
      <c r="Y52" s="1016" t="s">
        <v>1543</v>
      </c>
      <c r="Z52" s="1016" t="s">
        <v>1543</v>
      </c>
    </row>
    <row r="53" spans="2:26">
      <c r="B53" s="1016"/>
      <c r="C53" s="1017">
        <v>34161</v>
      </c>
      <c r="D53" s="1016">
        <v>9</v>
      </c>
      <c r="E53" s="1016">
        <v>10.98</v>
      </c>
      <c r="F53" s="1016">
        <v>12.24</v>
      </c>
      <c r="G53" s="1016">
        <v>13.86</v>
      </c>
      <c r="H53" s="1016">
        <v>14.04</v>
      </c>
      <c r="I53" s="1016">
        <v>0</v>
      </c>
      <c r="J53" s="1016">
        <v>0</v>
      </c>
      <c r="L53" s="1016"/>
      <c r="M53" s="1017"/>
      <c r="N53" s="1016"/>
      <c r="O53" s="1016"/>
      <c r="P53" s="1016"/>
      <c r="Q53" s="1016"/>
      <c r="R53" s="1016"/>
      <c r="S53" s="1016"/>
      <c r="T53" s="1016"/>
      <c r="U53" s="1016"/>
      <c r="V53" s="1016"/>
      <c r="W53" s="1016"/>
      <c r="X53" s="1016"/>
      <c r="Y53" s="1016"/>
      <c r="Z53" s="1016"/>
    </row>
    <row r="54" spans="2:26">
      <c r="B54" s="1016"/>
      <c r="C54" s="1017">
        <v>34104</v>
      </c>
      <c r="D54" s="1016">
        <v>8.82</v>
      </c>
      <c r="E54" s="1016">
        <v>9.36</v>
      </c>
      <c r="F54" s="1016">
        <v>10.8</v>
      </c>
      <c r="G54" s="1016">
        <v>12.06</v>
      </c>
      <c r="H54" s="1016">
        <v>12.24</v>
      </c>
      <c r="I54" s="1016">
        <v>0</v>
      </c>
      <c r="J54" s="1016">
        <v>0</v>
      </c>
      <c r="L54" s="1016"/>
      <c r="M54" s="1017"/>
      <c r="N54" s="1016"/>
      <c r="O54" s="1016"/>
      <c r="P54" s="1016"/>
      <c r="Q54" s="1016"/>
      <c r="R54" s="1016"/>
      <c r="S54" s="1016"/>
      <c r="T54" s="1016"/>
      <c r="U54" s="1016"/>
      <c r="V54" s="1016"/>
      <c r="W54" s="1016"/>
      <c r="X54" s="1016"/>
      <c r="Y54" s="1016"/>
      <c r="Z54" s="1016"/>
    </row>
    <row r="55" spans="2:26">
      <c r="B55" s="1016"/>
      <c r="C55" s="1017">
        <v>33349</v>
      </c>
      <c r="D55" s="1016">
        <v>8.1</v>
      </c>
      <c r="E55" s="1016">
        <v>8.64</v>
      </c>
      <c r="F55" s="1016">
        <v>9</v>
      </c>
      <c r="G55" s="1016">
        <v>9.5399999999999991</v>
      </c>
      <c r="H55" s="1016">
        <v>9.7200000000000006</v>
      </c>
      <c r="I55" s="1016">
        <v>0</v>
      </c>
      <c r="J55" s="1016">
        <v>0</v>
      </c>
      <c r="L55" s="1016"/>
      <c r="M55" s="1017"/>
      <c r="N55" s="1016"/>
      <c r="O55" s="1016"/>
      <c r="P55" s="1016"/>
      <c r="Q55" s="1016"/>
      <c r="R55" s="1016"/>
      <c r="S55" s="1016"/>
      <c r="T55" s="1016"/>
      <c r="U55" s="1016"/>
      <c r="V55" s="1016"/>
      <c r="W55" s="1016"/>
      <c r="X55" s="1016"/>
      <c r="Y55" s="1016"/>
      <c r="Z55" s="1016"/>
    </row>
    <row r="56" spans="2:26">
      <c r="B56" s="1016"/>
      <c r="C56" s="1017">
        <v>33318</v>
      </c>
      <c r="D56" s="1016">
        <v>9</v>
      </c>
      <c r="E56" s="1016">
        <v>10.08</v>
      </c>
      <c r="F56" s="1016">
        <v>10.8</v>
      </c>
      <c r="G56" s="1016">
        <v>11.52</v>
      </c>
      <c r="H56" s="1016">
        <v>11.88</v>
      </c>
      <c r="I56" s="1016" t="s">
        <v>1543</v>
      </c>
      <c r="J56" s="1016" t="s">
        <v>1543</v>
      </c>
      <c r="L56" s="1016"/>
      <c r="M56" s="1017"/>
      <c r="N56" s="1016"/>
      <c r="O56" s="1016"/>
      <c r="P56" s="1016"/>
      <c r="Q56" s="1016"/>
      <c r="R56" s="1016"/>
      <c r="S56" s="1016"/>
      <c r="T56" s="1016"/>
      <c r="U56" s="1016"/>
      <c r="V56" s="1016"/>
      <c r="W56" s="1016"/>
      <c r="X56" s="1016"/>
      <c r="Y56" s="1016"/>
      <c r="Z56" s="1016"/>
    </row>
    <row r="57" spans="2:26">
      <c r="B57" s="1016"/>
      <c r="C57" s="1017">
        <v>33106</v>
      </c>
      <c r="D57" s="1016">
        <v>8.64</v>
      </c>
      <c r="E57" s="1016">
        <v>9.36</v>
      </c>
      <c r="F57" s="1016">
        <v>10.08</v>
      </c>
      <c r="G57" s="1016">
        <v>10.8</v>
      </c>
      <c r="H57" s="1016">
        <v>11.16</v>
      </c>
      <c r="I57" s="1016">
        <v>0</v>
      </c>
      <c r="J57" s="1016">
        <v>0</v>
      </c>
      <c r="L57" s="1016"/>
      <c r="M57" s="1017"/>
      <c r="N57" s="1016"/>
      <c r="O57" s="1016"/>
      <c r="P57" s="1016"/>
      <c r="Q57" s="1016"/>
      <c r="R57" s="1016"/>
      <c r="S57" s="1016"/>
      <c r="T57" s="1016"/>
      <c r="U57" s="1016"/>
      <c r="V57" s="1016"/>
      <c r="W57" s="1016"/>
      <c r="X57" s="1016"/>
      <c r="Y57" s="1016"/>
      <c r="Z57" s="1016"/>
    </row>
    <row r="58" spans="2:26">
      <c r="B58" s="1016"/>
      <c r="C58" s="1017">
        <v>32540</v>
      </c>
      <c r="D58" s="1016">
        <v>11.34</v>
      </c>
      <c r="E58" s="1016">
        <v>11.34</v>
      </c>
      <c r="F58" s="1016">
        <v>12.78</v>
      </c>
      <c r="G58" s="1016">
        <v>14.4</v>
      </c>
      <c r="H58" s="1016">
        <v>19.260000000000002</v>
      </c>
      <c r="I58" s="1016">
        <v>0</v>
      </c>
      <c r="J58" s="1016">
        <v>0</v>
      </c>
      <c r="L58" s="1016"/>
      <c r="M58" s="1017"/>
      <c r="N58" s="1016"/>
      <c r="O58" s="1016"/>
      <c r="P58" s="1016"/>
      <c r="Q58" s="1016"/>
      <c r="R58" s="1016"/>
      <c r="S58" s="1016"/>
      <c r="T58" s="1016"/>
      <c r="U58" s="1016"/>
      <c r="V58" s="1016"/>
      <c r="W58" s="1016"/>
      <c r="X58" s="1016"/>
      <c r="Y58" s="1016"/>
      <c r="Z58" s="1016"/>
    </row>
    <row r="59" spans="2:26">
      <c r="B59" s="1016"/>
      <c r="C59" s="1017"/>
      <c r="D59" s="1016"/>
      <c r="E59" s="1016"/>
      <c r="F59" s="1016"/>
      <c r="G59" s="1016"/>
      <c r="H59" s="1016"/>
      <c r="I59" s="1016"/>
      <c r="J59" s="1016"/>
    </row>
    <row r="60" spans="2:26">
      <c r="B60" s="1020"/>
      <c r="C60" s="1021"/>
      <c r="D60" s="1020"/>
      <c r="E60" s="1020"/>
      <c r="F60" s="1020"/>
      <c r="G60" s="1020"/>
      <c r="H60" s="1020"/>
      <c r="I60" s="1020"/>
      <c r="J60" s="1020"/>
    </row>
    <row r="61" spans="2:26">
      <c r="B61" s="1020"/>
      <c r="C61" s="1021"/>
      <c r="D61" s="1020"/>
      <c r="E61" s="1020"/>
      <c r="F61" s="1020"/>
      <c r="G61" s="1020"/>
      <c r="H61" s="1020"/>
      <c r="I61" s="1020"/>
      <c r="J61" s="1020"/>
    </row>
    <row r="62" spans="2:26">
      <c r="B62" s="1020"/>
      <c r="C62" s="1021"/>
      <c r="D62" s="1020"/>
      <c r="E62" s="1020"/>
      <c r="F62" s="1020"/>
      <c r="G62" s="1020"/>
      <c r="H62" s="1020"/>
      <c r="I62" s="1020"/>
      <c r="J62" s="1020"/>
    </row>
    <row r="63" spans="2:26">
      <c r="B63" s="988"/>
      <c r="C63" s="988"/>
      <c r="D63" s="988"/>
      <c r="E63" s="988"/>
      <c r="F63" s="988"/>
      <c r="G63" s="988"/>
      <c r="H63" s="988"/>
      <c r="I63" s="988"/>
      <c r="J63" s="988"/>
    </row>
    <row r="64" spans="2:26">
      <c r="B64" s="988"/>
      <c r="C64" s="988"/>
      <c r="D64" s="988"/>
      <c r="E64" s="988"/>
      <c r="F64" s="988"/>
      <c r="G64" s="988"/>
      <c r="H64" s="988"/>
      <c r="I64" s="988"/>
      <c r="J64" s="988"/>
    </row>
  </sheetData>
  <sheetProtection password="C66D" sheet="1" objects="1" scenarios="1"/>
  <phoneticPr fontId="109" type="noConversion"/>
  <printOptions horizontalCentered="1"/>
  <pageMargins left="0.12" right="0.12" top="0.39" bottom="0.2" header="0.31" footer="0.31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2"/>
  <sheetViews>
    <sheetView zoomScale="80" zoomScaleNormal="80" workbookViewId="0">
      <selection activeCell="J12" sqref="J12"/>
    </sheetView>
  </sheetViews>
  <sheetFormatPr defaultColWidth="8.875" defaultRowHeight="12.75"/>
  <cols>
    <col min="1" max="6" width="8.875" style="1542"/>
    <col min="7" max="7" width="8.875" style="1646"/>
    <col min="8" max="8" width="8.875" style="1542"/>
    <col min="9" max="12" width="9" style="1542" customWidth="1"/>
    <col min="13" max="13" width="2.25" style="1542" customWidth="1"/>
    <col min="14" max="14" width="9" style="1646" customWidth="1"/>
    <col min="15" max="17" width="9" style="1542" customWidth="1"/>
    <col min="18" max="18" width="2.375" style="1542" customWidth="1"/>
    <col min="19" max="19" width="7.125" style="1646" customWidth="1"/>
    <col min="20" max="22" width="7.125" style="1542" customWidth="1"/>
    <col min="23" max="23" width="2.5" style="1542" customWidth="1"/>
    <col min="24" max="16384" width="8.875" style="1542"/>
  </cols>
  <sheetData>
    <row r="1" spans="1:32" s="1534" customFormat="1">
      <c r="A1" s="1675" t="s">
        <v>1719</v>
      </c>
      <c r="C1" s="1614"/>
      <c r="D1" s="1614"/>
      <c r="F1" s="1614"/>
      <c r="H1" s="1674"/>
      <c r="I1" s="1674"/>
      <c r="J1" s="1674"/>
      <c r="K1" s="1674"/>
      <c r="L1" s="1674"/>
      <c r="O1" s="1674"/>
      <c r="P1" s="1674"/>
      <c r="Q1" s="1674"/>
      <c r="R1" s="1535"/>
      <c r="T1" s="1674"/>
      <c r="U1" s="1674"/>
      <c r="V1" s="1674"/>
    </row>
    <row r="2" spans="1:32" s="1534" customFormat="1" ht="13.5" thickBot="1">
      <c r="B2" s="1614" t="s">
        <v>1654</v>
      </c>
      <c r="C2" s="1614"/>
      <c r="D2" s="1614"/>
      <c r="F2" s="1614"/>
      <c r="G2" s="2014" t="s">
        <v>1655</v>
      </c>
      <c r="H2" s="2014"/>
      <c r="I2" s="2014"/>
      <c r="J2" s="2014"/>
      <c r="K2" s="2014"/>
      <c r="L2" s="2014"/>
      <c r="N2" s="2006" t="s">
        <v>1656</v>
      </c>
      <c r="O2" s="2006"/>
      <c r="P2" s="2006"/>
      <c r="Q2" s="2006"/>
      <c r="R2" s="1673"/>
      <c r="S2" s="2006" t="s">
        <v>1657</v>
      </c>
      <c r="T2" s="2006"/>
      <c r="U2" s="2006"/>
      <c r="V2" s="2006"/>
    </row>
    <row r="3" spans="1:32" s="1534" customFormat="1" ht="14.25">
      <c r="B3" s="15" t="s">
        <v>1713</v>
      </c>
      <c r="C3" s="15" t="s">
        <v>42</v>
      </c>
      <c r="D3" s="524" t="s">
        <v>1311</v>
      </c>
      <c r="E3" s="524" t="s">
        <v>1312</v>
      </c>
      <c r="F3" s="15" t="s">
        <v>50</v>
      </c>
      <c r="G3" s="1706" t="s">
        <v>1759</v>
      </c>
      <c r="H3" s="1706" t="s">
        <v>1760</v>
      </c>
      <c r="I3" s="483" t="s">
        <v>1713</v>
      </c>
      <c r="J3" s="483" t="s">
        <v>1718</v>
      </c>
      <c r="K3" s="524" t="s">
        <v>1312</v>
      </c>
      <c r="L3" s="483" t="s">
        <v>50</v>
      </c>
      <c r="N3" s="483" t="s">
        <v>1713</v>
      </c>
      <c r="O3" s="483" t="s">
        <v>1718</v>
      </c>
      <c r="P3" s="524" t="s">
        <v>1312</v>
      </c>
      <c r="Q3" s="483" t="s">
        <v>50</v>
      </c>
      <c r="R3" s="1535"/>
      <c r="S3" s="483" t="s">
        <v>1713</v>
      </c>
      <c r="T3" s="483" t="s">
        <v>1718</v>
      </c>
      <c r="U3" s="524" t="s">
        <v>1312</v>
      </c>
      <c r="V3" s="483" t="s">
        <v>50</v>
      </c>
    </row>
    <row r="4" spans="1:32" s="1718" customFormat="1" ht="14.25">
      <c r="A4" s="1729" t="s">
        <v>1762</v>
      </c>
      <c r="B4" s="1719"/>
      <c r="C4" s="1719"/>
      <c r="D4" s="1720"/>
      <c r="E4" s="1720"/>
      <c r="F4" s="1719"/>
      <c r="G4" s="1721"/>
      <c r="H4" s="1721"/>
      <c r="I4" s="1728">
        <f>ROUND(AVERAGE($I5:$I29),2)</f>
        <v>1.98</v>
      </c>
      <c r="J4" s="1728">
        <f>ROUND(AVERAGE($J5:$J29),2)</f>
        <v>1.41</v>
      </c>
      <c r="K4" s="1728">
        <f>ROUND(AVERAGE($K5:$K29),2)</f>
        <v>2.16</v>
      </c>
      <c r="L4" s="1728">
        <f>ROUND(AVERAGE($L5:$L29),2)</f>
        <v>1.38</v>
      </c>
      <c r="N4" s="1722"/>
      <c r="O4" s="1722"/>
      <c r="P4" s="1720"/>
      <c r="Q4" s="1722"/>
      <c r="R4" s="1723"/>
      <c r="S4" s="1722"/>
      <c r="T4" s="1722"/>
      <c r="U4" s="1720"/>
      <c r="V4" s="1722"/>
      <c r="X4" s="1724"/>
    </row>
    <row r="5" spans="1:32" s="1707" customFormat="1" ht="14.25">
      <c r="B5" s="1708"/>
      <c r="C5" s="1708"/>
      <c r="D5" s="1709"/>
      <c r="E5" s="1709"/>
      <c r="F5" s="1708"/>
      <c r="G5" s="1710"/>
      <c r="H5" s="1710"/>
      <c r="I5" s="1713"/>
      <c r="J5" s="1713"/>
      <c r="K5" s="1714"/>
      <c r="L5" s="1713"/>
      <c r="N5" s="1711"/>
      <c r="O5" s="1711"/>
      <c r="P5" s="1709"/>
      <c r="Q5" s="1711"/>
      <c r="R5" s="1712"/>
      <c r="S5" s="1711"/>
      <c r="T5" s="1711"/>
      <c r="U5" s="1709"/>
      <c r="V5" s="1711"/>
      <c r="X5" s="1725"/>
    </row>
    <row r="6" spans="1:32" s="1700" customFormat="1" ht="13.5" thickBot="1">
      <c r="A6" s="1697" t="s">
        <v>1779</v>
      </c>
      <c r="B6" s="1698">
        <f t="shared" ref="B6" si="0">B7*(1+N6)</f>
        <v>477.19997390765138</v>
      </c>
      <c r="C6" s="1698">
        <f t="shared" ref="C6" si="1">C7*(1+O6)</f>
        <v>351.84874729536665</v>
      </c>
      <c r="D6" s="1698">
        <f t="shared" ref="D6" si="2">C6</f>
        <v>351.84874729536665</v>
      </c>
      <c r="E6" s="1698">
        <f t="shared" ref="E6" si="3">E7*(1+P6)</f>
        <v>682.29768951465201</v>
      </c>
      <c r="F6" s="1698">
        <f t="shared" ref="F6" si="4">F7*(1+Q6)</f>
        <v>315.26985675409043</v>
      </c>
      <c r="G6" s="1705">
        <v>2019</v>
      </c>
      <c r="H6" s="1699">
        <v>4</v>
      </c>
      <c r="I6" s="1715">
        <v>0</v>
      </c>
      <c r="J6" s="1715">
        <v>0</v>
      </c>
      <c r="K6" s="1715">
        <v>0</v>
      </c>
      <c r="L6" s="1716">
        <v>0</v>
      </c>
      <c r="N6" s="1701">
        <f t="shared" ref="N6" si="5">I6/100</f>
        <v>0</v>
      </c>
      <c r="O6" s="1702">
        <f t="shared" ref="O6" si="6">J6/100</f>
        <v>0</v>
      </c>
      <c r="P6" s="1702">
        <f t="shared" ref="P6" si="7">K6/100</f>
        <v>0</v>
      </c>
      <c r="Q6" s="1702">
        <f t="shared" ref="Q6" si="8">L6/100</f>
        <v>0</v>
      </c>
      <c r="R6" s="1703"/>
      <c r="S6" s="1704"/>
      <c r="T6" s="1703"/>
      <c r="U6" s="1703"/>
      <c r="V6" s="1703"/>
      <c r="X6" s="1726" t="s">
        <v>1763</v>
      </c>
      <c r="Y6" s="1727"/>
      <c r="Z6" s="1727"/>
      <c r="AA6" s="1727"/>
    </row>
    <row r="7" spans="1:32" ht="13.5" thickBot="1">
      <c r="A7" s="1536" t="s">
        <v>1778</v>
      </c>
      <c r="B7" s="1546">
        <f t="shared" ref="B7" si="9">B8*(1+N7)</f>
        <v>477.19997390765138</v>
      </c>
      <c r="C7" s="1546">
        <f t="shared" ref="C7" si="10">C8*(1+O7)</f>
        <v>351.84874729536665</v>
      </c>
      <c r="D7" s="1546">
        <f t="shared" ref="D7" si="11">C7</f>
        <v>351.84874729536665</v>
      </c>
      <c r="E7" s="1546">
        <f t="shared" ref="E7" si="12">E8*(1+P7)</f>
        <v>682.29768951465201</v>
      </c>
      <c r="F7" s="1546">
        <f t="shared" ref="F7" si="13">F8*(1+Q7)</f>
        <v>315.26985675409043</v>
      </c>
      <c r="G7" s="1759">
        <v>2019</v>
      </c>
      <c r="H7" s="1539">
        <v>3</v>
      </c>
      <c r="I7" s="1676">
        <v>0.61</v>
      </c>
      <c r="J7" s="1676">
        <v>0.67</v>
      </c>
      <c r="K7" s="1676">
        <v>0.6</v>
      </c>
      <c r="L7" s="1538">
        <v>1.03</v>
      </c>
      <c r="N7" s="1648">
        <f t="shared" ref="N7" si="14">I7/100</f>
        <v>6.0999999999999995E-3</v>
      </c>
      <c r="O7" s="1543">
        <f t="shared" ref="O7" si="15">J7/100</f>
        <v>6.7000000000000002E-3</v>
      </c>
      <c r="P7" s="1543">
        <f t="shared" ref="P7" si="16">K7/100</f>
        <v>6.0000000000000001E-3</v>
      </c>
      <c r="Q7" s="1543">
        <f t="shared" ref="Q7" si="17">L7/100</f>
        <v>1.03E-2</v>
      </c>
      <c r="R7" s="1544"/>
      <c r="S7" s="1650"/>
      <c r="T7" s="1549"/>
      <c r="U7" s="1549"/>
      <c r="V7" s="1549"/>
      <c r="AC7" s="1545"/>
      <c r="AD7" s="1545"/>
      <c r="AE7" s="1545"/>
      <c r="AF7" s="1545"/>
    </row>
    <row r="8" spans="1:32">
      <c r="A8" s="1536" t="s">
        <v>1776</v>
      </c>
      <c r="B8" s="1546">
        <f t="shared" ref="B8" si="18">B9*(1+N8)</f>
        <v>474.30670301923408</v>
      </c>
      <c r="C8" s="1546">
        <f t="shared" ref="C8" si="19">C9*(1+O8)</f>
        <v>349.50705005996491</v>
      </c>
      <c r="D8" s="1546">
        <f t="shared" ref="D8" si="20">C8</f>
        <v>349.50705005996491</v>
      </c>
      <c r="E8" s="1546">
        <f t="shared" ref="E8" si="21">E9*(1+P8)</f>
        <v>678.22831959706957</v>
      </c>
      <c r="F8" s="1546">
        <f t="shared" ref="F8" si="22">F9*(1+Q8)</f>
        <v>312.0556832169558</v>
      </c>
      <c r="G8" s="1757">
        <v>2019</v>
      </c>
      <c r="H8" s="1537">
        <v>2</v>
      </c>
      <c r="I8" s="1537">
        <v>1.53</v>
      </c>
      <c r="J8" s="1537">
        <v>1.01</v>
      </c>
      <c r="K8" s="1537">
        <v>1.62</v>
      </c>
      <c r="L8" s="1538">
        <v>1.25</v>
      </c>
      <c r="N8" s="1648">
        <f t="shared" ref="N8" si="23">I8/100</f>
        <v>1.5300000000000001E-2</v>
      </c>
      <c r="O8" s="1543">
        <f t="shared" ref="O8" si="24">J8/100</f>
        <v>1.01E-2</v>
      </c>
      <c r="P8" s="1543">
        <f t="shared" ref="P8" si="25">K8/100</f>
        <v>1.6200000000000003E-2</v>
      </c>
      <c r="Q8" s="1543">
        <f t="shared" ref="Q8" si="26">L8/100</f>
        <v>1.2500000000000001E-2</v>
      </c>
      <c r="R8" s="1544"/>
      <c r="S8" s="1650"/>
      <c r="T8" s="1549"/>
      <c r="U8" s="1549"/>
      <c r="V8" s="1549"/>
      <c r="AC8" s="1545"/>
      <c r="AD8" s="1545"/>
      <c r="AE8" s="1545"/>
      <c r="AF8" s="1545"/>
    </row>
    <row r="9" spans="1:32" ht="13.5" thickBot="1">
      <c r="A9" s="1536" t="s">
        <v>1777</v>
      </c>
      <c r="B9" s="1546">
        <f t="shared" ref="B9" si="27">B10*(1+N9)</f>
        <v>467.15916775261894</v>
      </c>
      <c r="C9" s="1546">
        <f t="shared" ref="C9" si="28">C10*(1+O9)</f>
        <v>346.01232557169084</v>
      </c>
      <c r="D9" s="1546">
        <f t="shared" ref="D9" si="29">C9</f>
        <v>346.01232557169084</v>
      </c>
      <c r="E9" s="1546">
        <f t="shared" ref="E9" si="30">E10*(1+P9)</f>
        <v>667.41617752122568</v>
      </c>
      <c r="F9" s="1546">
        <f t="shared" ref="F9" si="31">F10*(1+Q9)</f>
        <v>308.20314391798104</v>
      </c>
      <c r="G9" s="1757">
        <v>2019</v>
      </c>
      <c r="H9" s="1539">
        <v>1</v>
      </c>
      <c r="I9" s="1676">
        <v>0.6</v>
      </c>
      <c r="J9" s="1676">
        <v>0.37</v>
      </c>
      <c r="K9" s="1676">
        <v>0.63</v>
      </c>
      <c r="L9" s="1677">
        <v>1.1299999999999999</v>
      </c>
      <c r="N9" s="1648">
        <f t="shared" ref="N9" si="32">I9/100</f>
        <v>6.0000000000000001E-3</v>
      </c>
      <c r="O9" s="1543">
        <f t="shared" ref="O9" si="33">J9/100</f>
        <v>3.7000000000000002E-3</v>
      </c>
      <c r="P9" s="1543">
        <f t="shared" ref="P9" si="34">K9/100</f>
        <v>6.3E-3</v>
      </c>
      <c r="Q9" s="1543">
        <f t="shared" ref="Q9" si="35">L9/100</f>
        <v>1.1299999999999999E-2</v>
      </c>
      <c r="R9" s="1544"/>
      <c r="S9" s="1650">
        <f>B9/B10-1</f>
        <v>6.0000000000000053E-3</v>
      </c>
      <c r="T9" s="1549">
        <f>C9/C10-1</f>
        <v>3.7000000000000366E-3</v>
      </c>
      <c r="U9" s="1549">
        <f>E9/E10-1</f>
        <v>6.2999999999999723E-3</v>
      </c>
      <c r="V9" s="1549">
        <f>F9/F10-1</f>
        <v>1.1300000000000088E-2</v>
      </c>
      <c r="AC9" s="1545"/>
      <c r="AD9" s="1545"/>
      <c r="AE9" s="1545"/>
      <c r="AF9" s="1545"/>
    </row>
    <row r="10" spans="1:32">
      <c r="A10" s="1536" t="s">
        <v>1771</v>
      </c>
      <c r="B10" s="1730">
        <f t="shared" ref="B10" si="36">B11*(1+N10)</f>
        <v>464.37293017158942</v>
      </c>
      <c r="C10" s="1730">
        <f t="shared" ref="C10" si="37">C11*(1+O10)</f>
        <v>344.73679941385956</v>
      </c>
      <c r="D10" s="1730">
        <f t="shared" ref="D10" si="38">C10</f>
        <v>344.73679941385956</v>
      </c>
      <c r="E10" s="1730">
        <f t="shared" ref="E10" si="39">E11*(1+P10)</f>
        <v>663.2377795103107</v>
      </c>
      <c r="F10" s="1731">
        <f t="shared" ref="F10" si="40">F11*(1+Q10)</f>
        <v>304.75936311478398</v>
      </c>
      <c r="G10" s="2008">
        <v>2018</v>
      </c>
      <c r="H10" s="1537">
        <v>4</v>
      </c>
      <c r="I10" s="1537">
        <v>0.96</v>
      </c>
      <c r="J10" s="1537">
        <v>1.03</v>
      </c>
      <c r="K10" s="1537">
        <v>0.92</v>
      </c>
      <c r="L10" s="1538">
        <v>1.29</v>
      </c>
      <c r="N10" s="1648">
        <f t="shared" ref="N10" si="41">I10/100</f>
        <v>9.5999999999999992E-3</v>
      </c>
      <c r="O10" s="1543">
        <f t="shared" ref="O10" si="42">J10/100</f>
        <v>1.03E-2</v>
      </c>
      <c r="P10" s="1543">
        <f t="shared" ref="P10" si="43">K10/100</f>
        <v>9.1999999999999998E-3</v>
      </c>
      <c r="Q10" s="1543">
        <f t="shared" ref="Q10" si="44">L10/100</f>
        <v>1.29E-2</v>
      </c>
      <c r="R10" s="1544"/>
      <c r="S10" s="1658"/>
      <c r="T10" s="1545"/>
      <c r="U10" s="1545"/>
      <c r="V10" s="1545"/>
      <c r="AC10" s="1545"/>
      <c r="AD10" s="1545"/>
      <c r="AE10" s="1545"/>
      <c r="AF10" s="1545"/>
    </row>
    <row r="11" spans="1:32" s="1534" customFormat="1" ht="14.45" customHeight="1">
      <c r="A11" s="1536" t="s">
        <v>1766</v>
      </c>
      <c r="B11" s="1546">
        <f t="shared" ref="B11" si="45">B12*(1+N11)</f>
        <v>459.95733971036987</v>
      </c>
      <c r="C11" s="1546">
        <f t="shared" ref="C11" si="46">C12*(1+O11)</f>
        <v>341.22221064422405</v>
      </c>
      <c r="D11" s="1546">
        <f t="shared" ref="D11" si="47">C11</f>
        <v>341.22221064422405</v>
      </c>
      <c r="E11" s="1546">
        <f t="shared" ref="E11" si="48">E12*(1+P11)</f>
        <v>657.19161663724799</v>
      </c>
      <c r="F11" s="1546">
        <f t="shared" ref="F11" si="49">F12*(1+Q11)</f>
        <v>300.87803644464805</v>
      </c>
      <c r="G11" s="2008"/>
      <c r="H11" s="1539">
        <v>3</v>
      </c>
      <c r="I11" s="1676">
        <v>1.51</v>
      </c>
      <c r="J11" s="1676">
        <v>1.41</v>
      </c>
      <c r="K11" s="1676">
        <v>1.52</v>
      </c>
      <c r="L11" s="1677">
        <v>1.74</v>
      </c>
      <c r="N11" s="1648">
        <f t="shared" ref="N11" si="50">I11/100</f>
        <v>1.5100000000000001E-2</v>
      </c>
      <c r="O11" s="1543">
        <f t="shared" ref="O11" si="51">J11/100</f>
        <v>1.41E-2</v>
      </c>
      <c r="P11" s="1543">
        <f t="shared" ref="P11" si="52">K11/100</f>
        <v>1.52E-2</v>
      </c>
      <c r="Q11" s="1543">
        <f t="shared" ref="Q11" si="53">L11/100</f>
        <v>1.7399999999999999E-2</v>
      </c>
      <c r="R11" s="1733"/>
      <c r="S11" s="1650"/>
      <c r="T11" s="1549"/>
      <c r="U11" s="1549"/>
      <c r="V11" s="1549"/>
    </row>
    <row r="12" spans="1:32" s="1534" customFormat="1" ht="14.45" customHeight="1">
      <c r="A12" s="1536" t="s">
        <v>1765</v>
      </c>
      <c r="B12" s="1546">
        <f t="shared" ref="B12:B17" si="54">B13*(1+N12)</f>
        <v>453.11529869999993</v>
      </c>
      <c r="C12" s="1546">
        <f t="shared" ref="C12" si="55">C13*(1+O12)</f>
        <v>336.47787264000004</v>
      </c>
      <c r="D12" s="1546">
        <f t="shared" ref="D12" si="56">C12</f>
        <v>336.47787264000004</v>
      </c>
      <c r="E12" s="1546">
        <f t="shared" ref="E12" si="57">E13*(1+P12)</f>
        <v>647.35186823999993</v>
      </c>
      <c r="F12" s="1546">
        <f t="shared" ref="F12" si="58">F13*(1+Q12)</f>
        <v>295.73229452000004</v>
      </c>
      <c r="G12" s="2008"/>
      <c r="H12" s="1540">
        <v>2</v>
      </c>
      <c r="I12" s="1693">
        <v>1.49</v>
      </c>
      <c r="J12" s="1693">
        <v>0.96</v>
      </c>
      <c r="K12" s="1693">
        <v>1.58</v>
      </c>
      <c r="L12" s="1694">
        <v>2.44</v>
      </c>
      <c r="N12" s="1648">
        <f t="shared" ref="N12" si="59">I12/100</f>
        <v>1.49E-2</v>
      </c>
      <c r="O12" s="1543">
        <f t="shared" ref="O12" si="60">J12/100</f>
        <v>9.5999999999999992E-3</v>
      </c>
      <c r="P12" s="1543">
        <f t="shared" ref="P12" si="61">K12/100</f>
        <v>1.5800000000000002E-2</v>
      </c>
      <c r="Q12" s="1543">
        <f t="shared" ref="Q12" si="62">L12/100</f>
        <v>2.4399999999999998E-2</v>
      </c>
      <c r="R12" s="1732"/>
      <c r="S12" s="1650"/>
      <c r="T12" s="1549"/>
      <c r="U12" s="1549"/>
      <c r="V12" s="1549"/>
    </row>
    <row r="13" spans="1:32" s="1534" customFormat="1" ht="15" customHeight="1" thickBot="1">
      <c r="A13" s="1536" t="s">
        <v>1764</v>
      </c>
      <c r="B13" s="1546">
        <f t="shared" si="54"/>
        <v>446.46299999999997</v>
      </c>
      <c r="C13" s="1546">
        <f t="shared" ref="C13" si="63">C14*(1+O13)</f>
        <v>333.27840000000003</v>
      </c>
      <c r="D13" s="1546">
        <f t="shared" ref="D13:D18" si="64">C13</f>
        <v>333.27840000000003</v>
      </c>
      <c r="E13" s="1546">
        <f t="shared" ref="E13" si="65">E14*(1+P13)</f>
        <v>637.28279999999995</v>
      </c>
      <c r="F13" s="1546">
        <f t="shared" ref="F13" si="66">F14*(1+Q13)</f>
        <v>288.68830000000003</v>
      </c>
      <c r="G13" s="2015"/>
      <c r="H13" s="1539">
        <v>1</v>
      </c>
      <c r="I13" s="1676">
        <v>1.7</v>
      </c>
      <c r="J13" s="1676">
        <v>1.92</v>
      </c>
      <c r="K13" s="1676">
        <v>1.64</v>
      </c>
      <c r="L13" s="1677">
        <v>2.0099999999999998</v>
      </c>
      <c r="N13" s="1648">
        <f t="shared" ref="N13" si="67">I13/100</f>
        <v>1.7000000000000001E-2</v>
      </c>
      <c r="O13" s="1543">
        <f t="shared" ref="O13" si="68">J13/100</f>
        <v>1.9199999999999998E-2</v>
      </c>
      <c r="P13" s="1543">
        <f t="shared" ref="P13" si="69">K13/100</f>
        <v>1.6399999999999998E-2</v>
      </c>
      <c r="Q13" s="1543">
        <f t="shared" ref="Q13" si="70">L13/100</f>
        <v>2.0099999999999996E-2</v>
      </c>
      <c r="R13" s="1717"/>
      <c r="S13" s="1650">
        <f>B13/B14-1</f>
        <v>1.6999999999999904E-2</v>
      </c>
      <c r="T13" s="1549">
        <f>C13/C14-1</f>
        <v>1.9200000000000106E-2</v>
      </c>
      <c r="U13" s="1549">
        <f>E13/E14-1</f>
        <v>1.639999999999997E-2</v>
      </c>
      <c r="V13" s="1549">
        <f>F13/F14-1</f>
        <v>2.0100000000000007E-2</v>
      </c>
    </row>
    <row r="14" spans="1:32">
      <c r="A14" s="1536" t="s">
        <v>1761</v>
      </c>
      <c r="B14" s="1730">
        <v>439</v>
      </c>
      <c r="C14" s="1730">
        <v>327</v>
      </c>
      <c r="D14" s="1730">
        <f t="shared" si="64"/>
        <v>327</v>
      </c>
      <c r="E14" s="1730">
        <v>627</v>
      </c>
      <c r="F14" s="1731">
        <v>283</v>
      </c>
      <c r="G14" s="2010">
        <v>2017</v>
      </c>
      <c r="H14" s="1537">
        <v>4</v>
      </c>
      <c r="I14" s="1537">
        <v>1.71</v>
      </c>
      <c r="J14" s="1537">
        <v>1.78</v>
      </c>
      <c r="K14" s="1537">
        <v>1.71</v>
      </c>
      <c r="L14" s="1538">
        <v>1.43</v>
      </c>
      <c r="N14" s="1648">
        <f t="shared" ref="N14" si="71">I14/100</f>
        <v>1.7100000000000001E-2</v>
      </c>
      <c r="O14" s="1543">
        <f t="shared" ref="O14" si="72">J14/100</f>
        <v>1.78E-2</v>
      </c>
      <c r="P14" s="1543">
        <f t="shared" ref="P14" si="73">K14/100</f>
        <v>1.7100000000000001E-2</v>
      </c>
      <c r="Q14" s="1543">
        <f t="shared" ref="Q14" si="74">L14/100</f>
        <v>1.43E-2</v>
      </c>
      <c r="R14" s="1544"/>
      <c r="S14" s="1658"/>
      <c r="T14" s="1545"/>
      <c r="U14" s="1545"/>
      <c r="V14" s="1545"/>
      <c r="AC14" s="1545"/>
      <c r="AD14" s="1545"/>
      <c r="AE14" s="1545"/>
      <c r="AF14" s="1545"/>
    </row>
    <row r="15" spans="1:32" s="1534" customFormat="1" ht="14.45" customHeight="1">
      <c r="A15" s="1536" t="s">
        <v>1758</v>
      </c>
      <c r="B15" s="1546">
        <f t="shared" si="54"/>
        <v>431.80730811680002</v>
      </c>
      <c r="C15" s="1546">
        <f t="shared" ref="C15:C16" si="75">C16*(1+O15)</f>
        <v>320.57880516480003</v>
      </c>
      <c r="D15" s="1546">
        <f t="shared" si="64"/>
        <v>320.57880516480003</v>
      </c>
      <c r="E15" s="1546">
        <f t="shared" ref="E15:F17" si="76">E16*(1+P15)</f>
        <v>615.96110553196797</v>
      </c>
      <c r="F15" s="1546">
        <f t="shared" si="76"/>
        <v>279.46777300108801</v>
      </c>
      <c r="G15" s="2008"/>
      <c r="H15" s="1539">
        <v>3</v>
      </c>
      <c r="I15" s="1676">
        <v>2.98</v>
      </c>
      <c r="J15" s="1676">
        <v>2.11</v>
      </c>
      <c r="K15" s="1676">
        <v>3.24</v>
      </c>
      <c r="L15" s="1677">
        <v>1.72</v>
      </c>
      <c r="N15" s="1648">
        <f t="shared" ref="N15:Q16" si="77">I15/100</f>
        <v>2.98E-2</v>
      </c>
      <c r="O15" s="1543">
        <f t="shared" si="77"/>
        <v>2.1099999999999997E-2</v>
      </c>
      <c r="P15" s="1543">
        <f t="shared" si="77"/>
        <v>3.2400000000000005E-2</v>
      </c>
      <c r="Q15" s="1543">
        <f t="shared" si="77"/>
        <v>1.72E-2</v>
      </c>
      <c r="R15" s="1696"/>
      <c r="S15" s="1647"/>
      <c r="T15" s="1696"/>
      <c r="U15" s="1696"/>
      <c r="V15" s="1696"/>
    </row>
    <row r="16" spans="1:32" s="1534" customFormat="1" ht="14.45" customHeight="1">
      <c r="A16" s="1536" t="s">
        <v>1658</v>
      </c>
      <c r="B16" s="1546">
        <f t="shared" si="54"/>
        <v>419.31181600000002</v>
      </c>
      <c r="C16" s="1546">
        <f t="shared" si="75"/>
        <v>313.95436800000004</v>
      </c>
      <c r="D16" s="1546">
        <f t="shared" si="64"/>
        <v>313.95436800000004</v>
      </c>
      <c r="E16" s="1546">
        <f t="shared" si="76"/>
        <v>596.63028431999999</v>
      </c>
      <c r="F16" s="1546">
        <f t="shared" si="76"/>
        <v>274.74220703999998</v>
      </c>
      <c r="G16" s="2008"/>
      <c r="H16" s="1540">
        <v>2</v>
      </c>
      <c r="I16" s="1693">
        <v>3.4</v>
      </c>
      <c r="J16" s="1693">
        <v>2</v>
      </c>
      <c r="K16" s="1693">
        <v>3.82</v>
      </c>
      <c r="L16" s="1694">
        <v>1.68</v>
      </c>
      <c r="N16" s="1648">
        <f t="shared" si="77"/>
        <v>3.4000000000000002E-2</v>
      </c>
      <c r="O16" s="1543">
        <f t="shared" si="77"/>
        <v>0.02</v>
      </c>
      <c r="P16" s="1543">
        <f t="shared" si="77"/>
        <v>3.8199999999999998E-2</v>
      </c>
      <c r="Q16" s="1543">
        <f t="shared" si="77"/>
        <v>1.6799999999999999E-2</v>
      </c>
      <c r="R16" s="1535"/>
      <c r="S16" s="1647"/>
      <c r="T16" s="1535"/>
      <c r="U16" s="1535"/>
      <c r="V16" s="1535"/>
    </row>
    <row r="17" spans="1:32" s="1534" customFormat="1" ht="15" customHeight="1" thickBot="1">
      <c r="A17" s="1536" t="s">
        <v>1659</v>
      </c>
      <c r="B17" s="1546">
        <f t="shared" si="54"/>
        <v>405.524</v>
      </c>
      <c r="C17" s="1546">
        <f t="shared" ref="C17" si="78">C18*(1+O17)</f>
        <v>307.79840000000002</v>
      </c>
      <c r="D17" s="1546">
        <f t="shared" si="64"/>
        <v>307.79840000000002</v>
      </c>
      <c r="E17" s="1546">
        <f t="shared" si="76"/>
        <v>574.67759999999998</v>
      </c>
      <c r="F17" s="1546">
        <f t="shared" si="76"/>
        <v>270.20280000000002</v>
      </c>
      <c r="G17" s="2015"/>
      <c r="H17" s="1539">
        <v>1</v>
      </c>
      <c r="I17" s="1676">
        <v>3.45</v>
      </c>
      <c r="J17" s="1676">
        <v>1.92</v>
      </c>
      <c r="K17" s="1676">
        <v>3.92</v>
      </c>
      <c r="L17" s="1677">
        <v>1.58</v>
      </c>
      <c r="N17" s="1648">
        <f>I17/100</f>
        <v>3.4500000000000003E-2</v>
      </c>
      <c r="O17" s="1543">
        <f t="shared" ref="O17" si="79">J17/100</f>
        <v>1.9199999999999998E-2</v>
      </c>
      <c r="P17" s="1543">
        <f t="shared" ref="P17" si="80">K17/100</f>
        <v>3.9199999999999999E-2</v>
      </c>
      <c r="Q17" s="1543">
        <f t="shared" ref="Q17" si="81">L17/100</f>
        <v>1.5800000000000002E-2</v>
      </c>
      <c r="R17" s="1535"/>
      <c r="S17" s="1650">
        <f>B17/B18-1</f>
        <v>3.4499999999999975E-2</v>
      </c>
      <c r="T17" s="1549">
        <f>C17/C18-1</f>
        <v>1.9200000000000106E-2</v>
      </c>
      <c r="U17" s="1549">
        <f>E17/E18-1</f>
        <v>3.9199999999999902E-2</v>
      </c>
      <c r="V17" s="1549">
        <f>F17/F18-1</f>
        <v>1.5800000000000036E-2</v>
      </c>
    </row>
    <row r="18" spans="1:32">
      <c r="A18" s="1536" t="s">
        <v>280</v>
      </c>
      <c r="B18" s="1541">
        <v>392</v>
      </c>
      <c r="C18" s="1541">
        <v>302</v>
      </c>
      <c r="D18" s="1541">
        <f t="shared" si="64"/>
        <v>302</v>
      </c>
      <c r="E18" s="1541">
        <v>553</v>
      </c>
      <c r="F18" s="1640">
        <v>266</v>
      </c>
      <c r="G18" s="2010">
        <v>2016</v>
      </c>
      <c r="H18" s="1537">
        <v>4</v>
      </c>
      <c r="I18" s="1537">
        <v>4.5599999999999996</v>
      </c>
      <c r="J18" s="1537">
        <v>2.15</v>
      </c>
      <c r="K18" s="1537">
        <v>5.32</v>
      </c>
      <c r="L18" s="1538">
        <v>1.57</v>
      </c>
      <c r="N18" s="1648">
        <f>I18/100</f>
        <v>4.5599999999999995E-2</v>
      </c>
      <c r="O18" s="1543">
        <f t="shared" ref="O18:Q33" si="82">J18/100</f>
        <v>2.1499999999999998E-2</v>
      </c>
      <c r="P18" s="1543">
        <f t="shared" si="82"/>
        <v>5.3200000000000004E-2</v>
      </c>
      <c r="Q18" s="1543">
        <f t="shared" si="82"/>
        <v>1.5700000000000002E-2</v>
      </c>
      <c r="R18" s="1544"/>
      <c r="S18" s="1658"/>
      <c r="T18" s="1545"/>
      <c r="U18" s="1545"/>
      <c r="V18" s="1545"/>
      <c r="AC18" s="1545"/>
      <c r="AD18" s="1545"/>
      <c r="AE18" s="1545"/>
      <c r="AF18" s="1545"/>
    </row>
    <row r="19" spans="1:32">
      <c r="A19" s="1536" t="s">
        <v>279</v>
      </c>
      <c r="B19" s="1546">
        <f t="shared" ref="B19:C21" si="83">B18/(1+N18)</f>
        <v>374.90436113236416</v>
      </c>
      <c r="C19" s="1546">
        <f t="shared" si="83"/>
        <v>295.64366128242779</v>
      </c>
      <c r="D19" s="1546">
        <f t="shared" ref="D19:D78" si="84">C19</f>
        <v>295.64366128242779</v>
      </c>
      <c r="E19" s="1546">
        <f t="shared" ref="E19:F21" si="85">E18/(1+P18)</f>
        <v>525.06646410938095</v>
      </c>
      <c r="F19" s="1546">
        <f t="shared" si="85"/>
        <v>261.88835286009646</v>
      </c>
      <c r="G19" s="2008"/>
      <c r="H19" s="1539">
        <v>3</v>
      </c>
      <c r="I19" s="1539">
        <v>4.12</v>
      </c>
      <c r="J19" s="1539">
        <v>2</v>
      </c>
      <c r="K19" s="1539">
        <v>4.79</v>
      </c>
      <c r="L19" s="1547">
        <v>1.97</v>
      </c>
      <c r="N19" s="1648">
        <f t="shared" ref="N19:Q53" si="86">I19/100</f>
        <v>4.1200000000000001E-2</v>
      </c>
      <c r="O19" s="1543">
        <f t="shared" si="82"/>
        <v>0.02</v>
      </c>
      <c r="P19" s="1543">
        <f t="shared" si="82"/>
        <v>4.7899999999999998E-2</v>
      </c>
      <c r="Q19" s="1543">
        <f t="shared" si="82"/>
        <v>1.9699999999999999E-2</v>
      </c>
      <c r="R19" s="1544"/>
      <c r="S19" s="1648"/>
      <c r="T19" s="1543"/>
      <c r="U19" s="1543"/>
      <c r="V19" s="1543"/>
    </row>
    <row r="20" spans="1:32">
      <c r="A20" s="1536" t="s">
        <v>269</v>
      </c>
      <c r="B20" s="1546">
        <f t="shared" si="83"/>
        <v>360.06949782209392</v>
      </c>
      <c r="C20" s="1546">
        <f t="shared" si="83"/>
        <v>289.84672674747821</v>
      </c>
      <c r="D20" s="1546">
        <f t="shared" si="84"/>
        <v>289.84672674747821</v>
      </c>
      <c r="E20" s="1546">
        <f t="shared" si="85"/>
        <v>501.06543001181495</v>
      </c>
      <c r="F20" s="1546">
        <f t="shared" si="85"/>
        <v>256.82882500744967</v>
      </c>
      <c r="G20" s="2008"/>
      <c r="H20" s="1540">
        <v>2</v>
      </c>
      <c r="I20" s="1540">
        <v>3.85</v>
      </c>
      <c r="J20" s="1540">
        <v>1.95</v>
      </c>
      <c r="K20" s="1540">
        <v>4.4800000000000004</v>
      </c>
      <c r="L20" s="1548">
        <v>1.41</v>
      </c>
      <c r="N20" s="1648">
        <f t="shared" si="86"/>
        <v>3.85E-2</v>
      </c>
      <c r="O20" s="1543">
        <f t="shared" si="82"/>
        <v>1.95E-2</v>
      </c>
      <c r="P20" s="1543">
        <f t="shared" si="82"/>
        <v>4.4800000000000006E-2</v>
      </c>
      <c r="Q20" s="1543">
        <f t="shared" si="82"/>
        <v>1.41E-2</v>
      </c>
      <c r="R20" s="1544"/>
      <c r="S20" s="1648"/>
      <c r="T20" s="1543"/>
      <c r="U20" s="1543"/>
      <c r="V20" s="1543"/>
    </row>
    <row r="21" spans="1:32" ht="13.5" thickBot="1">
      <c r="A21" s="1536" t="s">
        <v>278</v>
      </c>
      <c r="B21" s="1546">
        <f t="shared" si="83"/>
        <v>346.720748986128</v>
      </c>
      <c r="C21" s="1546">
        <f t="shared" si="83"/>
        <v>284.30282172386285</v>
      </c>
      <c r="D21" s="1546">
        <f t="shared" si="84"/>
        <v>284.30282172386285</v>
      </c>
      <c r="E21" s="1546">
        <f t="shared" si="85"/>
        <v>479.58023546306947</v>
      </c>
      <c r="F21" s="1546">
        <f t="shared" si="85"/>
        <v>253.25788877571213</v>
      </c>
      <c r="G21" s="2009"/>
      <c r="H21" s="1539">
        <v>1</v>
      </c>
      <c r="I21" s="1539">
        <v>4.09</v>
      </c>
      <c r="J21" s="1539">
        <v>2.93</v>
      </c>
      <c r="K21" s="1539">
        <v>4.54</v>
      </c>
      <c r="L21" s="1547">
        <v>1.48</v>
      </c>
      <c r="N21" s="1648">
        <f t="shared" si="86"/>
        <v>4.0899999999999999E-2</v>
      </c>
      <c r="O21" s="1543">
        <f t="shared" si="82"/>
        <v>2.9300000000000003E-2</v>
      </c>
      <c r="P21" s="1543">
        <f t="shared" si="82"/>
        <v>4.5400000000000003E-2</v>
      </c>
      <c r="Q21" s="1543">
        <f t="shared" si="82"/>
        <v>1.4800000000000001E-2</v>
      </c>
      <c r="R21" s="1544"/>
      <c r="S21" s="1650">
        <f>B21/B22-1</f>
        <v>4.1203450408792808E-2</v>
      </c>
      <c r="T21" s="1549">
        <f>C21/C22-1</f>
        <v>2.6363977342465095E-2</v>
      </c>
      <c r="U21" s="1549">
        <f>E21/E22-1</f>
        <v>4.4837114298626357E-2</v>
      </c>
      <c r="V21" s="1549">
        <f>F21/F22-1</f>
        <v>1.7099954922538574E-2</v>
      </c>
      <c r="AC21" s="1550"/>
      <c r="AD21" s="1550"/>
      <c r="AE21" s="1550"/>
      <c r="AF21" s="1550"/>
    </row>
    <row r="22" spans="1:32" ht="13.5" thickBot="1">
      <c r="A22" s="1536" t="s">
        <v>277</v>
      </c>
      <c r="B22" s="1541">
        <v>333</v>
      </c>
      <c r="C22" s="1541">
        <v>277</v>
      </c>
      <c r="D22" s="1541">
        <f t="shared" si="84"/>
        <v>277</v>
      </c>
      <c r="E22" s="1541">
        <v>459</v>
      </c>
      <c r="F22" s="1640">
        <v>249</v>
      </c>
      <c r="G22" s="2007">
        <v>2015</v>
      </c>
      <c r="H22" s="1551">
        <v>4</v>
      </c>
      <c r="I22" s="1551">
        <v>1.63</v>
      </c>
      <c r="J22" s="1551">
        <v>1.1100000000000001</v>
      </c>
      <c r="K22" s="1551">
        <v>1.77</v>
      </c>
      <c r="L22" s="1552">
        <v>1.89</v>
      </c>
      <c r="N22" s="1649">
        <f t="shared" si="86"/>
        <v>1.6299999999999999E-2</v>
      </c>
      <c r="O22" s="1553">
        <f t="shared" si="82"/>
        <v>1.11E-2</v>
      </c>
      <c r="P22" s="1553">
        <f t="shared" si="82"/>
        <v>1.77E-2</v>
      </c>
      <c r="Q22" s="1553">
        <f t="shared" si="82"/>
        <v>1.89E-2</v>
      </c>
      <c r="R22" s="1544"/>
      <c r="AC22" s="1545"/>
      <c r="AD22" s="1545"/>
      <c r="AE22" s="1545"/>
      <c r="AF22" s="1545"/>
    </row>
    <row r="23" spans="1:32">
      <c r="A23" s="1536" t="s">
        <v>276</v>
      </c>
      <c r="B23" s="1546">
        <f t="shared" ref="B23:C25" si="87">B22/(1+N22)</f>
        <v>327.65915576109415</v>
      </c>
      <c r="C23" s="1546">
        <f t="shared" si="87"/>
        <v>273.95905449510434</v>
      </c>
      <c r="D23" s="1546">
        <f t="shared" si="84"/>
        <v>273.95905449510434</v>
      </c>
      <c r="E23" s="1546">
        <f t="shared" ref="E23:F25" si="88">E22/(1+P22)</f>
        <v>451.01699911565294</v>
      </c>
      <c r="F23" s="1546">
        <f t="shared" si="88"/>
        <v>244.38119540681129</v>
      </c>
      <c r="G23" s="2008"/>
      <c r="H23" s="1554">
        <v>3</v>
      </c>
      <c r="I23" s="1554">
        <v>1.65</v>
      </c>
      <c r="J23" s="1554">
        <v>0.92</v>
      </c>
      <c r="K23" s="1554">
        <v>1.88</v>
      </c>
      <c r="L23" s="1555">
        <v>1.26</v>
      </c>
      <c r="N23" s="1648">
        <f t="shared" si="86"/>
        <v>1.6500000000000001E-2</v>
      </c>
      <c r="O23" s="1556">
        <f t="shared" si="82"/>
        <v>9.1999999999999998E-3</v>
      </c>
      <c r="P23" s="1556">
        <f t="shared" si="82"/>
        <v>1.8799999999999997E-2</v>
      </c>
      <c r="Q23" s="1556">
        <f t="shared" si="82"/>
        <v>1.26E-2</v>
      </c>
      <c r="R23" s="1544"/>
      <c r="S23" s="1648"/>
      <c r="T23" s="1543"/>
      <c r="U23" s="1543"/>
      <c r="V23" s="1543"/>
    </row>
    <row r="24" spans="1:32">
      <c r="A24" s="1536" t="s">
        <v>275</v>
      </c>
      <c r="B24" s="1546">
        <f t="shared" si="87"/>
        <v>322.34053690220776</v>
      </c>
      <c r="C24" s="1546">
        <f t="shared" si="87"/>
        <v>271.46160770422546</v>
      </c>
      <c r="D24" s="1546">
        <f t="shared" si="84"/>
        <v>271.46160770422546</v>
      </c>
      <c r="E24" s="1546">
        <f t="shared" si="88"/>
        <v>442.69434542172456</v>
      </c>
      <c r="F24" s="1546">
        <f t="shared" si="88"/>
        <v>241.34030753190925</v>
      </c>
      <c r="G24" s="2008"/>
      <c r="H24" s="1540">
        <v>2</v>
      </c>
      <c r="I24" s="1540">
        <v>0.77</v>
      </c>
      <c r="J24" s="1540">
        <v>0.69</v>
      </c>
      <c r="K24" s="1540">
        <v>0.8</v>
      </c>
      <c r="L24" s="1548">
        <v>0.88</v>
      </c>
      <c r="N24" s="1648">
        <f t="shared" si="86"/>
        <v>7.7000000000000002E-3</v>
      </c>
      <c r="O24" s="1556">
        <f t="shared" si="82"/>
        <v>6.8999999999999999E-3</v>
      </c>
      <c r="P24" s="1556">
        <f t="shared" si="82"/>
        <v>8.0000000000000002E-3</v>
      </c>
      <c r="Q24" s="1556">
        <f t="shared" si="82"/>
        <v>8.8000000000000005E-3</v>
      </c>
      <c r="R24" s="1544"/>
      <c r="S24" s="1648"/>
      <c r="T24" s="1543"/>
      <c r="U24" s="1543"/>
      <c r="V24" s="1543"/>
    </row>
    <row r="25" spans="1:32">
      <c r="A25" s="1536" t="s">
        <v>274</v>
      </c>
      <c r="B25" s="1546">
        <f t="shared" si="87"/>
        <v>319.87748030386797</v>
      </c>
      <c r="C25" s="1546">
        <f t="shared" si="87"/>
        <v>269.60135833173649</v>
      </c>
      <c r="D25" s="1546">
        <f t="shared" si="84"/>
        <v>269.60135833173649</v>
      </c>
      <c r="E25" s="1546">
        <f t="shared" si="88"/>
        <v>439.18089823583784</v>
      </c>
      <c r="F25" s="1546">
        <f t="shared" si="88"/>
        <v>239.23503918706311</v>
      </c>
      <c r="G25" s="2009"/>
      <c r="H25" s="1539">
        <v>1</v>
      </c>
      <c r="I25" s="1539">
        <v>0.51</v>
      </c>
      <c r="J25" s="1539">
        <v>0.54</v>
      </c>
      <c r="K25" s="1539">
        <v>0.48</v>
      </c>
      <c r="L25" s="1547">
        <v>0.93</v>
      </c>
      <c r="N25" s="1650">
        <f t="shared" si="86"/>
        <v>5.1000000000000004E-3</v>
      </c>
      <c r="O25" s="1549">
        <f t="shared" si="82"/>
        <v>5.4000000000000003E-3</v>
      </c>
      <c r="P25" s="1549">
        <f t="shared" si="82"/>
        <v>4.7999999999999996E-3</v>
      </c>
      <c r="Q25" s="1549">
        <f t="shared" si="82"/>
        <v>9.300000000000001E-3</v>
      </c>
      <c r="R25" s="1544"/>
      <c r="S25" s="1650">
        <f>B25/B26-1</f>
        <v>5.9040261127922822E-3</v>
      </c>
      <c r="T25" s="1549">
        <f>C25/C26-1</f>
        <v>5.9752176557332781E-3</v>
      </c>
      <c r="U25" s="1549">
        <f>E25/E26-1</f>
        <v>4.9906138119859556E-3</v>
      </c>
      <c r="V25" s="1549">
        <f>F25/F26-1</f>
        <v>9.4305450930933787E-3</v>
      </c>
      <c r="AC25" s="1550"/>
      <c r="AD25" s="1550"/>
      <c r="AE25" s="1550"/>
      <c r="AF25" s="1550"/>
    </row>
    <row r="26" spans="1:32" ht="13.5" thickBot="1">
      <c r="A26" s="1536" t="s">
        <v>273</v>
      </c>
      <c r="B26" s="1557">
        <v>318</v>
      </c>
      <c r="C26" s="1557">
        <v>268</v>
      </c>
      <c r="D26" s="1557">
        <f t="shared" si="84"/>
        <v>268</v>
      </c>
      <c r="E26" s="1557">
        <v>437</v>
      </c>
      <c r="F26" s="1641">
        <v>237</v>
      </c>
      <c r="G26" s="2007">
        <v>2014</v>
      </c>
      <c r="H26" s="1551">
        <v>4</v>
      </c>
      <c r="I26" s="1551">
        <v>0.21</v>
      </c>
      <c r="J26" s="1551">
        <v>0.41</v>
      </c>
      <c r="K26" s="1551">
        <v>0.12</v>
      </c>
      <c r="L26" s="1552">
        <v>0.89</v>
      </c>
      <c r="N26" s="1648">
        <f t="shared" si="86"/>
        <v>2.0999999999999999E-3</v>
      </c>
      <c r="O26" s="1543">
        <f t="shared" si="82"/>
        <v>4.0999999999999995E-3</v>
      </c>
      <c r="P26" s="1543">
        <f t="shared" si="82"/>
        <v>1.1999999999999999E-3</v>
      </c>
      <c r="Q26" s="1543">
        <f t="shared" si="82"/>
        <v>8.8999999999999999E-3</v>
      </c>
      <c r="R26" s="1544"/>
      <c r="S26" s="1658"/>
      <c r="T26" s="1545"/>
      <c r="U26" s="1545"/>
      <c r="V26" s="1545"/>
      <c r="AC26" s="1545"/>
      <c r="AD26" s="1545"/>
      <c r="AE26" s="1545"/>
      <c r="AF26" s="1545"/>
    </row>
    <row r="27" spans="1:32">
      <c r="A27" s="1536" t="s">
        <v>272</v>
      </c>
      <c r="B27" s="1546">
        <f t="shared" ref="B27:C29" si="89">B26/(1+N26)</f>
        <v>317.33359944117353</v>
      </c>
      <c r="C27" s="1546">
        <f t="shared" si="89"/>
        <v>266.90568668459315</v>
      </c>
      <c r="D27" s="1546">
        <f t="shared" si="84"/>
        <v>266.90568668459315</v>
      </c>
      <c r="E27" s="1546">
        <f t="shared" ref="E27:F29" si="90">E26/(1+P26)</f>
        <v>436.47622852576905</v>
      </c>
      <c r="F27" s="1546">
        <f t="shared" si="90"/>
        <v>234.90930716622066</v>
      </c>
      <c r="G27" s="2008"/>
      <c r="H27" s="1558">
        <v>3</v>
      </c>
      <c r="I27" s="1558">
        <v>0.83</v>
      </c>
      <c r="J27" s="1558">
        <v>1.47</v>
      </c>
      <c r="K27" s="1558">
        <v>0.65</v>
      </c>
      <c r="L27" s="1559">
        <v>0.72</v>
      </c>
      <c r="N27" s="1648">
        <f t="shared" si="86"/>
        <v>8.3000000000000001E-3</v>
      </c>
      <c r="O27" s="1543">
        <f t="shared" si="82"/>
        <v>1.47E-2</v>
      </c>
      <c r="P27" s="1543">
        <f t="shared" si="82"/>
        <v>6.5000000000000006E-3</v>
      </c>
      <c r="Q27" s="1543">
        <f t="shared" si="82"/>
        <v>7.1999999999999998E-3</v>
      </c>
      <c r="R27" s="1544"/>
      <c r="S27" s="1648"/>
      <c r="T27" s="1543"/>
      <c r="U27" s="1543"/>
      <c r="V27" s="1543"/>
    </row>
    <row r="28" spans="1:32" ht="13.5" thickBot="1">
      <c r="A28" s="1536" t="s">
        <v>271</v>
      </c>
      <c r="B28" s="1546">
        <f t="shared" si="89"/>
        <v>314.72141172386546</v>
      </c>
      <c r="C28" s="1546">
        <f t="shared" si="89"/>
        <v>263.03901319069001</v>
      </c>
      <c r="D28" s="1546">
        <f t="shared" si="84"/>
        <v>263.03901319069001</v>
      </c>
      <c r="E28" s="1546">
        <f t="shared" si="90"/>
        <v>433.65745506782821</v>
      </c>
      <c r="F28" s="1546">
        <f t="shared" si="90"/>
        <v>233.23005080045735</v>
      </c>
      <c r="G28" s="2008"/>
      <c r="H28" s="1551">
        <v>2</v>
      </c>
      <c r="I28" s="1551">
        <v>2.4</v>
      </c>
      <c r="J28" s="1551">
        <v>2.0299999999999998</v>
      </c>
      <c r="K28" s="1551">
        <v>2.59</v>
      </c>
      <c r="L28" s="1552">
        <v>1.52</v>
      </c>
      <c r="N28" s="1648">
        <f t="shared" si="86"/>
        <v>2.4E-2</v>
      </c>
      <c r="O28" s="1543">
        <f t="shared" si="82"/>
        <v>2.0299999999999999E-2</v>
      </c>
      <c r="P28" s="1543">
        <f t="shared" si="82"/>
        <v>2.5899999999999999E-2</v>
      </c>
      <c r="Q28" s="1543">
        <f t="shared" si="82"/>
        <v>1.52E-2</v>
      </c>
      <c r="R28" s="1544"/>
      <c r="S28" s="1648"/>
      <c r="T28" s="1543"/>
      <c r="U28" s="1543"/>
      <c r="V28" s="1543"/>
    </row>
    <row r="29" spans="1:32" s="1605" customFormat="1" ht="13.5" thickBot="1">
      <c r="A29" s="1601" t="s">
        <v>270</v>
      </c>
      <c r="B29" s="1602">
        <f t="shared" si="89"/>
        <v>307.34512863658733</v>
      </c>
      <c r="C29" s="1602">
        <f t="shared" si="89"/>
        <v>257.80556031626975</v>
      </c>
      <c r="D29" s="1602">
        <f t="shared" si="84"/>
        <v>257.80556031626975</v>
      </c>
      <c r="E29" s="1602">
        <f t="shared" si="90"/>
        <v>422.70928459677179</v>
      </c>
      <c r="F29" s="1602">
        <f t="shared" si="90"/>
        <v>229.73803270336617</v>
      </c>
      <c r="G29" s="2009"/>
      <c r="H29" s="1603">
        <v>1</v>
      </c>
      <c r="I29" s="1603">
        <v>2.97</v>
      </c>
      <c r="J29" s="1603">
        <v>2.34</v>
      </c>
      <c r="K29" s="1603">
        <v>3.28</v>
      </c>
      <c r="L29" s="1604">
        <v>1.36</v>
      </c>
      <c r="N29" s="1651">
        <f t="shared" si="86"/>
        <v>2.9700000000000001E-2</v>
      </c>
      <c r="O29" s="1606">
        <f t="shared" si="82"/>
        <v>2.3399999999999997E-2</v>
      </c>
      <c r="P29" s="1606">
        <f t="shared" si="82"/>
        <v>3.2799999999999996E-2</v>
      </c>
      <c r="Q29" s="1606">
        <f t="shared" si="82"/>
        <v>1.3600000000000001E-2</v>
      </c>
      <c r="R29" s="1607"/>
      <c r="S29" s="1659">
        <f>B29/B30-1</f>
        <v>2.7910129219355539E-2</v>
      </c>
      <c r="T29" s="1608">
        <f>C29/C30-1</f>
        <v>2.3037937762975247E-2</v>
      </c>
      <c r="U29" s="1608">
        <f>E29/E30-1</f>
        <v>3.3519033243940788E-2</v>
      </c>
      <c r="V29" s="1608">
        <f>F29/F30-1</f>
        <v>1.2061818076502862E-2</v>
      </c>
      <c r="AC29" s="1609"/>
      <c r="AD29" s="1609"/>
      <c r="AE29" s="1609"/>
      <c r="AF29" s="1609"/>
    </row>
    <row r="30" spans="1:32" ht="13.5" thickBot="1">
      <c r="A30" s="1536" t="s">
        <v>1660</v>
      </c>
      <c r="B30" s="1541">
        <v>299</v>
      </c>
      <c r="C30" s="1541">
        <v>252</v>
      </c>
      <c r="D30" s="1541">
        <f t="shared" si="84"/>
        <v>252</v>
      </c>
      <c r="E30" s="1541">
        <v>409</v>
      </c>
      <c r="F30" s="1640">
        <v>227</v>
      </c>
      <c r="G30" s="2011">
        <v>2013</v>
      </c>
      <c r="H30" s="1560">
        <v>4</v>
      </c>
      <c r="I30" s="1560">
        <v>1.83</v>
      </c>
      <c r="J30" s="1560">
        <v>1.68</v>
      </c>
      <c r="K30" s="1560">
        <v>1.97</v>
      </c>
      <c r="L30" s="1561">
        <v>0.87</v>
      </c>
      <c r="N30" s="1649">
        <f t="shared" si="86"/>
        <v>1.83E-2</v>
      </c>
      <c r="O30" s="1553">
        <f t="shared" si="82"/>
        <v>1.6799999999999999E-2</v>
      </c>
      <c r="P30" s="1553">
        <f t="shared" si="82"/>
        <v>1.9699999999999999E-2</v>
      </c>
      <c r="Q30" s="1553">
        <f t="shared" si="82"/>
        <v>8.6999999999999994E-3</v>
      </c>
      <c r="R30" s="1544"/>
      <c r="S30" s="1658"/>
      <c r="T30" s="1545"/>
      <c r="U30" s="1545"/>
      <c r="V30" s="1545"/>
      <c r="AC30" s="1545"/>
      <c r="AD30" s="1545"/>
      <c r="AE30" s="1545"/>
      <c r="AF30" s="1545"/>
    </row>
    <row r="31" spans="1:32">
      <c r="A31" s="1536" t="s">
        <v>1661</v>
      </c>
      <c r="B31" s="1546">
        <f t="shared" ref="B31:C33" si="91">B30/(1+N30)</f>
        <v>293.62663262299913</v>
      </c>
      <c r="C31" s="1546">
        <f t="shared" si="91"/>
        <v>247.83634933123525</v>
      </c>
      <c r="D31" s="1546">
        <f t="shared" si="84"/>
        <v>247.83634933123525</v>
      </c>
      <c r="E31" s="1546">
        <f t="shared" ref="E31:F33" si="92">E30/(1+P30)</f>
        <v>401.09836226341076</v>
      </c>
      <c r="F31" s="1546">
        <f t="shared" si="92"/>
        <v>225.04213343908003</v>
      </c>
      <c r="G31" s="2012"/>
      <c r="H31" s="1554">
        <v>3</v>
      </c>
      <c r="I31" s="1554">
        <v>1.86</v>
      </c>
      <c r="J31" s="1554">
        <v>1.72</v>
      </c>
      <c r="K31" s="1554">
        <v>1.98</v>
      </c>
      <c r="L31" s="1555">
        <v>0.88</v>
      </c>
      <c r="N31" s="1648">
        <f t="shared" si="86"/>
        <v>1.8600000000000002E-2</v>
      </c>
      <c r="O31" s="1556">
        <f t="shared" si="82"/>
        <v>1.72E-2</v>
      </c>
      <c r="P31" s="1556">
        <f t="shared" si="82"/>
        <v>1.9799999999999998E-2</v>
      </c>
      <c r="Q31" s="1556">
        <f t="shared" si="82"/>
        <v>8.8000000000000005E-3</v>
      </c>
      <c r="R31" s="1544"/>
      <c r="S31" s="1648"/>
      <c r="T31" s="1543"/>
      <c r="U31" s="1543"/>
      <c r="V31" s="1543"/>
    </row>
    <row r="32" spans="1:32">
      <c r="A32" s="1536" t="s">
        <v>1662</v>
      </c>
      <c r="B32" s="1546">
        <f t="shared" si="91"/>
        <v>288.2649053828776</v>
      </c>
      <c r="C32" s="1546">
        <f t="shared" si="91"/>
        <v>243.64564425013293</v>
      </c>
      <c r="D32" s="1546">
        <f t="shared" si="84"/>
        <v>243.64564425013293</v>
      </c>
      <c r="E32" s="1546">
        <f t="shared" si="92"/>
        <v>393.31080825986544</v>
      </c>
      <c r="F32" s="1546">
        <f t="shared" si="92"/>
        <v>223.07903790551154</v>
      </c>
      <c r="G32" s="2012"/>
      <c r="H32" s="1540">
        <v>2</v>
      </c>
      <c r="I32" s="1540">
        <v>2.04</v>
      </c>
      <c r="J32" s="1540">
        <v>2.33</v>
      </c>
      <c r="K32" s="1540">
        <v>2.0699999999999998</v>
      </c>
      <c r="L32" s="1548">
        <v>0.69</v>
      </c>
      <c r="N32" s="1648">
        <f t="shared" si="86"/>
        <v>2.0400000000000001E-2</v>
      </c>
      <c r="O32" s="1556">
        <f t="shared" si="82"/>
        <v>2.3300000000000001E-2</v>
      </c>
      <c r="P32" s="1556">
        <f t="shared" si="82"/>
        <v>2.07E-2</v>
      </c>
      <c r="Q32" s="1556">
        <f t="shared" si="82"/>
        <v>6.8999999999999999E-3</v>
      </c>
      <c r="R32" s="1544"/>
      <c r="S32" s="1648"/>
      <c r="T32" s="1543"/>
      <c r="U32" s="1543"/>
      <c r="V32" s="1543"/>
    </row>
    <row r="33" spans="1:32">
      <c r="A33" s="1536" t="s">
        <v>1663</v>
      </c>
      <c r="B33" s="1546">
        <f t="shared" si="91"/>
        <v>282.50186729015837</v>
      </c>
      <c r="C33" s="1546">
        <f t="shared" si="91"/>
        <v>238.09796174155468</v>
      </c>
      <c r="D33" s="1546">
        <f t="shared" si="84"/>
        <v>238.09796174155468</v>
      </c>
      <c r="E33" s="1546">
        <f t="shared" si="92"/>
        <v>385.33438646014054</v>
      </c>
      <c r="F33" s="1546">
        <f t="shared" si="92"/>
        <v>221.55034055567739</v>
      </c>
      <c r="G33" s="2013"/>
      <c r="H33" s="1539">
        <v>1</v>
      </c>
      <c r="I33" s="1539">
        <v>1.67</v>
      </c>
      <c r="J33" s="1539">
        <v>1.31</v>
      </c>
      <c r="K33" s="1539">
        <v>1.85</v>
      </c>
      <c r="L33" s="1547">
        <v>0.96</v>
      </c>
      <c r="N33" s="1650">
        <f t="shared" si="86"/>
        <v>1.67E-2</v>
      </c>
      <c r="O33" s="1549">
        <f t="shared" si="82"/>
        <v>1.3100000000000001E-2</v>
      </c>
      <c r="P33" s="1549">
        <f t="shared" si="82"/>
        <v>1.8500000000000003E-2</v>
      </c>
      <c r="Q33" s="1549">
        <f t="shared" si="82"/>
        <v>9.5999999999999992E-3</v>
      </c>
      <c r="R33" s="1544"/>
      <c r="S33" s="1650">
        <f>B33/B34-1</f>
        <v>1.6193767230785472E-2</v>
      </c>
      <c r="T33" s="1549">
        <f>C33/C34-1</f>
        <v>1.7512657015190891E-2</v>
      </c>
      <c r="U33" s="1549">
        <f>E33/E34-1</f>
        <v>1.6713420739157048E-2</v>
      </c>
      <c r="V33" s="1549">
        <f>F33/F34-1</f>
        <v>7.0470025258062563E-3</v>
      </c>
      <c r="AC33" s="1550"/>
      <c r="AD33" s="1550"/>
      <c r="AE33" s="1550"/>
      <c r="AF33" s="1550"/>
    </row>
    <row r="34" spans="1:32" ht="13.5" thickBot="1">
      <c r="A34" s="1536" t="s">
        <v>1664</v>
      </c>
      <c r="B34" s="1562">
        <v>278</v>
      </c>
      <c r="C34" s="1562">
        <v>234</v>
      </c>
      <c r="D34" s="1562">
        <f t="shared" si="84"/>
        <v>234</v>
      </c>
      <c r="E34" s="1562">
        <v>379</v>
      </c>
      <c r="F34" s="1642">
        <v>220</v>
      </c>
      <c r="G34" s="2007">
        <v>2012</v>
      </c>
      <c r="H34" s="1551">
        <v>4</v>
      </c>
      <c r="I34" s="1551">
        <v>0.91</v>
      </c>
      <c r="J34" s="1551">
        <v>0.68</v>
      </c>
      <c r="K34" s="1551">
        <v>0.98</v>
      </c>
      <c r="L34" s="1552">
        <v>0.9</v>
      </c>
      <c r="N34" s="1648">
        <f t="shared" si="86"/>
        <v>9.1000000000000004E-3</v>
      </c>
      <c r="O34" s="1543">
        <f t="shared" si="86"/>
        <v>6.8000000000000005E-3</v>
      </c>
      <c r="P34" s="1543">
        <f t="shared" si="86"/>
        <v>9.7999999999999997E-3</v>
      </c>
      <c r="Q34" s="1543">
        <f t="shared" si="86"/>
        <v>9.0000000000000011E-3</v>
      </c>
      <c r="R34" s="1544"/>
      <c r="S34" s="1658"/>
      <c r="T34" s="1545"/>
      <c r="U34" s="1545"/>
      <c r="V34" s="1545"/>
      <c r="AC34" s="1545"/>
      <c r="AD34" s="1545"/>
      <c r="AE34" s="1545"/>
      <c r="AF34" s="1545"/>
    </row>
    <row r="35" spans="1:32">
      <c r="A35" s="1536" t="s">
        <v>1665</v>
      </c>
      <c r="B35" s="1546">
        <f>B34/(1+N34)</f>
        <v>275.49301357645425</v>
      </c>
      <c r="C35" s="1546">
        <f>C34/(1+O34)</f>
        <v>232.41954707985698</v>
      </c>
      <c r="D35" s="1546">
        <f t="shared" si="84"/>
        <v>232.41954707985698</v>
      </c>
      <c r="E35" s="1546">
        <f t="shared" ref="E35:F37" si="93">E34/(1+P34)</f>
        <v>375.32184591008121</v>
      </c>
      <c r="F35" s="1546">
        <f t="shared" si="93"/>
        <v>218.03766105054513</v>
      </c>
      <c r="G35" s="2008"/>
      <c r="H35" s="1554">
        <v>3</v>
      </c>
      <c r="I35" s="1554">
        <v>0.09</v>
      </c>
      <c r="J35" s="1554">
        <v>0.28999999999999998</v>
      </c>
      <c r="K35" s="1554">
        <v>-0.01</v>
      </c>
      <c r="L35" s="1555">
        <v>0.57999999999999996</v>
      </c>
      <c r="N35" s="1648">
        <f t="shared" si="86"/>
        <v>8.9999999999999998E-4</v>
      </c>
      <c r="O35" s="1543">
        <f t="shared" si="86"/>
        <v>2.8999999999999998E-3</v>
      </c>
      <c r="P35" s="1543">
        <f t="shared" si="86"/>
        <v>-1E-4</v>
      </c>
      <c r="Q35" s="1543">
        <f t="shared" si="86"/>
        <v>5.7999999999999996E-3</v>
      </c>
      <c r="R35" s="1544"/>
      <c r="S35" s="1648"/>
      <c r="T35" s="1543"/>
      <c r="U35" s="1543"/>
      <c r="V35" s="1543"/>
    </row>
    <row r="36" spans="1:32">
      <c r="A36" s="1536" t="s">
        <v>1666</v>
      </c>
      <c r="B36" s="1546">
        <f>B35/(1+N35)</f>
        <v>275.24529281292263</v>
      </c>
      <c r="C36" s="1546">
        <f>C35/(1+O35)</f>
        <v>231.74747938962707</v>
      </c>
      <c r="D36" s="1546">
        <f t="shared" si="84"/>
        <v>231.74747938962707</v>
      </c>
      <c r="E36" s="1546">
        <f t="shared" si="93"/>
        <v>375.35938184826603</v>
      </c>
      <c r="F36" s="1546">
        <f t="shared" si="93"/>
        <v>216.78033510692495</v>
      </c>
      <c r="G36" s="2008"/>
      <c r="H36" s="1540">
        <v>2</v>
      </c>
      <c r="I36" s="1540">
        <v>0.02</v>
      </c>
      <c r="J36" s="1540">
        <v>0.12</v>
      </c>
      <c r="K36" s="1540">
        <v>-0.08</v>
      </c>
      <c r="L36" s="1548">
        <v>1.24</v>
      </c>
      <c r="N36" s="1648">
        <f t="shared" si="86"/>
        <v>2.0000000000000001E-4</v>
      </c>
      <c r="O36" s="1543">
        <f t="shared" si="86"/>
        <v>1.1999999999999999E-3</v>
      </c>
      <c r="P36" s="1543">
        <f t="shared" si="86"/>
        <v>-8.0000000000000004E-4</v>
      </c>
      <c r="Q36" s="1543">
        <f t="shared" si="86"/>
        <v>1.24E-2</v>
      </c>
      <c r="R36" s="1544"/>
      <c r="S36" s="1648"/>
      <c r="T36" s="1543"/>
      <c r="U36" s="1543"/>
      <c r="V36" s="1543"/>
    </row>
    <row r="37" spans="1:32" ht="13.5" thickBot="1">
      <c r="A37" s="1536" t="s">
        <v>1667</v>
      </c>
      <c r="B37" s="1546">
        <f>B36/(1+N36)</f>
        <v>275.19025476197027</v>
      </c>
      <c r="C37" s="1563">
        <v>232</v>
      </c>
      <c r="D37" s="1563">
        <f t="shared" si="84"/>
        <v>232</v>
      </c>
      <c r="E37" s="1546">
        <f t="shared" si="93"/>
        <v>375.65990977608692</v>
      </c>
      <c r="F37" s="1546">
        <f t="shared" si="93"/>
        <v>214.12518283971252</v>
      </c>
      <c r="G37" s="2009"/>
      <c r="H37" s="1539">
        <v>1</v>
      </c>
      <c r="I37" s="1539">
        <v>0.02</v>
      </c>
      <c r="J37" s="1539">
        <v>0.13</v>
      </c>
      <c r="K37" s="1539">
        <v>-0.04</v>
      </c>
      <c r="L37" s="1547">
        <v>0.46</v>
      </c>
      <c r="N37" s="1648">
        <f t="shared" si="86"/>
        <v>2.0000000000000001E-4</v>
      </c>
      <c r="O37" s="1543">
        <f t="shared" si="86"/>
        <v>1.2999999999999999E-3</v>
      </c>
      <c r="P37" s="1543">
        <f t="shared" si="86"/>
        <v>-4.0000000000000002E-4</v>
      </c>
      <c r="Q37" s="1543">
        <f t="shared" si="86"/>
        <v>4.5999999999999999E-3</v>
      </c>
      <c r="R37" s="1544"/>
      <c r="S37" s="1650">
        <f>B37/B38-1</f>
        <v>6.9183549807361189E-4</v>
      </c>
      <c r="T37" s="1549">
        <f>C37/C38-1</f>
        <v>0</v>
      </c>
      <c r="U37" s="1549">
        <f>E37/E38-1</f>
        <v>-9.0449527636460303E-4</v>
      </c>
      <c r="V37" s="1549">
        <f>F37/F38-1</f>
        <v>5.2825485432512753E-3</v>
      </c>
      <c r="AC37" s="1550"/>
      <c r="AD37" s="1550"/>
      <c r="AE37" s="1550"/>
      <c r="AF37" s="1550"/>
    </row>
    <row r="38" spans="1:32" ht="13.5" thickBot="1">
      <c r="A38" s="1536" t="s">
        <v>1668</v>
      </c>
      <c r="B38" s="1541">
        <v>275</v>
      </c>
      <c r="C38" s="1541">
        <v>232</v>
      </c>
      <c r="D38" s="1541">
        <f t="shared" si="84"/>
        <v>232</v>
      </c>
      <c r="E38" s="1541">
        <v>376</v>
      </c>
      <c r="F38" s="1640">
        <v>213</v>
      </c>
      <c r="G38" s="2007">
        <v>2011</v>
      </c>
      <c r="H38" s="1551">
        <v>4</v>
      </c>
      <c r="I38" s="1551">
        <v>-0.2</v>
      </c>
      <c r="J38" s="1551">
        <v>0.04</v>
      </c>
      <c r="K38" s="1551">
        <v>-0.34</v>
      </c>
      <c r="L38" s="1552">
        <v>0.46</v>
      </c>
      <c r="N38" s="1649">
        <f t="shared" si="86"/>
        <v>-2E-3</v>
      </c>
      <c r="O38" s="1553">
        <f t="shared" si="86"/>
        <v>4.0000000000000002E-4</v>
      </c>
      <c r="P38" s="1553">
        <f t="shared" si="86"/>
        <v>-3.4000000000000002E-3</v>
      </c>
      <c r="Q38" s="1553">
        <f t="shared" si="86"/>
        <v>4.5999999999999999E-3</v>
      </c>
      <c r="R38" s="1544"/>
      <c r="S38" s="1658"/>
      <c r="T38" s="1545"/>
      <c r="U38" s="1545"/>
      <c r="V38" s="1545"/>
      <c r="AC38" s="1545"/>
      <c r="AD38" s="1545"/>
      <c r="AE38" s="1545"/>
      <c r="AF38" s="1545"/>
    </row>
    <row r="39" spans="1:32">
      <c r="A39" s="1536" t="s">
        <v>1669</v>
      </c>
      <c r="B39" s="1546">
        <f t="shared" ref="B39:C41" si="94">B38/(1+N38)</f>
        <v>275.55110220440883</v>
      </c>
      <c r="C39" s="1546">
        <f t="shared" si="94"/>
        <v>231.90723710515795</v>
      </c>
      <c r="D39" s="1546">
        <f t="shared" si="84"/>
        <v>231.90723710515795</v>
      </c>
      <c r="E39" s="1546">
        <f t="shared" ref="E39:F41" si="95">E38/(1+P38)</f>
        <v>377.28276138872161</v>
      </c>
      <c r="F39" s="1546">
        <f t="shared" si="95"/>
        <v>212.02468644236512</v>
      </c>
      <c r="G39" s="2008">
        <v>2011</v>
      </c>
      <c r="H39" s="1554">
        <v>3</v>
      </c>
      <c r="I39" s="1554">
        <v>0.13</v>
      </c>
      <c r="J39" s="1554">
        <v>0.75</v>
      </c>
      <c r="K39" s="1554">
        <v>-0.08</v>
      </c>
      <c r="L39" s="1555">
        <v>0.53</v>
      </c>
      <c r="N39" s="1648">
        <f t="shared" si="86"/>
        <v>1.2999999999999999E-3</v>
      </c>
      <c r="O39" s="1556">
        <f t="shared" si="86"/>
        <v>7.4999999999999997E-3</v>
      </c>
      <c r="P39" s="1556">
        <f t="shared" si="86"/>
        <v>-8.0000000000000004E-4</v>
      </c>
      <c r="Q39" s="1556">
        <f t="shared" si="86"/>
        <v>5.3E-3</v>
      </c>
      <c r="R39" s="1544"/>
      <c r="S39" s="1648"/>
      <c r="T39" s="1543"/>
      <c r="U39" s="1543"/>
      <c r="V39" s="1543"/>
    </row>
    <row r="40" spans="1:32">
      <c r="A40" s="1536" t="s">
        <v>1670</v>
      </c>
      <c r="B40" s="1546">
        <f t="shared" si="94"/>
        <v>275.19335084830601</v>
      </c>
      <c r="C40" s="1546">
        <f t="shared" si="94"/>
        <v>230.18088050139744</v>
      </c>
      <c r="D40" s="1546">
        <f t="shared" si="84"/>
        <v>230.18088050139744</v>
      </c>
      <c r="E40" s="1546">
        <f t="shared" si="95"/>
        <v>377.58482925212331</v>
      </c>
      <c r="F40" s="1546">
        <f t="shared" si="95"/>
        <v>210.90687997847917</v>
      </c>
      <c r="G40" s="2008">
        <v>2011</v>
      </c>
      <c r="H40" s="1540">
        <v>2</v>
      </c>
      <c r="I40" s="1540">
        <v>-0.4</v>
      </c>
      <c r="J40" s="1540">
        <v>0.17</v>
      </c>
      <c r="K40" s="1540">
        <v>-0.57999999999999996</v>
      </c>
      <c r="L40" s="1548">
        <v>-0.2</v>
      </c>
      <c r="N40" s="1648">
        <f t="shared" si="86"/>
        <v>-4.0000000000000001E-3</v>
      </c>
      <c r="O40" s="1556">
        <f t="shared" si="86"/>
        <v>1.7000000000000001E-3</v>
      </c>
      <c r="P40" s="1556">
        <f t="shared" si="86"/>
        <v>-5.7999999999999996E-3</v>
      </c>
      <c r="Q40" s="1556">
        <f t="shared" si="86"/>
        <v>-2E-3</v>
      </c>
      <c r="R40" s="1544"/>
      <c r="S40" s="1648"/>
      <c r="T40" s="1543"/>
      <c r="U40" s="1543"/>
      <c r="V40" s="1543"/>
    </row>
    <row r="41" spans="1:32" ht="13.5" thickBot="1">
      <c r="A41" s="1536" t="s">
        <v>1671</v>
      </c>
      <c r="B41" s="1546">
        <f t="shared" si="94"/>
        <v>276.29854502841971</v>
      </c>
      <c r="C41" s="1546">
        <f t="shared" si="94"/>
        <v>229.79023709833027</v>
      </c>
      <c r="D41" s="1546">
        <f t="shared" si="84"/>
        <v>229.79023709833027</v>
      </c>
      <c r="E41" s="1546">
        <f t="shared" si="95"/>
        <v>379.78759731655936</v>
      </c>
      <c r="F41" s="1546">
        <f t="shared" si="95"/>
        <v>211.32953905659235</v>
      </c>
      <c r="G41" s="2009">
        <v>2011</v>
      </c>
      <c r="H41" s="1539">
        <v>1</v>
      </c>
      <c r="I41" s="1539">
        <v>2.65</v>
      </c>
      <c r="J41" s="1539">
        <v>3.76</v>
      </c>
      <c r="K41" s="1539">
        <v>1.89</v>
      </c>
      <c r="L41" s="1547">
        <v>7.95</v>
      </c>
      <c r="N41" s="1650">
        <f t="shared" si="86"/>
        <v>2.6499999999999999E-2</v>
      </c>
      <c r="O41" s="1549">
        <f t="shared" si="86"/>
        <v>3.7599999999999995E-2</v>
      </c>
      <c r="P41" s="1549">
        <f t="shared" si="86"/>
        <v>1.89E-2</v>
      </c>
      <c r="Q41" s="1549">
        <f t="shared" si="86"/>
        <v>7.9500000000000001E-2</v>
      </c>
      <c r="R41" s="1544"/>
      <c r="S41" s="1650">
        <f>B41/B42-1</f>
        <v>2.713213765211786E-2</v>
      </c>
      <c r="T41" s="1549">
        <f>C41/C42-1</f>
        <v>3.9774828499231862E-2</v>
      </c>
      <c r="U41" s="1549">
        <f>E41/E42-1</f>
        <v>1.8197311840641772E-2</v>
      </c>
      <c r="V41" s="1549">
        <f>F41/F42-1</f>
        <v>7.8211933962205826E-2</v>
      </c>
      <c r="AC41" s="1550"/>
      <c r="AD41" s="1550"/>
      <c r="AE41" s="1550"/>
      <c r="AF41" s="1550"/>
    </row>
    <row r="42" spans="1:32" ht="13.5" thickBot="1">
      <c r="A42" s="1536" t="s">
        <v>1672</v>
      </c>
      <c r="B42" s="1541">
        <v>269</v>
      </c>
      <c r="C42" s="1541">
        <v>221</v>
      </c>
      <c r="D42" s="1541">
        <f t="shared" si="84"/>
        <v>221</v>
      </c>
      <c r="E42" s="1541">
        <v>373</v>
      </c>
      <c r="F42" s="1640">
        <v>196</v>
      </c>
      <c r="G42" s="2007">
        <v>2010</v>
      </c>
      <c r="H42" s="1551">
        <v>4</v>
      </c>
      <c r="I42" s="1551">
        <v>5.72</v>
      </c>
      <c r="J42" s="1551">
        <v>6.57</v>
      </c>
      <c r="K42" s="1551">
        <v>5.72</v>
      </c>
      <c r="L42" s="1552">
        <v>2.72</v>
      </c>
      <c r="N42" s="1648">
        <f t="shared" si="86"/>
        <v>5.7200000000000001E-2</v>
      </c>
      <c r="O42" s="1543">
        <f t="shared" si="86"/>
        <v>6.5700000000000008E-2</v>
      </c>
      <c r="P42" s="1543">
        <f t="shared" si="86"/>
        <v>5.7200000000000001E-2</v>
      </c>
      <c r="Q42" s="1543">
        <f t="shared" si="86"/>
        <v>2.7200000000000002E-2</v>
      </c>
      <c r="R42" s="1544"/>
      <c r="S42" s="1658"/>
      <c r="T42" s="1545"/>
      <c r="U42" s="1545"/>
      <c r="V42" s="1545"/>
      <c r="AC42" s="1545"/>
      <c r="AD42" s="1545"/>
      <c r="AE42" s="1545"/>
      <c r="AF42" s="1545"/>
    </row>
    <row r="43" spans="1:32">
      <c r="A43" s="1536" t="s">
        <v>1673</v>
      </c>
      <c r="B43" s="1546">
        <f t="shared" ref="B43:C45" si="96">B42/(1+N42)</f>
        <v>254.44570563753314</v>
      </c>
      <c r="C43" s="1546">
        <f t="shared" si="96"/>
        <v>207.37543398705074</v>
      </c>
      <c r="D43" s="1546">
        <f t="shared" si="84"/>
        <v>207.37543398705074</v>
      </c>
      <c r="E43" s="1546">
        <f t="shared" ref="E43:F45" si="97">E42/(1+P42)</f>
        <v>352.81876655315932</v>
      </c>
      <c r="F43" s="1546">
        <f t="shared" si="97"/>
        <v>190.809968847352</v>
      </c>
      <c r="G43" s="2008">
        <v>2010</v>
      </c>
      <c r="H43" s="1554">
        <v>3</v>
      </c>
      <c r="I43" s="1554">
        <v>4.7300000000000004</v>
      </c>
      <c r="J43" s="1554">
        <v>3.9</v>
      </c>
      <c r="K43" s="1554">
        <v>5.03</v>
      </c>
      <c r="L43" s="1555">
        <v>4.21</v>
      </c>
      <c r="N43" s="1648">
        <f t="shared" si="86"/>
        <v>4.7300000000000002E-2</v>
      </c>
      <c r="O43" s="1543">
        <f t="shared" si="86"/>
        <v>3.9E-2</v>
      </c>
      <c r="P43" s="1543">
        <f t="shared" si="86"/>
        <v>5.0300000000000004E-2</v>
      </c>
      <c r="Q43" s="1543">
        <f t="shared" si="86"/>
        <v>4.2099999999999999E-2</v>
      </c>
      <c r="R43" s="1544"/>
      <c r="S43" s="1648"/>
      <c r="T43" s="1543"/>
      <c r="U43" s="1543"/>
      <c r="V43" s="1543"/>
    </row>
    <row r="44" spans="1:32">
      <c r="A44" s="1536" t="s">
        <v>1674</v>
      </c>
      <c r="B44" s="1546">
        <f t="shared" si="96"/>
        <v>242.95398227588385</v>
      </c>
      <c r="C44" s="1546">
        <f t="shared" si="96"/>
        <v>199.59137053614126</v>
      </c>
      <c r="D44" s="1546">
        <f t="shared" si="84"/>
        <v>199.59137053614126</v>
      </c>
      <c r="E44" s="1546">
        <f t="shared" si="97"/>
        <v>335.92189522342125</v>
      </c>
      <c r="F44" s="1546">
        <f t="shared" si="97"/>
        <v>183.10139991109489</v>
      </c>
      <c r="G44" s="2008">
        <v>2010</v>
      </c>
      <c r="H44" s="1540">
        <v>2</v>
      </c>
      <c r="I44" s="1540">
        <v>4.6900000000000004</v>
      </c>
      <c r="J44" s="1540">
        <v>3.55</v>
      </c>
      <c r="K44" s="1540">
        <v>5.07</v>
      </c>
      <c r="L44" s="1548">
        <v>4.2300000000000004</v>
      </c>
      <c r="N44" s="1648">
        <f t="shared" si="86"/>
        <v>4.6900000000000004E-2</v>
      </c>
      <c r="O44" s="1543">
        <f t="shared" si="86"/>
        <v>3.5499999999999997E-2</v>
      </c>
      <c r="P44" s="1543">
        <f t="shared" si="86"/>
        <v>5.0700000000000002E-2</v>
      </c>
      <c r="Q44" s="1543">
        <f t="shared" si="86"/>
        <v>4.2300000000000004E-2</v>
      </c>
      <c r="R44" s="1544"/>
      <c r="S44" s="1648"/>
      <c r="T44" s="1543"/>
      <c r="U44" s="1543"/>
      <c r="V44" s="1543"/>
    </row>
    <row r="45" spans="1:32" ht="13.5" thickBot="1">
      <c r="A45" s="1536" t="s">
        <v>1675</v>
      </c>
      <c r="B45" s="1546">
        <f t="shared" si="96"/>
        <v>232.06990378821649</v>
      </c>
      <c r="C45" s="1546">
        <f t="shared" si="96"/>
        <v>192.74878854286936</v>
      </c>
      <c r="D45" s="1546">
        <f t="shared" si="84"/>
        <v>192.74878854286936</v>
      </c>
      <c r="E45" s="1546">
        <f t="shared" si="97"/>
        <v>319.71247284992984</v>
      </c>
      <c r="F45" s="1546">
        <f t="shared" si="97"/>
        <v>175.67053622862409</v>
      </c>
      <c r="G45" s="2009">
        <v>2010</v>
      </c>
      <c r="H45" s="1539">
        <v>1</v>
      </c>
      <c r="I45" s="1539">
        <v>5.4</v>
      </c>
      <c r="J45" s="1539">
        <v>3.2</v>
      </c>
      <c r="K45" s="1539">
        <v>6.16</v>
      </c>
      <c r="L45" s="1547">
        <v>4.51</v>
      </c>
      <c r="N45" s="1648">
        <f t="shared" si="86"/>
        <v>5.4000000000000006E-2</v>
      </c>
      <c r="O45" s="1543">
        <f t="shared" si="86"/>
        <v>3.2000000000000001E-2</v>
      </c>
      <c r="P45" s="1543">
        <f t="shared" si="86"/>
        <v>6.1600000000000002E-2</v>
      </c>
      <c r="Q45" s="1543">
        <f t="shared" si="86"/>
        <v>4.5100000000000001E-2</v>
      </c>
      <c r="R45" s="1544"/>
      <c r="S45" s="1650">
        <f>B45/B46-1</f>
        <v>5.4863199037347599E-2</v>
      </c>
      <c r="T45" s="1549">
        <f>C45/C46-1</f>
        <v>3.0742184721226584E-2</v>
      </c>
      <c r="U45" s="1549">
        <f>E45/E46-1</f>
        <v>6.2167683886810154E-2</v>
      </c>
      <c r="V45" s="1549">
        <f>F45/F46-1</f>
        <v>4.5657953741810031E-2</v>
      </c>
      <c r="AC45" s="1550"/>
      <c r="AD45" s="1550"/>
      <c r="AE45" s="1550"/>
      <c r="AF45" s="1550"/>
    </row>
    <row r="46" spans="1:32" ht="13.5" thickBot="1">
      <c r="A46" s="1536" t="s">
        <v>1676</v>
      </c>
      <c r="B46" s="1541">
        <v>220</v>
      </c>
      <c r="C46" s="1541">
        <v>187</v>
      </c>
      <c r="D46" s="1541">
        <f t="shared" si="84"/>
        <v>187</v>
      </c>
      <c r="E46" s="1541">
        <v>301</v>
      </c>
      <c r="F46" s="1640">
        <v>168</v>
      </c>
      <c r="G46" s="2007">
        <v>2009</v>
      </c>
      <c r="H46" s="1551">
        <v>4</v>
      </c>
      <c r="I46" s="1551">
        <v>2.2999999999999998</v>
      </c>
      <c r="J46" s="1551">
        <v>1.04</v>
      </c>
      <c r="K46" s="1551">
        <v>2.84</v>
      </c>
      <c r="L46" s="1552">
        <v>0.67</v>
      </c>
      <c r="N46" s="1649">
        <f t="shared" si="86"/>
        <v>2.3E-2</v>
      </c>
      <c r="O46" s="1553">
        <f t="shared" si="86"/>
        <v>1.04E-2</v>
      </c>
      <c r="P46" s="1553">
        <f t="shared" si="86"/>
        <v>2.8399999999999998E-2</v>
      </c>
      <c r="Q46" s="1553">
        <f t="shared" si="86"/>
        <v>6.7000000000000002E-3</v>
      </c>
      <c r="R46" s="1544"/>
      <c r="S46" s="1658"/>
      <c r="T46" s="1545"/>
      <c r="U46" s="1545"/>
      <c r="V46" s="1545"/>
      <c r="AC46" s="1545"/>
      <c r="AD46" s="1545"/>
      <c r="AE46" s="1545"/>
      <c r="AF46" s="1545"/>
    </row>
    <row r="47" spans="1:32">
      <c r="A47" s="1536" t="s">
        <v>1677</v>
      </c>
      <c r="B47" s="1546">
        <f t="shared" ref="B47:C49" si="98">B46/(1+N46)</f>
        <v>215.05376344086022</v>
      </c>
      <c r="C47" s="1546">
        <f t="shared" si="98"/>
        <v>185.0752177355503</v>
      </c>
      <c r="D47" s="1546">
        <f t="shared" si="84"/>
        <v>185.0752177355503</v>
      </c>
      <c r="E47" s="1546">
        <f t="shared" ref="E47:F49" si="99">E46/(1+P46)</f>
        <v>292.68767016725008</v>
      </c>
      <c r="F47" s="1546">
        <f t="shared" si="99"/>
        <v>166.88189132810174</v>
      </c>
      <c r="G47" s="2008">
        <v>2009</v>
      </c>
      <c r="H47" s="1554">
        <v>3</v>
      </c>
      <c r="I47" s="1554">
        <v>2.1</v>
      </c>
      <c r="J47" s="1554">
        <v>1.86</v>
      </c>
      <c r="K47" s="1554">
        <v>2.29</v>
      </c>
      <c r="L47" s="1555">
        <v>0.85</v>
      </c>
      <c r="N47" s="1648">
        <f t="shared" si="86"/>
        <v>2.1000000000000001E-2</v>
      </c>
      <c r="O47" s="1556">
        <f t="shared" si="86"/>
        <v>1.8600000000000002E-2</v>
      </c>
      <c r="P47" s="1556">
        <f t="shared" si="86"/>
        <v>2.29E-2</v>
      </c>
      <c r="Q47" s="1556">
        <f t="shared" si="86"/>
        <v>8.5000000000000006E-3</v>
      </c>
      <c r="R47" s="1544"/>
      <c r="S47" s="1648"/>
      <c r="T47" s="1543"/>
      <c r="U47" s="1543"/>
      <c r="V47" s="1543"/>
    </row>
    <row r="48" spans="1:32">
      <c r="A48" s="1536" t="s">
        <v>1678</v>
      </c>
      <c r="B48" s="1546">
        <f t="shared" si="98"/>
        <v>210.630522469011</v>
      </c>
      <c r="C48" s="1546">
        <f t="shared" si="98"/>
        <v>181.69567812247232</v>
      </c>
      <c r="D48" s="1546">
        <f t="shared" si="84"/>
        <v>181.69567812247232</v>
      </c>
      <c r="E48" s="1546">
        <f t="shared" si="99"/>
        <v>286.13517466736738</v>
      </c>
      <c r="F48" s="1546">
        <f t="shared" si="99"/>
        <v>165.47535084591149</v>
      </c>
      <c r="G48" s="2008">
        <v>2009</v>
      </c>
      <c r="H48" s="1540">
        <v>2</v>
      </c>
      <c r="I48" s="1540">
        <v>0.86</v>
      </c>
      <c r="J48" s="1540">
        <v>-1.1299999999999999</v>
      </c>
      <c r="K48" s="1540">
        <v>1.79</v>
      </c>
      <c r="L48" s="1548">
        <v>-2.0699999999999998</v>
      </c>
      <c r="N48" s="1648">
        <f t="shared" si="86"/>
        <v>8.6E-3</v>
      </c>
      <c r="O48" s="1556">
        <f t="shared" si="86"/>
        <v>-1.1299999999999999E-2</v>
      </c>
      <c r="P48" s="1556">
        <f t="shared" si="86"/>
        <v>1.7899999999999999E-2</v>
      </c>
      <c r="Q48" s="1556">
        <f t="shared" si="86"/>
        <v>-2.07E-2</v>
      </c>
      <c r="R48" s="1544"/>
      <c r="S48" s="1648"/>
      <c r="T48" s="1543"/>
      <c r="U48" s="1543"/>
      <c r="V48" s="1543"/>
    </row>
    <row r="49" spans="1:32">
      <c r="A49" s="1536" t="s">
        <v>1679</v>
      </c>
      <c r="B49" s="1546">
        <f t="shared" si="98"/>
        <v>208.83454537875372</v>
      </c>
      <c r="C49" s="1546">
        <f t="shared" si="98"/>
        <v>183.77230517090351</v>
      </c>
      <c r="D49" s="1546">
        <f t="shared" si="84"/>
        <v>183.77230517090351</v>
      </c>
      <c r="E49" s="1546">
        <f t="shared" si="99"/>
        <v>281.10342338870947</v>
      </c>
      <c r="F49" s="1546">
        <f t="shared" si="99"/>
        <v>168.97309388942256</v>
      </c>
      <c r="G49" s="2009">
        <v>2009</v>
      </c>
      <c r="H49" s="1539">
        <v>1</v>
      </c>
      <c r="I49" s="1539">
        <v>-2.64</v>
      </c>
      <c r="J49" s="1539">
        <v>-2.5299999999999998</v>
      </c>
      <c r="K49" s="1539">
        <v>-3.02</v>
      </c>
      <c r="L49" s="1547">
        <v>1.52</v>
      </c>
      <c r="N49" s="1650">
        <f t="shared" si="86"/>
        <v>-2.64E-2</v>
      </c>
      <c r="O49" s="1549">
        <f t="shared" si="86"/>
        <v>-2.53E-2</v>
      </c>
      <c r="P49" s="1549">
        <f t="shared" si="86"/>
        <v>-3.0200000000000001E-2</v>
      </c>
      <c r="Q49" s="1549">
        <f t="shared" si="86"/>
        <v>1.52E-2</v>
      </c>
      <c r="R49" s="1544"/>
      <c r="S49" s="1650">
        <f>B49/B50-1</f>
        <v>-2.4137638417038754E-2</v>
      </c>
      <c r="T49" s="1549">
        <f>C49/C50-1</f>
        <v>-2.248773845264096E-2</v>
      </c>
      <c r="U49" s="1549">
        <f>E49/E50-1</f>
        <v>-2.7323794502735366E-2</v>
      </c>
      <c r="V49" s="1549">
        <f>F49/F50-1</f>
        <v>1.7910204153148035E-2</v>
      </c>
      <c r="AC49" s="1550"/>
      <c r="AD49" s="1550"/>
      <c r="AE49" s="1550"/>
      <c r="AF49" s="1550"/>
    </row>
    <row r="50" spans="1:32" ht="13.5" thickBot="1">
      <c r="A50" s="1536" t="s">
        <v>1680</v>
      </c>
      <c r="B50" s="1562">
        <v>214</v>
      </c>
      <c r="C50" s="1562">
        <v>188</v>
      </c>
      <c r="D50" s="1562">
        <f t="shared" si="84"/>
        <v>188</v>
      </c>
      <c r="E50" s="1562">
        <v>289</v>
      </c>
      <c r="F50" s="1642">
        <v>166</v>
      </c>
      <c r="G50" s="2007">
        <v>2008</v>
      </c>
      <c r="H50" s="1551">
        <v>4</v>
      </c>
      <c r="I50" s="1551">
        <v>1.73</v>
      </c>
      <c r="J50" s="1551">
        <v>0.03</v>
      </c>
      <c r="K50" s="1551">
        <v>2.59</v>
      </c>
      <c r="L50" s="1552">
        <v>-1.66</v>
      </c>
      <c r="N50" s="1648">
        <f t="shared" si="86"/>
        <v>1.7299999999999999E-2</v>
      </c>
      <c r="O50" s="1543">
        <f t="shared" si="86"/>
        <v>2.9999999999999997E-4</v>
      </c>
      <c r="P50" s="1543">
        <f t="shared" si="86"/>
        <v>2.5899999999999999E-2</v>
      </c>
      <c r="Q50" s="1543">
        <f t="shared" si="86"/>
        <v>-1.66E-2</v>
      </c>
      <c r="R50" s="1544"/>
      <c r="S50" s="1658"/>
      <c r="T50" s="1545"/>
      <c r="U50" s="1545"/>
      <c r="V50" s="1545"/>
      <c r="AC50" s="1545"/>
      <c r="AD50" s="1545"/>
      <c r="AE50" s="1545"/>
      <c r="AF50" s="1545"/>
    </row>
    <row r="51" spans="1:32">
      <c r="A51" s="1536" t="s">
        <v>1681</v>
      </c>
      <c r="B51" s="1546">
        <f t="shared" ref="B51:C53" si="100">B50/(1+N50)</f>
        <v>210.36075887152265</v>
      </c>
      <c r="C51" s="1546">
        <f t="shared" si="100"/>
        <v>187.94361691492554</v>
      </c>
      <c r="D51" s="1546">
        <f t="shared" si="84"/>
        <v>187.94361691492554</v>
      </c>
      <c r="E51" s="1546">
        <f t="shared" ref="E51:F53" si="101">E50/(1+P50)</f>
        <v>281.70386977288234</v>
      </c>
      <c r="F51" s="1546">
        <f t="shared" si="101"/>
        <v>168.80211511083994</v>
      </c>
      <c r="G51" s="2008">
        <v>2008</v>
      </c>
      <c r="H51" s="1554">
        <v>3</v>
      </c>
      <c r="I51" s="1554">
        <v>1.96</v>
      </c>
      <c r="J51" s="1554">
        <v>2.36</v>
      </c>
      <c r="K51" s="1554">
        <v>1.82</v>
      </c>
      <c r="L51" s="1555">
        <v>2.2200000000000002</v>
      </c>
      <c r="N51" s="1648">
        <f t="shared" si="86"/>
        <v>1.9599999999999999E-2</v>
      </c>
      <c r="O51" s="1543">
        <f t="shared" si="86"/>
        <v>2.3599999999999999E-2</v>
      </c>
      <c r="P51" s="1543">
        <f t="shared" si="86"/>
        <v>1.8200000000000001E-2</v>
      </c>
      <c r="Q51" s="1543">
        <f t="shared" si="86"/>
        <v>2.2200000000000001E-2</v>
      </c>
      <c r="R51" s="1544"/>
      <c r="S51" s="1648"/>
      <c r="T51" s="1543"/>
      <c r="U51" s="1543"/>
      <c r="V51" s="1543"/>
    </row>
    <row r="52" spans="1:32">
      <c r="A52" s="1536" t="s">
        <v>1682</v>
      </c>
      <c r="B52" s="1546">
        <f t="shared" si="100"/>
        <v>206.31694671589116</v>
      </c>
      <c r="C52" s="1546">
        <f t="shared" si="100"/>
        <v>183.61041121036101</v>
      </c>
      <c r="D52" s="1546">
        <f t="shared" si="84"/>
        <v>183.61041121036101</v>
      </c>
      <c r="E52" s="1546">
        <f t="shared" si="101"/>
        <v>276.66850301795557</v>
      </c>
      <c r="F52" s="1546">
        <f t="shared" si="101"/>
        <v>165.1360938278614</v>
      </c>
      <c r="G52" s="2008">
        <v>2008</v>
      </c>
      <c r="H52" s="1540">
        <v>2</v>
      </c>
      <c r="I52" s="1540">
        <v>4.93</v>
      </c>
      <c r="J52" s="1540">
        <v>7.38</v>
      </c>
      <c r="K52" s="1540">
        <v>3.98</v>
      </c>
      <c r="L52" s="1548">
        <v>6.86</v>
      </c>
      <c r="N52" s="1648">
        <f t="shared" si="86"/>
        <v>4.9299999999999997E-2</v>
      </c>
      <c r="O52" s="1543">
        <f t="shared" si="86"/>
        <v>7.3800000000000004E-2</v>
      </c>
      <c r="P52" s="1543">
        <f t="shared" si="86"/>
        <v>3.9800000000000002E-2</v>
      </c>
      <c r="Q52" s="1543">
        <f t="shared" si="86"/>
        <v>6.8600000000000008E-2</v>
      </c>
      <c r="R52" s="1544"/>
      <c r="S52" s="1648"/>
      <c r="T52" s="1543"/>
      <c r="U52" s="1543"/>
      <c r="V52" s="1543"/>
    </row>
    <row r="53" spans="1:32" s="1567" customFormat="1" ht="13.5" thickBot="1">
      <c r="A53" s="1536" t="s">
        <v>1683</v>
      </c>
      <c r="B53" s="1564">
        <f t="shared" si="100"/>
        <v>196.62341248059772</v>
      </c>
      <c r="C53" s="1564">
        <f t="shared" si="100"/>
        <v>170.99125648199012</v>
      </c>
      <c r="D53" s="1564">
        <f t="shared" si="84"/>
        <v>170.99125648199012</v>
      </c>
      <c r="E53" s="1564">
        <f t="shared" si="101"/>
        <v>266.07857570490052</v>
      </c>
      <c r="F53" s="1564">
        <f t="shared" si="101"/>
        <v>154.53499328828505</v>
      </c>
      <c r="G53" s="2009">
        <v>2008</v>
      </c>
      <c r="H53" s="1565">
        <v>1</v>
      </c>
      <c r="I53" s="1565">
        <v>4.1399999999999997</v>
      </c>
      <c r="J53" s="1565">
        <v>3.45</v>
      </c>
      <c r="K53" s="1565">
        <v>4.95</v>
      </c>
      <c r="L53" s="1566">
        <v>4.82</v>
      </c>
      <c r="N53" s="1652">
        <f t="shared" si="86"/>
        <v>4.1399999999999999E-2</v>
      </c>
      <c r="O53" s="1568">
        <f t="shared" si="86"/>
        <v>3.4500000000000003E-2</v>
      </c>
      <c r="P53" s="1568">
        <f t="shared" si="86"/>
        <v>4.9500000000000002E-2</v>
      </c>
      <c r="Q53" s="1568">
        <f t="shared" si="86"/>
        <v>4.82E-2</v>
      </c>
      <c r="R53" s="1569"/>
      <c r="S53" s="1652">
        <f>B53/B54-1</f>
        <v>4.5869215322328349E-2</v>
      </c>
      <c r="T53" s="1568">
        <f>C53/C54-1</f>
        <v>3.6310645345394743E-2</v>
      </c>
      <c r="U53" s="1568">
        <f>E53/E54-1</f>
        <v>4.7553447657088688E-2</v>
      </c>
      <c r="V53" s="1568">
        <f>F53/F54-1</f>
        <v>4.4155360055980086E-2</v>
      </c>
      <c r="AC53" s="1570"/>
      <c r="AD53" s="1570"/>
      <c r="AE53" s="1570"/>
      <c r="AF53" s="1570"/>
    </row>
    <row r="54" spans="1:32" ht="13.5" thickBot="1">
      <c r="A54" s="1536" t="s">
        <v>1684</v>
      </c>
      <c r="B54" s="1541">
        <v>188</v>
      </c>
      <c r="C54" s="1541">
        <v>165</v>
      </c>
      <c r="D54" s="1541">
        <f t="shared" si="84"/>
        <v>165</v>
      </c>
      <c r="E54" s="1541">
        <v>254</v>
      </c>
      <c r="F54" s="1640">
        <v>148</v>
      </c>
      <c r="G54" s="2007">
        <v>2007</v>
      </c>
      <c r="H54" s="1571">
        <v>4</v>
      </c>
      <c r="I54" s="1571">
        <v>5.51</v>
      </c>
      <c r="J54" s="1571">
        <v>4.8899999999999997</v>
      </c>
      <c r="K54" s="1571">
        <v>6.43</v>
      </c>
      <c r="L54" s="1572">
        <v>5.36</v>
      </c>
      <c r="N54" s="1653">
        <f t="shared" ref="N54:O57" si="102">B54/B55-1</f>
        <v>4.1339718365245526E-2</v>
      </c>
      <c r="O54" s="1573">
        <f t="shared" si="102"/>
        <v>4.0324492593776018E-2</v>
      </c>
      <c r="P54" s="1573">
        <f t="shared" ref="P54:Q57" si="103">E54/E55-1</f>
        <v>6.1625555347990968E-2</v>
      </c>
      <c r="Q54" s="1573">
        <f t="shared" si="103"/>
        <v>4.6757569250590603E-2</v>
      </c>
      <c r="R54" s="1544"/>
      <c r="S54" s="1658"/>
      <c r="T54" s="1545"/>
      <c r="U54" s="1545"/>
      <c r="V54" s="1545"/>
      <c r="AC54" s="1545"/>
      <c r="AD54" s="1545"/>
      <c r="AE54" s="1545"/>
      <c r="AF54" s="1545"/>
    </row>
    <row r="55" spans="1:32">
      <c r="A55" s="1536" t="s">
        <v>1685</v>
      </c>
      <c r="B55" s="1546">
        <f t="shared" ref="B55:C57" si="104">B56+(B$54-B$58)*I55/SUM(I$54:I$57)</f>
        <v>180.5366651097618</v>
      </c>
      <c r="C55" s="1546">
        <f t="shared" si="104"/>
        <v>158.60435967302453</v>
      </c>
      <c r="D55" s="1546">
        <f t="shared" si="84"/>
        <v>158.60435967302453</v>
      </c>
      <c r="E55" s="1546">
        <f t="shared" ref="E55:F57" si="105">E56+(E$54-E$58)*K55/SUM(K$54:K$57)</f>
        <v>239.25573260785075</v>
      </c>
      <c r="F55" s="1546">
        <f t="shared" si="105"/>
        <v>141.38899430740037</v>
      </c>
      <c r="G55" s="2008">
        <v>2007</v>
      </c>
      <c r="H55" s="1554">
        <v>3</v>
      </c>
      <c r="I55" s="1554">
        <v>8.65</v>
      </c>
      <c r="J55" s="1554">
        <v>8.06</v>
      </c>
      <c r="K55" s="1554">
        <v>9.94</v>
      </c>
      <c r="L55" s="1555">
        <v>5.8</v>
      </c>
      <c r="N55" s="1653">
        <f t="shared" si="102"/>
        <v>6.940217571740015E-2</v>
      </c>
      <c r="O55" s="1573">
        <f t="shared" si="102"/>
        <v>7.1197482471153428E-2</v>
      </c>
      <c r="P55" s="1573">
        <f t="shared" si="103"/>
        <v>0.10529679922579582</v>
      </c>
      <c r="Q55" s="1573">
        <f t="shared" si="103"/>
        <v>5.3292245059512133E-2</v>
      </c>
      <c r="R55" s="1544"/>
      <c r="S55" s="1648"/>
      <c r="T55" s="1543"/>
      <c r="U55" s="1543"/>
      <c r="V55" s="1543"/>
      <c r="AC55" s="1574"/>
      <c r="AD55" s="1574"/>
      <c r="AE55" s="1574"/>
      <c r="AF55" s="1574"/>
    </row>
    <row r="56" spans="1:32">
      <c r="A56" s="1536" t="s">
        <v>1686</v>
      </c>
      <c r="B56" s="1546">
        <f t="shared" si="104"/>
        <v>168.82017748715555</v>
      </c>
      <c r="C56" s="1546">
        <f t="shared" si="104"/>
        <v>148.06267029972753</v>
      </c>
      <c r="D56" s="1546">
        <f t="shared" si="84"/>
        <v>148.06267029972753</v>
      </c>
      <c r="E56" s="1546">
        <f t="shared" si="105"/>
        <v>216.46288379323747</v>
      </c>
      <c r="F56" s="1546">
        <f t="shared" si="105"/>
        <v>134.23529411764704</v>
      </c>
      <c r="G56" s="2008">
        <v>2007</v>
      </c>
      <c r="H56" s="1540">
        <v>2</v>
      </c>
      <c r="I56" s="1540">
        <v>3.67</v>
      </c>
      <c r="J56" s="1540">
        <v>2.3199999999999998</v>
      </c>
      <c r="K56" s="1540">
        <v>5.0199999999999996</v>
      </c>
      <c r="L56" s="1548">
        <v>6.71</v>
      </c>
      <c r="N56" s="1653">
        <f t="shared" si="102"/>
        <v>3.0339138143848032E-2</v>
      </c>
      <c r="O56" s="1573">
        <f t="shared" si="102"/>
        <v>2.0922341588790472E-2</v>
      </c>
      <c r="P56" s="1573">
        <f t="shared" si="103"/>
        <v>5.6164796592717003E-2</v>
      </c>
      <c r="Q56" s="1573">
        <f t="shared" si="103"/>
        <v>6.5704536723887319E-2</v>
      </c>
      <c r="R56" s="1544"/>
      <c r="S56" s="1648"/>
      <c r="T56" s="1543"/>
      <c r="U56" s="1543"/>
      <c r="V56" s="1543"/>
      <c r="AC56" s="1574"/>
      <c r="AD56" s="1574"/>
      <c r="AE56" s="1574"/>
      <c r="AF56" s="1574"/>
    </row>
    <row r="57" spans="1:32">
      <c r="A57" s="1536" t="s">
        <v>1687</v>
      </c>
      <c r="B57" s="1546">
        <f t="shared" si="104"/>
        <v>163.84913591779542</v>
      </c>
      <c r="C57" s="1546">
        <f t="shared" si="104"/>
        <v>145.0283378746594</v>
      </c>
      <c r="D57" s="1546">
        <f t="shared" si="84"/>
        <v>145.0283378746594</v>
      </c>
      <c r="E57" s="1546">
        <f t="shared" si="105"/>
        <v>204.95180722891567</v>
      </c>
      <c r="F57" s="1546">
        <f t="shared" si="105"/>
        <v>125.95920303605313</v>
      </c>
      <c r="G57" s="2009">
        <v>2007</v>
      </c>
      <c r="H57" s="1539">
        <v>1</v>
      </c>
      <c r="I57" s="1539">
        <v>3.58</v>
      </c>
      <c r="J57" s="1539">
        <v>3.08</v>
      </c>
      <c r="K57" s="1539">
        <v>4.34</v>
      </c>
      <c r="L57" s="1547">
        <v>3.21</v>
      </c>
      <c r="N57" s="1654">
        <f t="shared" si="102"/>
        <v>3.0497710174814063E-2</v>
      </c>
      <c r="O57" s="1575">
        <f t="shared" si="102"/>
        <v>2.8569772160704998E-2</v>
      </c>
      <c r="P57" s="1575">
        <f t="shared" si="103"/>
        <v>5.1034908866234296E-2</v>
      </c>
      <c r="Q57" s="1575">
        <f t="shared" si="103"/>
        <v>3.245248390207478E-2</v>
      </c>
      <c r="R57" s="1544"/>
      <c r="S57" s="1650">
        <f>B57/B58-1</f>
        <v>3.0497710174814063E-2</v>
      </c>
      <c r="T57" s="1549">
        <f>C57/C58-1</f>
        <v>2.8569772160704998E-2</v>
      </c>
      <c r="U57" s="1549">
        <f>E57/E58-1</f>
        <v>5.1034908866234296E-2</v>
      </c>
      <c r="V57" s="1549">
        <f>F57/F58-1</f>
        <v>3.245248390207478E-2</v>
      </c>
      <c r="AC57" s="1574"/>
      <c r="AD57" s="1574"/>
      <c r="AE57" s="1574"/>
      <c r="AF57" s="1574"/>
    </row>
    <row r="58" spans="1:32" ht="13.5" thickBot="1">
      <c r="A58" s="1536" t="s">
        <v>1688</v>
      </c>
      <c r="B58" s="1557">
        <v>159</v>
      </c>
      <c r="C58" s="1557">
        <v>141</v>
      </c>
      <c r="D58" s="1557">
        <f t="shared" si="84"/>
        <v>141</v>
      </c>
      <c r="E58" s="1557">
        <v>195</v>
      </c>
      <c r="F58" s="1641">
        <v>122</v>
      </c>
      <c r="G58" s="2007">
        <v>2006</v>
      </c>
      <c r="H58" s="1551">
        <v>4</v>
      </c>
      <c r="I58" s="1551">
        <v>3.79</v>
      </c>
      <c r="J58" s="1551">
        <v>2.21</v>
      </c>
      <c r="K58" s="1551">
        <v>5.65</v>
      </c>
      <c r="L58" s="1552">
        <v>5.41</v>
      </c>
      <c r="N58" s="1653">
        <f t="shared" ref="N58:O61" si="106">I58/SUM(I$58:I$61)*(B$58/B$62-1)</f>
        <v>7.245466462748526E-2</v>
      </c>
      <c r="O58" s="1573">
        <f t="shared" si="106"/>
        <v>2.3237230038062766E-2</v>
      </c>
      <c r="P58" s="1573">
        <f t="shared" ref="P58:Q61" si="107">K58/SUM(K$58:K$61)*(E$58/E$62-1)</f>
        <v>0.16146893866323722</v>
      </c>
      <c r="Q58" s="1573">
        <f t="shared" si="107"/>
        <v>5.0755230321793784E-2</v>
      </c>
      <c r="R58" s="1544"/>
      <c r="S58" s="1658"/>
      <c r="T58" s="1545"/>
      <c r="U58" s="1545"/>
      <c r="V58" s="1545"/>
      <c r="AC58" s="1574"/>
      <c r="AD58" s="1574"/>
      <c r="AE58" s="1574"/>
      <c r="AF58" s="1574"/>
    </row>
    <row r="59" spans="1:32">
      <c r="A59" s="1536" t="s">
        <v>1689</v>
      </c>
      <c r="B59" s="1546">
        <f t="shared" ref="B59:C61" si="108">B60+(B$58-B$62)*I59/SUM(I$58:I$61)</f>
        <v>149.00125628140702</v>
      </c>
      <c r="C59" s="1546">
        <f t="shared" si="108"/>
        <v>137.95592286501378</v>
      </c>
      <c r="D59" s="1546">
        <f t="shared" si="84"/>
        <v>137.95592286501378</v>
      </c>
      <c r="E59" s="1546">
        <f t="shared" ref="E59:F61" si="109">E60+(E$58-E$62)*K59/SUM(K$58:K$61)</f>
        <v>169.97231450719823</v>
      </c>
      <c r="F59" s="1546">
        <f t="shared" si="109"/>
        <v>116.21390374331551</v>
      </c>
      <c r="G59" s="2008">
        <v>2006</v>
      </c>
      <c r="H59" s="1554">
        <v>3</v>
      </c>
      <c r="I59" s="1554">
        <v>0.92</v>
      </c>
      <c r="J59" s="1554">
        <v>1.08</v>
      </c>
      <c r="K59" s="1554">
        <v>0.73</v>
      </c>
      <c r="L59" s="1555">
        <v>1.08</v>
      </c>
      <c r="N59" s="1653">
        <f t="shared" si="106"/>
        <v>1.7587939698492462E-2</v>
      </c>
      <c r="O59" s="1573">
        <f t="shared" si="106"/>
        <v>1.1355750425840628E-2</v>
      </c>
      <c r="P59" s="1573">
        <f t="shared" si="107"/>
        <v>2.0862358446754544E-2</v>
      </c>
      <c r="Q59" s="1573">
        <f t="shared" si="107"/>
        <v>1.0132282578103011E-2</v>
      </c>
      <c r="R59" s="1544"/>
      <c r="S59" s="1648"/>
      <c r="T59" s="1543"/>
      <c r="U59" s="1543"/>
      <c r="V59" s="1543"/>
      <c r="AC59" s="1574"/>
      <c r="AD59" s="1574"/>
      <c r="AE59" s="1574"/>
      <c r="AF59" s="1574"/>
    </row>
    <row r="60" spans="1:32">
      <c r="A60" s="1536" t="s">
        <v>1690</v>
      </c>
      <c r="B60" s="1546">
        <f t="shared" si="108"/>
        <v>146.57412060301507</v>
      </c>
      <c r="C60" s="1546">
        <f t="shared" si="108"/>
        <v>136.46831955922866</v>
      </c>
      <c r="D60" s="1546">
        <f t="shared" si="84"/>
        <v>136.46831955922866</v>
      </c>
      <c r="E60" s="1546">
        <f t="shared" si="109"/>
        <v>166.73864894795128</v>
      </c>
      <c r="F60" s="1546">
        <f t="shared" si="109"/>
        <v>115.05882352941177</v>
      </c>
      <c r="G60" s="2008">
        <v>2006</v>
      </c>
      <c r="H60" s="1540">
        <v>2</v>
      </c>
      <c r="I60" s="1540">
        <v>0.96</v>
      </c>
      <c r="J60" s="1540">
        <v>0.25</v>
      </c>
      <c r="K60" s="1540">
        <v>1.9</v>
      </c>
      <c r="L60" s="1548">
        <v>0.95</v>
      </c>
      <c r="N60" s="1653">
        <f t="shared" si="106"/>
        <v>1.8352632728861701E-2</v>
      </c>
      <c r="O60" s="1573">
        <f t="shared" si="106"/>
        <v>2.6286459319075526E-3</v>
      </c>
      <c r="P60" s="1573">
        <f t="shared" si="107"/>
        <v>5.4299289107991269E-2</v>
      </c>
      <c r="Q60" s="1573">
        <f t="shared" si="107"/>
        <v>8.9126559714794995E-3</v>
      </c>
      <c r="R60" s="1544"/>
      <c r="S60" s="1648"/>
      <c r="T60" s="1543"/>
      <c r="U60" s="1543"/>
      <c r="V60" s="1543"/>
      <c r="AC60" s="1574"/>
      <c r="AD60" s="1574"/>
      <c r="AE60" s="1574"/>
      <c r="AF60" s="1574"/>
    </row>
    <row r="61" spans="1:32">
      <c r="A61" s="1536" t="s">
        <v>1691</v>
      </c>
      <c r="B61" s="1546">
        <f t="shared" si="108"/>
        <v>144.04145728643215</v>
      </c>
      <c r="C61" s="1546">
        <f t="shared" si="108"/>
        <v>136.12396694214877</v>
      </c>
      <c r="D61" s="1546">
        <f t="shared" si="84"/>
        <v>136.12396694214877</v>
      </c>
      <c r="E61" s="1546">
        <f t="shared" si="109"/>
        <v>158.32225913621264</v>
      </c>
      <c r="F61" s="1546">
        <f t="shared" si="109"/>
        <v>114.04278074866311</v>
      </c>
      <c r="G61" s="2009">
        <v>2006</v>
      </c>
      <c r="H61" s="1539">
        <v>1</v>
      </c>
      <c r="I61" s="1539">
        <v>2.29</v>
      </c>
      <c r="J61" s="1539">
        <v>3.72</v>
      </c>
      <c r="K61" s="1539">
        <v>0.75</v>
      </c>
      <c r="L61" s="1547">
        <v>0.04</v>
      </c>
      <c r="N61" s="1654">
        <f t="shared" si="106"/>
        <v>4.3778675988638847E-2</v>
      </c>
      <c r="O61" s="1575">
        <f t="shared" si="106"/>
        <v>3.9114251466784385E-2</v>
      </c>
      <c r="P61" s="1575">
        <f t="shared" si="107"/>
        <v>2.1433929911049188E-2</v>
      </c>
      <c r="Q61" s="1575">
        <f t="shared" si="107"/>
        <v>3.7526972511492629E-4</v>
      </c>
      <c r="R61" s="1544"/>
      <c r="S61" s="1650">
        <f>B61/B62-1</f>
        <v>4.3778675988638716E-2</v>
      </c>
      <c r="T61" s="1549">
        <f>C61/C62-1</f>
        <v>3.91142514667846E-2</v>
      </c>
      <c r="U61" s="1549">
        <f>E61/E62-1</f>
        <v>2.143392991104931E-2</v>
      </c>
      <c r="V61" s="1549">
        <f>F61/F62-1</f>
        <v>3.7526972511492396E-4</v>
      </c>
      <c r="AC61" s="1574"/>
      <c r="AD61" s="1574"/>
      <c r="AE61" s="1574"/>
      <c r="AF61" s="1574"/>
    </row>
    <row r="62" spans="1:32" ht="13.5" thickBot="1">
      <c r="A62" s="1536" t="s">
        <v>1692</v>
      </c>
      <c r="B62" s="1557">
        <v>138</v>
      </c>
      <c r="C62" s="1557">
        <v>131</v>
      </c>
      <c r="D62" s="1557">
        <f t="shared" si="84"/>
        <v>131</v>
      </c>
      <c r="E62" s="1557">
        <v>155</v>
      </c>
      <c r="F62" s="1641">
        <v>114</v>
      </c>
      <c r="G62" s="2007">
        <v>2005</v>
      </c>
      <c r="H62" s="1551">
        <v>4</v>
      </c>
      <c r="I62" s="1551">
        <v>3.29</v>
      </c>
      <c r="J62" s="1551">
        <v>1.44</v>
      </c>
      <c r="K62" s="1551">
        <v>0.66</v>
      </c>
      <c r="L62" s="1552">
        <v>7.78</v>
      </c>
      <c r="N62" s="1653">
        <f t="shared" ref="N62:O65" si="110">I62/SUM(I$62:I$65)*(B$62/B$66-1)</f>
        <v>9.9404603216919935E-2</v>
      </c>
      <c r="O62" s="1573">
        <f t="shared" si="110"/>
        <v>4.7636550760861554E-2</v>
      </c>
      <c r="P62" s="1573">
        <f t="shared" ref="P62:Q65" si="111">K62/SUM(K$62:K$65)*(E$62/E$66-1)</f>
        <v>8.3756345177664976E-2</v>
      </c>
      <c r="Q62" s="1573">
        <f t="shared" si="111"/>
        <v>5.2148766661559584E-2</v>
      </c>
      <c r="R62" s="1544"/>
      <c r="S62" s="1658"/>
      <c r="T62" s="1545"/>
      <c r="U62" s="1545"/>
      <c r="V62" s="1545"/>
      <c r="AC62" s="1574"/>
      <c r="AD62" s="1574"/>
      <c r="AE62" s="1574"/>
      <c r="AF62" s="1574"/>
    </row>
    <row r="63" spans="1:32">
      <c r="A63" s="1536" t="s">
        <v>1693</v>
      </c>
      <c r="B63" s="1546">
        <f t="shared" ref="B63:C65" si="112">B64+(B$62-B$66)*I63/SUM(I$62:I$65)</f>
        <v>125.9720430107527</v>
      </c>
      <c r="C63" s="1546">
        <f t="shared" si="112"/>
        <v>125.1883408071749</v>
      </c>
      <c r="D63" s="1546">
        <f t="shared" si="84"/>
        <v>125.1883408071749</v>
      </c>
      <c r="E63" s="1546">
        <f t="shared" ref="E63:F65" si="113">E64+(E$62-E$66)*K63/SUM(K$62:K$65)</f>
        <v>144.61421319796952</v>
      </c>
      <c r="F63" s="1546">
        <f t="shared" si="113"/>
        <v>108.42008196721311</v>
      </c>
      <c r="G63" s="2008">
        <v>2005</v>
      </c>
      <c r="H63" s="1554">
        <v>3</v>
      </c>
      <c r="I63" s="1554">
        <v>0.46</v>
      </c>
      <c r="J63" s="1554">
        <v>0.32</v>
      </c>
      <c r="K63" s="1554">
        <v>0.42</v>
      </c>
      <c r="L63" s="1555">
        <v>0.64</v>
      </c>
      <c r="N63" s="1653">
        <f t="shared" si="110"/>
        <v>1.3898515951301874E-2</v>
      </c>
      <c r="O63" s="1573">
        <f t="shared" si="110"/>
        <v>1.0585900169080346E-2</v>
      </c>
      <c r="P63" s="1573">
        <f t="shared" si="111"/>
        <v>5.3299492385786795E-2</v>
      </c>
      <c r="Q63" s="1573">
        <f t="shared" si="111"/>
        <v>4.2898728359123568E-3</v>
      </c>
      <c r="R63" s="1544"/>
      <c r="S63" s="1648"/>
      <c r="T63" s="1543"/>
      <c r="U63" s="1543"/>
      <c r="V63" s="1543"/>
      <c r="AC63" s="1574"/>
      <c r="AD63" s="1574"/>
      <c r="AE63" s="1574"/>
      <c r="AF63" s="1574"/>
    </row>
    <row r="64" spans="1:32">
      <c r="A64" s="1536" t="s">
        <v>1694</v>
      </c>
      <c r="B64" s="1546">
        <f t="shared" si="112"/>
        <v>124.29032258064517</v>
      </c>
      <c r="C64" s="1546">
        <f t="shared" si="112"/>
        <v>123.8968609865471</v>
      </c>
      <c r="D64" s="1546">
        <f t="shared" si="84"/>
        <v>123.8968609865471</v>
      </c>
      <c r="E64" s="1546">
        <f t="shared" si="113"/>
        <v>138.00507614213197</v>
      </c>
      <c r="F64" s="1546">
        <f t="shared" si="113"/>
        <v>107.96106557377048</v>
      </c>
      <c r="G64" s="2008">
        <v>2005</v>
      </c>
      <c r="H64" s="1540">
        <v>2</v>
      </c>
      <c r="I64" s="1540">
        <v>0.47</v>
      </c>
      <c r="J64" s="1540">
        <v>0.1</v>
      </c>
      <c r="K64" s="1540">
        <v>0.52</v>
      </c>
      <c r="L64" s="1548">
        <v>0.79</v>
      </c>
      <c r="N64" s="1653">
        <f t="shared" si="110"/>
        <v>1.420065760241713E-2</v>
      </c>
      <c r="O64" s="1573">
        <f t="shared" si="110"/>
        <v>3.3080938028376083E-3</v>
      </c>
      <c r="P64" s="1573">
        <f t="shared" si="111"/>
        <v>6.598984771573603E-2</v>
      </c>
      <c r="Q64" s="1573">
        <f t="shared" si="111"/>
        <v>5.2953117818293153E-3</v>
      </c>
      <c r="R64" s="1544"/>
      <c r="S64" s="1648"/>
      <c r="T64" s="1543"/>
      <c r="U64" s="1543"/>
      <c r="V64" s="1543"/>
      <c r="AC64" s="1574"/>
      <c r="AD64" s="1574"/>
      <c r="AE64" s="1574"/>
      <c r="AF64" s="1574"/>
    </row>
    <row r="65" spans="1:32">
      <c r="A65" s="1536" t="s">
        <v>1695</v>
      </c>
      <c r="B65" s="1546">
        <f t="shared" si="112"/>
        <v>122.57204301075269</v>
      </c>
      <c r="C65" s="1546">
        <f t="shared" si="112"/>
        <v>123.4932735426009</v>
      </c>
      <c r="D65" s="1546">
        <f t="shared" si="84"/>
        <v>123.4932735426009</v>
      </c>
      <c r="E65" s="1546">
        <f t="shared" si="113"/>
        <v>129.82233502538071</v>
      </c>
      <c r="F65" s="1546">
        <f t="shared" si="113"/>
        <v>107.39446721311475</v>
      </c>
      <c r="G65" s="2009">
        <v>2005</v>
      </c>
      <c r="H65" s="1539">
        <v>1</v>
      </c>
      <c r="I65" s="1539">
        <v>0.43</v>
      </c>
      <c r="J65" s="1539">
        <v>0.37</v>
      </c>
      <c r="K65" s="1539">
        <v>0.37</v>
      </c>
      <c r="L65" s="1547">
        <v>0.55000000000000004</v>
      </c>
      <c r="N65" s="1654">
        <f t="shared" si="110"/>
        <v>1.2992090997956099E-2</v>
      </c>
      <c r="O65" s="1575">
        <f t="shared" si="110"/>
        <v>1.2239947070499151E-2</v>
      </c>
      <c r="P65" s="1575">
        <f t="shared" si="111"/>
        <v>4.6954314720812178E-2</v>
      </c>
      <c r="Q65" s="1575">
        <f t="shared" si="111"/>
        <v>3.6866094683621815E-3</v>
      </c>
      <c r="R65" s="1544"/>
      <c r="S65" s="1650">
        <f>B65/B66-1</f>
        <v>1.2992090997956174E-2</v>
      </c>
      <c r="T65" s="1549">
        <f>C65/C66-1</f>
        <v>1.2239947070499246E-2</v>
      </c>
      <c r="U65" s="1549">
        <f>E65/E66-1</f>
        <v>4.695431472081224E-2</v>
      </c>
      <c r="V65" s="1549">
        <f>F65/F66-1</f>
        <v>3.6866094683620787E-3</v>
      </c>
      <c r="AC65" s="1574"/>
      <c r="AD65" s="1574"/>
      <c r="AE65" s="1574"/>
      <c r="AF65" s="1574"/>
    </row>
    <row r="66" spans="1:32" ht="13.5" thickBot="1">
      <c r="A66" s="1536" t="s">
        <v>1696</v>
      </c>
      <c r="B66" s="1562">
        <v>121</v>
      </c>
      <c r="C66" s="1562">
        <v>122</v>
      </c>
      <c r="D66" s="1562">
        <f t="shared" si="84"/>
        <v>122</v>
      </c>
      <c r="E66" s="1562">
        <v>124</v>
      </c>
      <c r="F66" s="1642">
        <v>107</v>
      </c>
      <c r="G66" s="2007">
        <v>2004</v>
      </c>
      <c r="H66" s="1551">
        <v>4</v>
      </c>
      <c r="I66" s="1551">
        <v>0.33</v>
      </c>
      <c r="J66" s="1551">
        <v>0.5</v>
      </c>
      <c r="K66" s="1551">
        <v>0.5</v>
      </c>
      <c r="L66" s="1552">
        <v>0</v>
      </c>
      <c r="N66" s="1653">
        <f t="shared" ref="N66:O69" si="114">I66/SUM(I$66:I$69)*(B$66/B$70-1)</f>
        <v>1.3391770148526898E-2</v>
      </c>
      <c r="O66" s="1573">
        <f t="shared" si="114"/>
        <v>1.063264221158958E-2</v>
      </c>
      <c r="P66" s="1573">
        <f t="shared" ref="P66:Q69" si="115">K66/SUM(K$66:K$69)*(E$66/E$70-1)</f>
        <v>2.2244466688911134E-2</v>
      </c>
      <c r="Q66" s="1573">
        <f t="shared" si="115"/>
        <v>0</v>
      </c>
      <c r="R66" s="1544"/>
      <c r="S66" s="1658"/>
      <c r="T66" s="1545"/>
      <c r="U66" s="1545"/>
      <c r="V66" s="1545"/>
      <c r="AC66" s="1574"/>
      <c r="AD66" s="1574"/>
      <c r="AE66" s="1574"/>
      <c r="AF66" s="1574"/>
    </row>
    <row r="67" spans="1:32">
      <c r="A67" s="1536" t="s">
        <v>1697</v>
      </c>
      <c r="B67" s="1546">
        <f t="shared" ref="B67:C69" si="116">B68+(B$66-B$70)*I67/SUM(I$66:I$69)</f>
        <v>119.51351351351352</v>
      </c>
      <c r="C67" s="1546">
        <f t="shared" si="116"/>
        <v>120.7878787878788</v>
      </c>
      <c r="D67" s="1546">
        <f t="shared" si="84"/>
        <v>120.7878787878788</v>
      </c>
      <c r="E67" s="1546">
        <f t="shared" ref="E67:F69" si="117">E68+(E$66-E$70)*K67/SUM(K$66:K$69)</f>
        <v>121.5975975975976</v>
      </c>
      <c r="F67" s="1546">
        <f t="shared" si="117"/>
        <v>107</v>
      </c>
      <c r="G67" s="2008">
        <v>2004</v>
      </c>
      <c r="H67" s="1554">
        <v>3</v>
      </c>
      <c r="I67" s="1554">
        <v>0.56000000000000005</v>
      </c>
      <c r="J67" s="1554">
        <v>0.8</v>
      </c>
      <c r="K67" s="1554">
        <v>0.83</v>
      </c>
      <c r="L67" s="1555">
        <v>0.06</v>
      </c>
      <c r="N67" s="1653">
        <f t="shared" si="114"/>
        <v>2.2725428130833527E-2</v>
      </c>
      <c r="O67" s="1573">
        <f t="shared" si="114"/>
        <v>1.7012227538543329E-2</v>
      </c>
      <c r="P67" s="1573">
        <f t="shared" si="115"/>
        <v>3.6925814703592477E-2</v>
      </c>
      <c r="Q67" s="1573">
        <f t="shared" si="115"/>
        <v>2.8846153846153744E-2</v>
      </c>
      <c r="R67" s="1544"/>
      <c r="S67" s="1648"/>
      <c r="T67" s="1543"/>
      <c r="U67" s="1543"/>
      <c r="V67" s="1543"/>
      <c r="AC67" s="1574"/>
      <c r="AD67" s="1574"/>
      <c r="AE67" s="1574"/>
      <c r="AF67" s="1574"/>
    </row>
    <row r="68" spans="1:32">
      <c r="A68" s="1536" t="s">
        <v>1698</v>
      </c>
      <c r="B68" s="1546">
        <f t="shared" si="116"/>
        <v>116.99099099099099</v>
      </c>
      <c r="C68" s="1546">
        <f t="shared" si="116"/>
        <v>118.84848484848486</v>
      </c>
      <c r="D68" s="1546">
        <f t="shared" si="84"/>
        <v>118.84848484848486</v>
      </c>
      <c r="E68" s="1546">
        <f t="shared" si="117"/>
        <v>117.60960960960961</v>
      </c>
      <c r="F68" s="1546">
        <f t="shared" si="117"/>
        <v>104</v>
      </c>
      <c r="G68" s="2008">
        <v>2004</v>
      </c>
      <c r="H68" s="1540">
        <v>2</v>
      </c>
      <c r="I68" s="1540">
        <v>1</v>
      </c>
      <c r="J68" s="1540">
        <v>1.5</v>
      </c>
      <c r="K68" s="1540">
        <v>1.5</v>
      </c>
      <c r="L68" s="1548">
        <v>0</v>
      </c>
      <c r="N68" s="1653">
        <f t="shared" si="114"/>
        <v>4.0581121662202721E-2</v>
      </c>
      <c r="O68" s="1573">
        <f t="shared" si="114"/>
        <v>3.1897926634768738E-2</v>
      </c>
      <c r="P68" s="1573">
        <f t="shared" si="115"/>
        <v>6.6733400066733395E-2</v>
      </c>
      <c r="Q68" s="1573">
        <f t="shared" si="115"/>
        <v>0</v>
      </c>
      <c r="R68" s="1544"/>
      <c r="S68" s="1648"/>
      <c r="T68" s="1543"/>
      <c r="U68" s="1543"/>
      <c r="V68" s="1543"/>
      <c r="AC68" s="1574"/>
      <c r="AD68" s="1574"/>
      <c r="AE68" s="1574"/>
      <c r="AF68" s="1574"/>
    </row>
    <row r="69" spans="1:32" s="1567" customFormat="1" ht="13.5" thickBot="1">
      <c r="A69" s="1536" t="s">
        <v>1699</v>
      </c>
      <c r="B69" s="1564">
        <f t="shared" si="116"/>
        <v>112.48648648648648</v>
      </c>
      <c r="C69" s="1564">
        <f t="shared" si="116"/>
        <v>115.21212121212122</v>
      </c>
      <c r="D69" s="1564">
        <f t="shared" si="84"/>
        <v>115.21212121212122</v>
      </c>
      <c r="E69" s="1564">
        <f t="shared" si="117"/>
        <v>110.4024024024024</v>
      </c>
      <c r="F69" s="1564">
        <f t="shared" si="117"/>
        <v>104</v>
      </c>
      <c r="G69" s="2009">
        <v>2004</v>
      </c>
      <c r="H69" s="1565">
        <v>1</v>
      </c>
      <c r="I69" s="1565">
        <v>0.33</v>
      </c>
      <c r="J69" s="1565">
        <v>0.5</v>
      </c>
      <c r="K69" s="1565">
        <v>0.5</v>
      </c>
      <c r="L69" s="1566">
        <v>0</v>
      </c>
      <c r="N69" s="1655">
        <f t="shared" si="114"/>
        <v>1.3391770148526898E-2</v>
      </c>
      <c r="O69" s="1576">
        <f t="shared" si="114"/>
        <v>1.063264221158958E-2</v>
      </c>
      <c r="P69" s="1576">
        <f t="shared" si="115"/>
        <v>2.2244466688911134E-2</v>
      </c>
      <c r="Q69" s="1576">
        <f t="shared" si="115"/>
        <v>0</v>
      </c>
      <c r="R69" s="1569"/>
      <c r="S69" s="1652">
        <f>B69/B70-1</f>
        <v>1.3391770148526883E-2</v>
      </c>
      <c r="T69" s="1568">
        <f>C69/C70-1</f>
        <v>1.063264221158966E-2</v>
      </c>
      <c r="U69" s="1568">
        <f>E69/E70-1</f>
        <v>2.2244466688911224E-2</v>
      </c>
      <c r="V69" s="1568">
        <f>F69/F70-1</f>
        <v>0</v>
      </c>
      <c r="AC69" s="1577"/>
      <c r="AD69" s="1577"/>
      <c r="AE69" s="1577"/>
      <c r="AF69" s="1577"/>
    </row>
    <row r="70" spans="1:32" ht="13.5" thickBot="1">
      <c r="A70" s="1536" t="s">
        <v>1700</v>
      </c>
      <c r="B70" s="1578">
        <v>111</v>
      </c>
      <c r="C70" s="1578">
        <v>114</v>
      </c>
      <c r="D70" s="1578">
        <f t="shared" si="84"/>
        <v>114</v>
      </c>
      <c r="E70" s="1578">
        <v>108</v>
      </c>
      <c r="F70" s="1643">
        <v>104</v>
      </c>
      <c r="G70" s="2007">
        <v>2003</v>
      </c>
      <c r="H70" s="1571">
        <v>4</v>
      </c>
      <c r="I70" s="1579"/>
      <c r="J70" s="1579"/>
      <c r="K70" s="1579"/>
      <c r="L70" s="1579"/>
      <c r="N70" s="1656"/>
      <c r="O70" s="1579"/>
      <c r="P70" s="1579"/>
      <c r="Q70" s="1579"/>
      <c r="S70" s="1656"/>
      <c r="T70" s="1579"/>
      <c r="U70" s="1579"/>
      <c r="V70" s="1579"/>
      <c r="AC70" s="1574"/>
      <c r="AD70" s="1574"/>
      <c r="AE70" s="1574"/>
      <c r="AF70" s="1574"/>
    </row>
    <row r="71" spans="1:32">
      <c r="A71" s="1536" t="s">
        <v>1701</v>
      </c>
      <c r="B71" s="1580">
        <f t="shared" ref="B71:C73" si="118">B72+(B$70-B$74)/4</f>
        <v>109.75</v>
      </c>
      <c r="C71" s="1580">
        <f t="shared" si="118"/>
        <v>112.25</v>
      </c>
      <c r="D71" s="1580">
        <f t="shared" si="84"/>
        <v>112.25</v>
      </c>
      <c r="E71" s="1580">
        <f t="shared" ref="E71:F73" si="119">E72+(E$70-E$74)/4</f>
        <v>107.25</v>
      </c>
      <c r="F71" s="1580">
        <f t="shared" si="119"/>
        <v>103.5</v>
      </c>
      <c r="G71" s="2008">
        <v>2003</v>
      </c>
      <c r="H71" s="1554">
        <v>3</v>
      </c>
      <c r="I71" s="1579"/>
      <c r="J71" s="1579"/>
      <c r="K71" s="1579"/>
      <c r="L71" s="1579"/>
      <c r="AC71" s="1574"/>
      <c r="AD71" s="1574"/>
      <c r="AE71" s="1574"/>
      <c r="AF71" s="1574"/>
    </row>
    <row r="72" spans="1:32">
      <c r="A72" s="1536" t="s">
        <v>1702</v>
      </c>
      <c r="B72" s="1580">
        <f t="shared" si="118"/>
        <v>108.5</v>
      </c>
      <c r="C72" s="1580">
        <f t="shared" si="118"/>
        <v>110.5</v>
      </c>
      <c r="D72" s="1580">
        <f t="shared" si="84"/>
        <v>110.5</v>
      </c>
      <c r="E72" s="1580">
        <f t="shared" si="119"/>
        <v>106.5</v>
      </c>
      <c r="F72" s="1580">
        <f t="shared" si="119"/>
        <v>103</v>
      </c>
      <c r="G72" s="2008">
        <v>2003</v>
      </c>
      <c r="H72" s="1540">
        <v>2</v>
      </c>
      <c r="I72" s="1579"/>
      <c r="J72" s="1579"/>
      <c r="K72" s="1579"/>
      <c r="L72" s="1579"/>
      <c r="AC72" s="1574"/>
      <c r="AD72" s="1574"/>
      <c r="AE72" s="1574"/>
      <c r="AF72" s="1574"/>
    </row>
    <row r="73" spans="1:32" ht="13.5" thickBot="1">
      <c r="A73" s="1536" t="s">
        <v>1703</v>
      </c>
      <c r="B73" s="1580">
        <f t="shared" si="118"/>
        <v>107.25</v>
      </c>
      <c r="C73" s="1580">
        <f t="shared" si="118"/>
        <v>108.75</v>
      </c>
      <c r="D73" s="1580">
        <f t="shared" si="84"/>
        <v>108.75</v>
      </c>
      <c r="E73" s="1580">
        <f t="shared" si="119"/>
        <v>105.75</v>
      </c>
      <c r="F73" s="1580">
        <f t="shared" si="119"/>
        <v>102.5</v>
      </c>
      <c r="G73" s="2009">
        <v>2003</v>
      </c>
      <c r="H73" s="1581">
        <v>1</v>
      </c>
      <c r="I73" s="1579"/>
      <c r="J73" s="1579"/>
      <c r="K73" s="1579"/>
      <c r="L73" s="1579"/>
      <c r="S73" s="1648"/>
      <c r="T73" s="1543"/>
      <c r="U73" s="1543"/>
      <c r="AC73" s="1574"/>
      <c r="AD73" s="1574"/>
      <c r="AE73" s="1574"/>
      <c r="AF73" s="1574"/>
    </row>
    <row r="74" spans="1:32" ht="13.5" thickBot="1">
      <c r="A74" s="1536" t="s">
        <v>1704</v>
      </c>
      <c r="B74" s="1582">
        <v>106</v>
      </c>
      <c r="C74" s="1582">
        <v>107</v>
      </c>
      <c r="D74" s="1582">
        <f t="shared" si="84"/>
        <v>107</v>
      </c>
      <c r="E74" s="1582">
        <v>105</v>
      </c>
      <c r="F74" s="1644">
        <v>102</v>
      </c>
      <c r="G74" s="2007">
        <v>2002</v>
      </c>
      <c r="H74" s="1551">
        <v>4</v>
      </c>
      <c r="I74" s="1579"/>
      <c r="J74" s="1579"/>
      <c r="K74" s="1579"/>
      <c r="L74" s="1579"/>
      <c r="N74" s="1656"/>
      <c r="O74" s="1579"/>
      <c r="P74" s="1579"/>
      <c r="Q74" s="1579"/>
      <c r="S74" s="1656"/>
      <c r="T74" s="1579"/>
      <c r="U74" s="1579"/>
      <c r="V74" s="1579"/>
      <c r="AC74" s="1574"/>
      <c r="AD74" s="1574"/>
      <c r="AE74" s="1574"/>
      <c r="AF74" s="1574"/>
    </row>
    <row r="75" spans="1:32">
      <c r="A75" s="1536" t="s">
        <v>1705</v>
      </c>
      <c r="B75" s="1580">
        <f t="shared" ref="B75:C77" si="120">B76+(B$74-B$78)/4</f>
        <v>105</v>
      </c>
      <c r="C75" s="1580">
        <f t="shared" si="120"/>
        <v>106</v>
      </c>
      <c r="D75" s="1580">
        <f t="shared" si="84"/>
        <v>106</v>
      </c>
      <c r="E75" s="1580">
        <f t="shared" ref="E75:F77" si="121">E76+(E$74-E$78)/4</f>
        <v>104.5</v>
      </c>
      <c r="F75" s="1580">
        <f t="shared" si="121"/>
        <v>101.5</v>
      </c>
      <c r="G75" s="2008">
        <v>2002</v>
      </c>
      <c r="H75" s="1554">
        <v>3</v>
      </c>
      <c r="I75" s="1579"/>
      <c r="J75" s="1579"/>
      <c r="K75" s="1579"/>
      <c r="L75" s="1579"/>
      <c r="AC75" s="1574"/>
      <c r="AD75" s="1574"/>
      <c r="AE75" s="1574"/>
      <c r="AF75" s="1574"/>
    </row>
    <row r="76" spans="1:32">
      <c r="A76" s="1536" t="s">
        <v>1706</v>
      </c>
      <c r="B76" s="1580">
        <f t="shared" si="120"/>
        <v>104</v>
      </c>
      <c r="C76" s="1580">
        <f t="shared" si="120"/>
        <v>105</v>
      </c>
      <c r="D76" s="1580">
        <f t="shared" si="84"/>
        <v>105</v>
      </c>
      <c r="E76" s="1580">
        <f t="shared" si="121"/>
        <v>104</v>
      </c>
      <c r="F76" s="1580">
        <f t="shared" si="121"/>
        <v>101</v>
      </c>
      <c r="G76" s="2008">
        <v>2002</v>
      </c>
      <c r="H76" s="1540">
        <v>2</v>
      </c>
      <c r="I76" s="1579"/>
      <c r="J76" s="1579"/>
      <c r="K76" s="1579"/>
      <c r="L76" s="1579"/>
      <c r="AC76" s="1574"/>
      <c r="AD76" s="1574"/>
      <c r="AE76" s="1574"/>
      <c r="AF76" s="1574"/>
    </row>
    <row r="77" spans="1:32" s="1605" customFormat="1" ht="13.5" thickBot="1">
      <c r="A77" s="1601" t="s">
        <v>1707</v>
      </c>
      <c r="B77" s="1610">
        <f t="shared" si="120"/>
        <v>103</v>
      </c>
      <c r="C77" s="1610">
        <f t="shared" si="120"/>
        <v>104</v>
      </c>
      <c r="D77" s="1610">
        <f t="shared" si="84"/>
        <v>104</v>
      </c>
      <c r="E77" s="1610">
        <f t="shared" si="121"/>
        <v>103.5</v>
      </c>
      <c r="F77" s="1610">
        <f t="shared" si="121"/>
        <v>100.5</v>
      </c>
      <c r="G77" s="2009">
        <v>2002</v>
      </c>
      <c r="H77" s="1611">
        <v>1</v>
      </c>
      <c r="I77" s="1612"/>
      <c r="J77" s="1612"/>
      <c r="K77" s="1612"/>
      <c r="L77" s="1612"/>
      <c r="N77" s="1657"/>
      <c r="S77" s="1657"/>
      <c r="AC77" s="1613"/>
      <c r="AD77" s="1613"/>
      <c r="AE77" s="1613"/>
      <c r="AF77" s="1613"/>
    </row>
    <row r="78" spans="1:32" ht="13.5" thickBot="1">
      <c r="B78" s="1583">
        <v>102</v>
      </c>
      <c r="C78" s="1584">
        <v>103</v>
      </c>
      <c r="D78" s="1584">
        <f t="shared" si="84"/>
        <v>103</v>
      </c>
      <c r="E78" s="1584">
        <v>103</v>
      </c>
      <c r="F78" s="1645">
        <v>100</v>
      </c>
      <c r="I78" s="1579"/>
      <c r="J78" s="1579"/>
      <c r="K78" s="1579"/>
      <c r="L78" s="1579"/>
      <c r="N78" s="1656"/>
      <c r="O78" s="1579"/>
      <c r="P78" s="1579"/>
      <c r="Q78" s="1579"/>
      <c r="S78" s="1656"/>
      <c r="T78" s="1579"/>
      <c r="U78" s="1579"/>
      <c r="V78" s="1579"/>
      <c r="AC78" s="1545"/>
      <c r="AD78" s="1545"/>
      <c r="AE78" s="1545"/>
      <c r="AF78" s="1545"/>
    </row>
    <row r="80" spans="1:32" s="1665" customFormat="1">
      <c r="A80" s="1664" t="s">
        <v>1714</v>
      </c>
      <c r="G80" s="1666"/>
      <c r="N80" s="1666"/>
      <c r="S80" s="1666"/>
    </row>
    <row r="81" spans="1:29" s="1665" customFormat="1">
      <c r="A81" s="1665" t="s">
        <v>1715</v>
      </c>
      <c r="G81" s="1666"/>
      <c r="N81" s="1666"/>
      <c r="S81" s="1666"/>
    </row>
    <row r="82" spans="1:29" s="1665" customFormat="1">
      <c r="A82" s="1665" t="s">
        <v>1716</v>
      </c>
      <c r="G82" s="1666"/>
      <c r="I82" s="1667"/>
      <c r="J82" s="1667"/>
      <c r="K82" s="1667"/>
      <c r="L82" s="1667"/>
      <c r="N82" s="1668"/>
      <c r="O82" s="1667"/>
      <c r="P82" s="1667"/>
      <c r="Q82" s="1667"/>
      <c r="S82" s="1668"/>
      <c r="T82" s="1667"/>
      <c r="U82" s="1667"/>
      <c r="V82" s="1667"/>
    </row>
    <row r="83" spans="1:29" s="1665" customFormat="1">
      <c r="A83" s="1665" t="s">
        <v>1717</v>
      </c>
      <c r="G83" s="1666"/>
      <c r="N83" s="1666"/>
      <c r="S83" s="1666"/>
    </row>
    <row r="90" spans="1:29" ht="13.5" thickBot="1"/>
    <row r="91" spans="1:29" ht="24">
      <c r="S91" s="1660" t="s">
        <v>1708</v>
      </c>
      <c r="T91" s="1585" t="s">
        <v>1709</v>
      </c>
      <c r="U91" s="1585" t="s">
        <v>1710</v>
      </c>
      <c r="V91" s="1585" t="s">
        <v>1711</v>
      </c>
      <c r="W91" s="1586" t="s">
        <v>1712</v>
      </c>
      <c r="X91" s="1587">
        <v>2006</v>
      </c>
      <c r="Y91" s="1588">
        <v>4</v>
      </c>
      <c r="Z91" s="1588">
        <v>3.79</v>
      </c>
      <c r="AA91" s="1588">
        <v>2.21</v>
      </c>
      <c r="AB91" s="1588">
        <v>5.65</v>
      </c>
      <c r="AC91" s="1589">
        <v>5.41</v>
      </c>
    </row>
    <row r="92" spans="1:29">
      <c r="N92" s="1658"/>
      <c r="O92" s="1545"/>
      <c r="P92" s="1545"/>
      <c r="Q92" s="1545"/>
      <c r="S92" s="1661">
        <v>2006</v>
      </c>
      <c r="T92" s="1591">
        <v>15.1</v>
      </c>
      <c r="U92" s="1591">
        <v>7.43</v>
      </c>
      <c r="V92" s="1591">
        <v>26.26</v>
      </c>
      <c r="W92" s="1592">
        <v>7.6</v>
      </c>
      <c r="X92" s="1593">
        <v>2006</v>
      </c>
      <c r="Y92" s="1594">
        <v>3</v>
      </c>
      <c r="Z92" s="1594">
        <v>0.92</v>
      </c>
      <c r="AA92" s="1594">
        <v>1.08</v>
      </c>
      <c r="AB92" s="1594">
        <v>0.73</v>
      </c>
      <c r="AC92" s="1595">
        <v>1.08</v>
      </c>
    </row>
    <row r="93" spans="1:29">
      <c r="N93" s="1658"/>
      <c r="O93" s="1545"/>
      <c r="P93" s="1545"/>
      <c r="Q93" s="1545"/>
      <c r="S93" s="1662">
        <v>2005</v>
      </c>
      <c r="T93" s="1594">
        <v>13.9</v>
      </c>
      <c r="U93" s="1594">
        <v>7.49</v>
      </c>
      <c r="V93" s="1594">
        <v>24.92</v>
      </c>
      <c r="W93" s="1595">
        <v>6.51</v>
      </c>
      <c r="X93" s="1590">
        <v>2006</v>
      </c>
      <c r="Y93" s="1591">
        <v>2</v>
      </c>
      <c r="Z93" s="1591">
        <v>0.96</v>
      </c>
      <c r="AA93" s="1591">
        <v>0.25</v>
      </c>
      <c r="AB93" s="1591">
        <v>1.9</v>
      </c>
      <c r="AC93" s="1592">
        <v>0.95</v>
      </c>
    </row>
    <row r="94" spans="1:29" ht="13.5" thickBot="1">
      <c r="N94" s="1658"/>
      <c r="O94" s="1545"/>
      <c r="P94" s="1545"/>
      <c r="Q94" s="1545"/>
      <c r="S94" s="1661">
        <v>2004</v>
      </c>
      <c r="T94" s="1591">
        <v>9.48</v>
      </c>
      <c r="U94" s="1591">
        <v>7.2</v>
      </c>
      <c r="V94" s="1591">
        <v>14.68</v>
      </c>
      <c r="W94" s="1592">
        <v>2.2000000000000002</v>
      </c>
      <c r="X94" s="1596">
        <v>2006</v>
      </c>
      <c r="Y94" s="1597">
        <v>1</v>
      </c>
      <c r="Z94" s="1597">
        <v>2.29</v>
      </c>
      <c r="AA94" s="1597">
        <v>3.72</v>
      </c>
      <c r="AB94" s="1597">
        <v>0.75</v>
      </c>
      <c r="AC94" s="1598">
        <v>0.04</v>
      </c>
    </row>
    <row r="95" spans="1:29">
      <c r="N95" s="1658"/>
      <c r="O95" s="1545"/>
      <c r="P95" s="1545"/>
      <c r="Q95" s="1545"/>
      <c r="S95" s="1662">
        <v>2003</v>
      </c>
      <c r="T95" s="1594">
        <v>4.5</v>
      </c>
      <c r="U95" s="1594">
        <v>6.12</v>
      </c>
      <c r="V95" s="1594">
        <v>2.34</v>
      </c>
      <c r="W95" s="1595">
        <v>2.36</v>
      </c>
    </row>
    <row r="96" spans="1:29" ht="13.5" thickBot="1">
      <c r="N96" s="1658"/>
      <c r="O96" s="1545"/>
      <c r="P96" s="1545"/>
      <c r="Q96" s="1545"/>
      <c r="S96" s="1663">
        <v>2002</v>
      </c>
      <c r="T96" s="1599">
        <v>3.59</v>
      </c>
      <c r="U96" s="1599">
        <v>4.54</v>
      </c>
      <c r="V96" s="1599">
        <v>2.5499999999999998</v>
      </c>
      <c r="W96" s="1600">
        <v>1.52</v>
      </c>
    </row>
    <row r="97" spans="14:17">
      <c r="N97" s="1658"/>
      <c r="O97" s="1545"/>
      <c r="P97" s="1545"/>
      <c r="Q97" s="1545"/>
    </row>
    <row r="98" spans="14:17">
      <c r="N98" s="1658"/>
      <c r="O98" s="1545"/>
      <c r="P98" s="1545"/>
      <c r="Q98" s="1545"/>
    </row>
    <row r="99" spans="14:17">
      <c r="N99" s="1658"/>
      <c r="O99" s="1545"/>
      <c r="P99" s="1545"/>
      <c r="Q99" s="1545"/>
    </row>
    <row r="100" spans="14:17">
      <c r="N100" s="1658"/>
      <c r="O100" s="1545"/>
      <c r="P100" s="1545"/>
      <c r="Q100" s="1545"/>
    </row>
    <row r="101" spans="14:17">
      <c r="N101" s="1658"/>
      <c r="O101" s="1545"/>
      <c r="P101" s="1545"/>
      <c r="Q101" s="1545"/>
    </row>
    <row r="102" spans="14:17">
      <c r="N102" s="1658"/>
      <c r="O102" s="1545"/>
      <c r="P102" s="1545"/>
      <c r="Q102" s="1545"/>
    </row>
    <row r="103" spans="14:17">
      <c r="N103" s="1658"/>
      <c r="O103" s="1545"/>
      <c r="P103" s="1545"/>
      <c r="Q103" s="1545"/>
    </row>
    <row r="104" spans="14:17">
      <c r="N104" s="1658"/>
      <c r="O104" s="1545"/>
      <c r="P104" s="1545"/>
      <c r="Q104" s="1545"/>
    </row>
    <row r="105" spans="14:17">
      <c r="N105" s="1658"/>
      <c r="O105" s="1545"/>
      <c r="P105" s="1545"/>
      <c r="Q105" s="1545"/>
    </row>
    <row r="106" spans="14:17">
      <c r="N106" s="1658"/>
      <c r="O106" s="1545"/>
      <c r="P106" s="1545"/>
      <c r="Q106" s="1545"/>
    </row>
    <row r="107" spans="14:17">
      <c r="N107" s="1658"/>
      <c r="O107" s="1545"/>
      <c r="P107" s="1545"/>
      <c r="Q107" s="1545"/>
    </row>
    <row r="108" spans="14:17">
      <c r="N108" s="1658"/>
      <c r="O108" s="1545"/>
      <c r="P108" s="1545"/>
      <c r="Q108" s="1545"/>
    </row>
    <row r="109" spans="14:17">
      <c r="N109" s="1658"/>
      <c r="O109" s="1545"/>
      <c r="P109" s="1545"/>
      <c r="Q109" s="1545"/>
    </row>
    <row r="110" spans="14:17">
      <c r="N110" s="1658"/>
      <c r="O110" s="1545"/>
      <c r="P110" s="1545"/>
      <c r="Q110" s="1545"/>
    </row>
    <row r="111" spans="14:17">
      <c r="N111" s="1658"/>
      <c r="O111" s="1545"/>
      <c r="P111" s="1545"/>
      <c r="Q111" s="1545"/>
    </row>
    <row r="112" spans="14:17">
      <c r="N112" s="1658"/>
      <c r="O112" s="1545"/>
      <c r="P112" s="1545"/>
      <c r="Q112" s="1545"/>
    </row>
  </sheetData>
  <sheetProtection sheet="1" objects="1" scenarios="1" formatCells="0" formatColumns="0" formatRows="0"/>
  <mergeCells count="20">
    <mergeCell ref="G70:G73"/>
    <mergeCell ref="G74:G77"/>
    <mergeCell ref="G46:G49"/>
    <mergeCell ref="G50:G53"/>
    <mergeCell ref="G54:G57"/>
    <mergeCell ref="G58:G61"/>
    <mergeCell ref="G62:G65"/>
    <mergeCell ref="G66:G69"/>
    <mergeCell ref="S2:V2"/>
    <mergeCell ref="G42:G45"/>
    <mergeCell ref="G18:G21"/>
    <mergeCell ref="G22:G25"/>
    <mergeCell ref="G26:G29"/>
    <mergeCell ref="G30:G33"/>
    <mergeCell ref="G34:G37"/>
    <mergeCell ref="G38:G41"/>
    <mergeCell ref="G2:L2"/>
    <mergeCell ref="N2:Q2"/>
    <mergeCell ref="G10:G13"/>
    <mergeCell ref="G14:G17"/>
  </mergeCells>
  <phoneticPr fontId="109" type="noConversion"/>
  <pageMargins left="0.7" right="0.7" top="0.75" bottom="0.75" header="0.3" footer="0.3"/>
  <pageSetup paperSize="9" scale="75" orientation="landscape" r:id="rId1"/>
  <rowBreaks count="1" manualBreakCount="1">
    <brk id="53" max="21" man="1"/>
  </rowBreaks>
  <colBreaks count="1" manualBreakCount="1">
    <brk id="22" max="70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49"/>
    <col min="2" max="3" width="9" style="246"/>
    <col min="4" max="5" width="14" style="246" customWidth="1"/>
    <col min="6" max="6" width="9" style="246"/>
    <col min="7" max="7" width="9" style="1475" customWidth="1"/>
    <col min="8" max="8" width="9" style="246" customWidth="1"/>
    <col min="9" max="10" width="14" style="246" customWidth="1"/>
    <col min="11" max="11" width="9" style="246" customWidth="1"/>
    <col min="12" max="12" width="9" style="1475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36" t="s">
        <v>972</v>
      </c>
      <c r="H1" s="249">
        <f>'2014基准地价'!M18</f>
        <v>9</v>
      </c>
      <c r="I1" s="1436" t="s">
        <v>1647</v>
      </c>
      <c r="J1" s="1450" t="str">
        <f>'2014基准地价'!N19</f>
        <v>2017-1</v>
      </c>
      <c r="K1" s="298"/>
      <c r="L1" s="1448" t="s">
        <v>972</v>
      </c>
      <c r="M1" s="249">
        <f>'2002基准地价'!B24</f>
        <v>39</v>
      </c>
      <c r="N1" s="1436" t="s">
        <v>1647</v>
      </c>
      <c r="O1" s="1450" t="str">
        <f>'2002基准地价'!C25</f>
        <v>2014-3</v>
      </c>
      <c r="P1" s="299"/>
    </row>
    <row r="2" spans="1:23">
      <c r="G2" s="28">
        <f ca="1">ROUND(SUMIF(季度2014,$J$1,G4:G19),4)</f>
        <v>2.4E-2</v>
      </c>
      <c r="H2" s="28">
        <f ca="1">ROUND(SUMIF(季度2014,$J$1,H4:H19),4)</f>
        <v>2.0299999999999999E-2</v>
      </c>
      <c r="I2" s="28">
        <f ca="1">ROUND(SUMIF(季度2014,$J$1,I4:I19),4)</f>
        <v>2.0299999999999999E-2</v>
      </c>
      <c r="J2" s="28">
        <f ca="1">ROUND(SUMIF(季度2014,$J$1,J4:J19),4)</f>
        <v>2.5899999999999999E-2</v>
      </c>
      <c r="K2" s="1438">
        <f ca="1">ROUND(SUMIF(季度2014,$J$1,K4:K19),4)</f>
        <v>1.52E-2</v>
      </c>
      <c r="L2" s="1443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37" t="s">
        <v>267</v>
      </c>
      <c r="B3" s="1434" t="s">
        <v>281</v>
      </c>
      <c r="C3" s="1434" t="s">
        <v>283</v>
      </c>
      <c r="D3" s="1434" t="s">
        <v>1313</v>
      </c>
      <c r="E3" s="1434" t="s">
        <v>1360</v>
      </c>
      <c r="F3" s="1439" t="s">
        <v>2</v>
      </c>
      <c r="G3" s="1442" t="s">
        <v>281</v>
      </c>
      <c r="H3" s="1434" t="s">
        <v>0</v>
      </c>
      <c r="I3" s="1434" t="s">
        <v>1313</v>
      </c>
      <c r="J3" s="1434" t="s">
        <v>1360</v>
      </c>
      <c r="K3" s="1439" t="s">
        <v>2</v>
      </c>
      <c r="L3" s="1442" t="s">
        <v>281</v>
      </c>
      <c r="M3" s="1434" t="s">
        <v>0</v>
      </c>
      <c r="N3" s="1434" t="s">
        <v>1313</v>
      </c>
      <c r="O3" s="1434" t="s">
        <v>1360</v>
      </c>
      <c r="P3" s="1434" t="s">
        <v>2</v>
      </c>
    </row>
    <row r="4" spans="1:23">
      <c r="A4" s="681" t="s">
        <v>1598</v>
      </c>
      <c r="B4" s="621"/>
      <c r="C4" s="621"/>
      <c r="D4" s="621"/>
      <c r="E4" s="621"/>
      <c r="F4" s="1440"/>
      <c r="G4" s="1445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38">
        <f>AVERAGE(F4:F$18)</f>
        <v>1.32E-2</v>
      </c>
      <c r="L4" s="1445"/>
      <c r="M4" s="28"/>
      <c r="N4" s="28"/>
      <c r="O4" s="28"/>
      <c r="P4" s="28"/>
    </row>
    <row r="5" spans="1:23">
      <c r="A5" s="681" t="s">
        <v>1187</v>
      </c>
      <c r="B5" s="621"/>
      <c r="C5" s="621"/>
      <c r="D5" s="621"/>
      <c r="E5" s="621"/>
      <c r="F5" s="1440"/>
      <c r="G5" s="1445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38">
        <f>AVERAGE(F5:F$18)</f>
        <v>1.32E-2</v>
      </c>
      <c r="L5" s="1445"/>
      <c r="M5" s="28"/>
      <c r="N5" s="28"/>
      <c r="O5" s="28"/>
      <c r="P5" s="28"/>
    </row>
    <row r="6" spans="1:23">
      <c r="A6" s="681" t="s">
        <v>1186</v>
      </c>
      <c r="B6" s="621"/>
      <c r="C6" s="621"/>
      <c r="D6" s="621"/>
      <c r="E6" s="621"/>
      <c r="F6" s="1440"/>
      <c r="G6" s="1445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38">
        <f>AVERAGE(F6:F$18)</f>
        <v>1.32E-2</v>
      </c>
      <c r="L6" s="1445"/>
      <c r="M6" s="28"/>
      <c r="N6" s="28"/>
      <c r="O6" s="28"/>
      <c r="P6" s="28"/>
    </row>
    <row r="7" spans="1:23" ht="14.25" thickBot="1">
      <c r="A7" s="681" t="s">
        <v>1185</v>
      </c>
      <c r="B7" s="621"/>
      <c r="C7" s="621"/>
      <c r="D7" s="621"/>
      <c r="E7" s="621"/>
      <c r="F7" s="1440"/>
      <c r="G7" s="1445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38">
        <f>AVERAGE(F7:F$18)</f>
        <v>1.32E-2</v>
      </c>
      <c r="L7" s="1445"/>
      <c r="M7" s="28"/>
      <c r="N7" s="28"/>
      <c r="O7" s="28"/>
      <c r="P7" s="28"/>
    </row>
    <row r="8" spans="1:23" ht="14.25">
      <c r="A8" s="681" t="s">
        <v>280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41">
        <f>W8/100</f>
        <v>1.5700000000000002E-2</v>
      </c>
      <c r="G8" s="1445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38">
        <f>AVERAGE(F8:F$18)</f>
        <v>1.32E-2</v>
      </c>
      <c r="L8" s="1445"/>
      <c r="M8" s="28"/>
      <c r="N8" s="28"/>
      <c r="O8" s="28"/>
      <c r="P8" s="28"/>
      <c r="R8" s="1451">
        <v>2016</v>
      </c>
      <c r="S8" s="1452">
        <v>4</v>
      </c>
      <c r="T8" s="1452">
        <v>4.5599999999999996</v>
      </c>
      <c r="U8" s="1452">
        <v>2.15</v>
      </c>
      <c r="V8" s="1452">
        <v>5.32</v>
      </c>
      <c r="W8" s="1453">
        <v>1.57</v>
      </c>
    </row>
    <row r="9" spans="1:23" ht="14.25">
      <c r="A9" s="681" t="s">
        <v>279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41">
        <f t="shared" ref="F9:F59" si="4">W9/100</f>
        <v>1.9699999999999999E-2</v>
      </c>
      <c r="G9" s="1445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38">
        <f>AVERAGE(F9:F$18)</f>
        <v>1.295E-2</v>
      </c>
      <c r="L9" s="1445"/>
      <c r="M9" s="28"/>
      <c r="N9" s="28"/>
      <c r="O9" s="28"/>
      <c r="P9" s="28"/>
      <c r="R9" s="1454">
        <v>2016</v>
      </c>
      <c r="S9" s="1455">
        <v>3</v>
      </c>
      <c r="T9" s="1455">
        <v>4.12</v>
      </c>
      <c r="U9" s="1455">
        <v>2</v>
      </c>
      <c r="V9" s="1455">
        <v>4.79</v>
      </c>
      <c r="W9" s="1456">
        <v>1.97</v>
      </c>
    </row>
    <row r="10" spans="1:23" ht="14.25">
      <c r="A10" s="681" t="s">
        <v>269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41">
        <f t="shared" si="4"/>
        <v>1.41E-2</v>
      </c>
      <c r="G10" s="1445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38">
        <f>AVERAGE(F10:F$18)</f>
        <v>1.2200000000000001E-2</v>
      </c>
      <c r="L10" s="1445"/>
      <c r="M10" s="28"/>
      <c r="N10" s="28"/>
      <c r="O10" s="28"/>
      <c r="P10" s="28"/>
      <c r="R10" s="1457">
        <v>2016</v>
      </c>
      <c r="S10" s="1458">
        <v>2</v>
      </c>
      <c r="T10" s="1458">
        <v>3.85</v>
      </c>
      <c r="U10" s="1458">
        <v>1.95</v>
      </c>
      <c r="V10" s="1458">
        <v>4.4800000000000004</v>
      </c>
      <c r="W10" s="1459">
        <v>1.41</v>
      </c>
    </row>
    <row r="11" spans="1:23" ht="14.25">
      <c r="A11" s="681" t="s">
        <v>278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41">
        <f t="shared" si="4"/>
        <v>1.4800000000000001E-2</v>
      </c>
      <c r="G11" s="1445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38">
        <f>AVERAGE(F11:F$18)</f>
        <v>1.1962500000000001E-2</v>
      </c>
      <c r="L11" s="1445"/>
      <c r="M11" s="28"/>
      <c r="N11" s="28"/>
      <c r="O11" s="28"/>
      <c r="P11" s="28"/>
      <c r="R11" s="1454">
        <v>2016</v>
      </c>
      <c r="S11" s="1455">
        <v>1</v>
      </c>
      <c r="T11" s="1455">
        <v>4.09</v>
      </c>
      <c r="U11" s="1455">
        <v>2.93</v>
      </c>
      <c r="V11" s="1455">
        <v>4.54</v>
      </c>
      <c r="W11" s="1456">
        <v>1.48</v>
      </c>
    </row>
    <row r="12" spans="1:23" ht="15" thickBot="1">
      <c r="A12" s="681" t="s">
        <v>277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41">
        <f t="shared" si="4"/>
        <v>1.89E-2</v>
      </c>
      <c r="G12" s="1445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38">
        <f>AVERAGE(F12:F$18)</f>
        <v>1.155714285714286E-2</v>
      </c>
      <c r="L12" s="1445"/>
      <c r="M12" s="28"/>
      <c r="N12" s="28"/>
      <c r="O12" s="28"/>
      <c r="P12" s="28"/>
      <c r="R12" s="1460">
        <v>2015</v>
      </c>
      <c r="S12" s="1461">
        <v>4</v>
      </c>
      <c r="T12" s="1461">
        <v>1.63</v>
      </c>
      <c r="U12" s="1461">
        <v>1.1100000000000001</v>
      </c>
      <c r="V12" s="1461">
        <v>1.77</v>
      </c>
      <c r="W12" s="1462">
        <v>1.89</v>
      </c>
    </row>
    <row r="13" spans="1:23" ht="14.25">
      <c r="A13" s="681" t="s">
        <v>276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41">
        <f t="shared" si="4"/>
        <v>1.26E-2</v>
      </c>
      <c r="G13" s="1445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38">
        <f>AVERAGE(F13:F$18)</f>
        <v>1.0333333333333333E-2</v>
      </c>
      <c r="L13" s="1445"/>
      <c r="M13" s="28"/>
      <c r="N13" s="28"/>
      <c r="O13" s="28"/>
      <c r="P13" s="28"/>
      <c r="R13" s="1463">
        <v>2015</v>
      </c>
      <c r="S13" s="1464">
        <v>3</v>
      </c>
      <c r="T13" s="1464">
        <v>1.65</v>
      </c>
      <c r="U13" s="1464">
        <v>0.92</v>
      </c>
      <c r="V13" s="1464">
        <v>1.88</v>
      </c>
      <c r="W13" s="1465">
        <v>1.26</v>
      </c>
    </row>
    <row r="14" spans="1:23" ht="14.25">
      <c r="A14" s="681" t="s">
        <v>275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41">
        <f t="shared" si="4"/>
        <v>8.8000000000000005E-3</v>
      </c>
      <c r="G14" s="1445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38">
        <f>AVERAGE(F14:F$18)</f>
        <v>9.8799999999999999E-3</v>
      </c>
      <c r="L14" s="1445"/>
      <c r="M14" s="28"/>
      <c r="N14" s="28"/>
      <c r="O14" s="28"/>
      <c r="P14" s="28"/>
      <c r="R14" s="1457">
        <v>2015</v>
      </c>
      <c r="S14" s="1458">
        <v>2</v>
      </c>
      <c r="T14" s="1458">
        <v>0.77</v>
      </c>
      <c r="U14" s="1458">
        <v>0.69</v>
      </c>
      <c r="V14" s="1458">
        <v>0.8</v>
      </c>
      <c r="W14" s="1459">
        <v>0.88</v>
      </c>
    </row>
    <row r="15" spans="1:23" ht="14.25">
      <c r="A15" s="681" t="s">
        <v>274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41">
        <f t="shared" si="4"/>
        <v>9.300000000000001E-3</v>
      </c>
      <c r="G15" s="1445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38">
        <f>AVERAGE(F15:F$18)</f>
        <v>1.0149999999999999E-2</v>
      </c>
      <c r="L15" s="1445"/>
      <c r="M15" s="28"/>
      <c r="N15" s="28"/>
      <c r="O15" s="28"/>
      <c r="P15" s="28"/>
      <c r="R15" s="1454">
        <v>2015</v>
      </c>
      <c r="S15" s="1455">
        <v>1</v>
      </c>
      <c r="T15" s="1455">
        <v>0.51</v>
      </c>
      <c r="U15" s="1455">
        <v>0.54</v>
      </c>
      <c r="V15" s="1455">
        <v>0.48</v>
      </c>
      <c r="W15" s="1456">
        <v>0.93</v>
      </c>
    </row>
    <row r="16" spans="1:23" ht="15" thickBot="1">
      <c r="A16" s="681" t="s">
        <v>273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41">
        <f t="shared" si="4"/>
        <v>8.8999999999999999E-3</v>
      </c>
      <c r="G16" s="1445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38">
        <f>AVERAGE(F16:F$18)</f>
        <v>1.0433333333333334E-2</v>
      </c>
      <c r="L16" s="1445"/>
      <c r="M16" s="28"/>
      <c r="N16" s="28"/>
      <c r="O16" s="28"/>
      <c r="P16" s="28"/>
      <c r="R16" s="1460">
        <v>2014</v>
      </c>
      <c r="S16" s="1461">
        <v>4</v>
      </c>
      <c r="T16" s="1461">
        <v>0.21</v>
      </c>
      <c r="U16" s="1461">
        <v>0.41</v>
      </c>
      <c r="V16" s="1461">
        <v>0.12</v>
      </c>
      <c r="W16" s="1462">
        <v>0.89</v>
      </c>
    </row>
    <row r="17" spans="1:23" ht="14.25">
      <c r="A17" s="681" t="s">
        <v>272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41">
        <f t="shared" si="4"/>
        <v>7.1999999999999998E-3</v>
      </c>
      <c r="G17" s="1445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38">
        <f>AVERAGE(F17:F$18)</f>
        <v>1.12E-2</v>
      </c>
      <c r="L17" s="1445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66">
        <v>2014</v>
      </c>
      <c r="S17" s="1467">
        <v>3</v>
      </c>
      <c r="T17" s="1467">
        <v>0.83</v>
      </c>
      <c r="U17" s="1467">
        <v>1.47</v>
      </c>
      <c r="V17" s="1467">
        <v>0.65</v>
      </c>
      <c r="W17" s="1468">
        <v>0.72</v>
      </c>
    </row>
    <row r="18" spans="1:23" ht="14.25">
      <c r="A18" s="681" t="s">
        <v>271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41">
        <f t="shared" si="4"/>
        <v>1.52E-2</v>
      </c>
      <c r="G18" s="1445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46">
        <f t="shared" si="5"/>
        <v>1.52E-2</v>
      </c>
      <c r="L18" s="1445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69">
        <v>2014</v>
      </c>
      <c r="S18" s="1470">
        <v>2</v>
      </c>
      <c r="T18" s="1470">
        <v>2.4</v>
      </c>
      <c r="U18" s="1470">
        <v>2.0299999999999998</v>
      </c>
      <c r="V18" s="1470">
        <v>2.59</v>
      </c>
      <c r="W18" s="1471">
        <v>1.52</v>
      </c>
    </row>
    <row r="19" spans="1:23" ht="14.25">
      <c r="A19" s="681" t="s">
        <v>270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41">
        <f t="shared" si="4"/>
        <v>1.3600000000000001E-2</v>
      </c>
      <c r="G19" s="1444">
        <v>0</v>
      </c>
      <c r="H19" s="26">
        <v>0</v>
      </c>
      <c r="I19" s="26">
        <v>0</v>
      </c>
      <c r="J19" s="26">
        <v>0</v>
      </c>
      <c r="K19" s="1447">
        <v>0</v>
      </c>
      <c r="L19" s="1445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72">
        <v>2014</v>
      </c>
      <c r="S19" s="1473">
        <v>1</v>
      </c>
      <c r="T19" s="1473">
        <v>2.97</v>
      </c>
      <c r="U19" s="1473">
        <v>2.34</v>
      </c>
      <c r="V19" s="1473">
        <v>3.28</v>
      </c>
      <c r="W19" s="1474">
        <v>1.36</v>
      </c>
    </row>
    <row r="20" spans="1:23" ht="15" thickBot="1">
      <c r="A20" s="681" t="s">
        <v>1599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41">
        <f t="shared" si="4"/>
        <v>8.6999999999999994E-3</v>
      </c>
      <c r="L20" s="1445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76">
        <v>2013</v>
      </c>
      <c r="S20" s="1477">
        <v>4</v>
      </c>
      <c r="T20" s="1477">
        <v>1.83</v>
      </c>
      <c r="U20" s="1477">
        <v>1.68</v>
      </c>
      <c r="V20" s="1477">
        <v>1.97</v>
      </c>
      <c r="W20" s="1478">
        <v>0.87</v>
      </c>
    </row>
    <row r="21" spans="1:23" ht="14.25">
      <c r="A21" s="681" t="s">
        <v>1600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41">
        <f t="shared" si="4"/>
        <v>8.8000000000000005E-3</v>
      </c>
      <c r="L21" s="1445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63">
        <v>2013</v>
      </c>
      <c r="S21" s="1464">
        <v>3</v>
      </c>
      <c r="T21" s="1464">
        <v>1.86</v>
      </c>
      <c r="U21" s="1464">
        <v>1.72</v>
      </c>
      <c r="V21" s="1464">
        <v>1.98</v>
      </c>
      <c r="W21" s="1465">
        <v>0.88</v>
      </c>
    </row>
    <row r="22" spans="1:23" ht="14.25">
      <c r="A22" s="681" t="s">
        <v>1601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41">
        <f t="shared" si="4"/>
        <v>6.8999999999999999E-3</v>
      </c>
      <c r="L22" s="1445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57">
        <v>2013</v>
      </c>
      <c r="S22" s="1458">
        <v>2</v>
      </c>
      <c r="T22" s="1458">
        <v>2.04</v>
      </c>
      <c r="U22" s="1458">
        <v>2.33</v>
      </c>
      <c r="V22" s="1458">
        <v>2.0699999999999998</v>
      </c>
      <c r="W22" s="1459">
        <v>0.69</v>
      </c>
    </row>
    <row r="23" spans="1:23" ht="14.25">
      <c r="A23" s="681" t="s">
        <v>1602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41">
        <f t="shared" si="4"/>
        <v>9.5999999999999992E-3</v>
      </c>
      <c r="L23" s="1445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54">
        <v>2013</v>
      </c>
      <c r="S23" s="1455">
        <v>1</v>
      </c>
      <c r="T23" s="1455">
        <v>1.67</v>
      </c>
      <c r="U23" s="1455">
        <v>1.31</v>
      </c>
      <c r="V23" s="1455">
        <v>1.85</v>
      </c>
      <c r="W23" s="1456">
        <v>0.96</v>
      </c>
    </row>
    <row r="24" spans="1:23" ht="15" thickBot="1">
      <c r="A24" s="681" t="s">
        <v>1606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41">
        <f t="shared" si="4"/>
        <v>9.0000000000000011E-3</v>
      </c>
      <c r="L24" s="1445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60">
        <v>2012</v>
      </c>
      <c r="S24" s="1461">
        <v>4</v>
      </c>
      <c r="T24" s="1461">
        <v>0.91</v>
      </c>
      <c r="U24" s="1461">
        <v>0.68</v>
      </c>
      <c r="V24" s="1461">
        <v>0.98</v>
      </c>
      <c r="W24" s="1462">
        <v>0.9</v>
      </c>
    </row>
    <row r="25" spans="1:23" ht="14.25">
      <c r="A25" s="681" t="s">
        <v>1607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41">
        <f t="shared" si="4"/>
        <v>5.7999999999999996E-3</v>
      </c>
      <c r="L25" s="1445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63">
        <v>2012</v>
      </c>
      <c r="S25" s="1464">
        <v>3</v>
      </c>
      <c r="T25" s="1464">
        <v>0.09</v>
      </c>
      <c r="U25" s="1464">
        <v>0.28999999999999998</v>
      </c>
      <c r="V25" s="1464">
        <v>-0.01</v>
      </c>
      <c r="W25" s="1465">
        <v>0.57999999999999996</v>
      </c>
    </row>
    <row r="26" spans="1:23" ht="14.25">
      <c r="A26" s="681" t="s">
        <v>1608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41">
        <f t="shared" si="4"/>
        <v>1.24E-2</v>
      </c>
      <c r="L26" s="1445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57">
        <v>2012</v>
      </c>
      <c r="S26" s="1458">
        <v>2</v>
      </c>
      <c r="T26" s="1458">
        <v>0.02</v>
      </c>
      <c r="U26" s="1458">
        <v>0.12</v>
      </c>
      <c r="V26" s="1458">
        <v>-0.08</v>
      </c>
      <c r="W26" s="1459">
        <v>1.24</v>
      </c>
    </row>
    <row r="27" spans="1:23" ht="14.25">
      <c r="A27" s="681" t="s">
        <v>1609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41">
        <f t="shared" si="4"/>
        <v>4.5999999999999999E-3</v>
      </c>
      <c r="L27" s="1445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54">
        <v>2012</v>
      </c>
      <c r="S27" s="1455">
        <v>1</v>
      </c>
      <c r="T27" s="1455">
        <v>0.02</v>
      </c>
      <c r="U27" s="1455">
        <v>0.13</v>
      </c>
      <c r="V27" s="1455">
        <v>-0.04</v>
      </c>
      <c r="W27" s="1456">
        <v>0.46</v>
      </c>
    </row>
    <row r="28" spans="1:23" ht="15" thickBot="1">
      <c r="A28" s="681" t="s">
        <v>1610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41">
        <f t="shared" si="4"/>
        <v>4.5999999999999999E-3</v>
      </c>
      <c r="L28" s="1445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60">
        <v>2011</v>
      </c>
      <c r="S28" s="1461">
        <v>4</v>
      </c>
      <c r="T28" s="1461">
        <v>-0.2</v>
      </c>
      <c r="U28" s="1461">
        <v>0.04</v>
      </c>
      <c r="V28" s="1461">
        <v>-0.34</v>
      </c>
      <c r="W28" s="1462">
        <v>0.46</v>
      </c>
    </row>
    <row r="29" spans="1:23" ht="14.25">
      <c r="A29" s="681" t="s">
        <v>1611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41">
        <f t="shared" si="4"/>
        <v>5.3E-3</v>
      </c>
      <c r="L29" s="1445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63">
        <v>2011</v>
      </c>
      <c r="S29" s="1464">
        <v>3</v>
      </c>
      <c r="T29" s="1464">
        <v>0.13</v>
      </c>
      <c r="U29" s="1464">
        <v>0.75</v>
      </c>
      <c r="V29" s="1464">
        <v>-0.08</v>
      </c>
      <c r="W29" s="1465">
        <v>0.53</v>
      </c>
    </row>
    <row r="30" spans="1:23" ht="14.25">
      <c r="A30" s="681" t="s">
        <v>1612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41">
        <f t="shared" si="4"/>
        <v>-2E-3</v>
      </c>
      <c r="L30" s="1445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57">
        <v>2011</v>
      </c>
      <c r="S30" s="1458">
        <v>2</v>
      </c>
      <c r="T30" s="1458">
        <v>-0.4</v>
      </c>
      <c r="U30" s="1458">
        <v>0.17</v>
      </c>
      <c r="V30" s="1458">
        <v>-0.57999999999999996</v>
      </c>
      <c r="W30" s="1459">
        <v>-0.2</v>
      </c>
    </row>
    <row r="31" spans="1:23" ht="14.25">
      <c r="A31" s="681" t="s">
        <v>1613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41">
        <f t="shared" si="4"/>
        <v>7.9500000000000001E-2</v>
      </c>
      <c r="L31" s="1445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54">
        <v>2011</v>
      </c>
      <c r="S31" s="1455">
        <v>1</v>
      </c>
      <c r="T31" s="1455">
        <v>2.65</v>
      </c>
      <c r="U31" s="1455">
        <v>3.76</v>
      </c>
      <c r="V31" s="1455">
        <v>1.89</v>
      </c>
      <c r="W31" s="1456">
        <v>7.95</v>
      </c>
    </row>
    <row r="32" spans="1:23" ht="15" thickBot="1">
      <c r="A32" s="681" t="s">
        <v>1614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41">
        <f t="shared" si="4"/>
        <v>2.7200000000000002E-2</v>
      </c>
      <c r="L32" s="1445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60">
        <v>2010</v>
      </c>
      <c r="S32" s="1461">
        <v>4</v>
      </c>
      <c r="T32" s="1461">
        <v>5.72</v>
      </c>
      <c r="U32" s="1461">
        <v>6.57</v>
      </c>
      <c r="V32" s="1461">
        <v>5.72</v>
      </c>
      <c r="W32" s="1462">
        <v>2.72</v>
      </c>
    </row>
    <row r="33" spans="1:23" ht="14.25">
      <c r="A33" s="681" t="s">
        <v>1615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41">
        <f t="shared" si="4"/>
        <v>4.2099999999999999E-2</v>
      </c>
      <c r="L33" s="1445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63">
        <v>2010</v>
      </c>
      <c r="S33" s="1464">
        <v>3</v>
      </c>
      <c r="T33" s="1464">
        <v>4.7300000000000004</v>
      </c>
      <c r="U33" s="1464">
        <v>3.9</v>
      </c>
      <c r="V33" s="1464">
        <v>5.03</v>
      </c>
      <c r="W33" s="1465">
        <v>4.21</v>
      </c>
    </row>
    <row r="34" spans="1:23" ht="14.25">
      <c r="A34" s="681" t="s">
        <v>1616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41">
        <f t="shared" si="4"/>
        <v>4.2300000000000004E-2</v>
      </c>
      <c r="L34" s="1445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57">
        <v>2010</v>
      </c>
      <c r="S34" s="1458">
        <v>2</v>
      </c>
      <c r="T34" s="1458">
        <v>4.6900000000000004</v>
      </c>
      <c r="U34" s="1458">
        <v>3.55</v>
      </c>
      <c r="V34" s="1458">
        <v>5.07</v>
      </c>
      <c r="W34" s="1459">
        <v>4.2300000000000004</v>
      </c>
    </row>
    <row r="35" spans="1:23" ht="14.25">
      <c r="A35" s="681" t="s">
        <v>1617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41">
        <f t="shared" si="4"/>
        <v>4.5100000000000001E-2</v>
      </c>
      <c r="L35" s="1445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54">
        <v>2010</v>
      </c>
      <c r="S35" s="1455">
        <v>1</v>
      </c>
      <c r="T35" s="1455">
        <v>5.4</v>
      </c>
      <c r="U35" s="1455">
        <v>3.2</v>
      </c>
      <c r="V35" s="1455">
        <v>6.16</v>
      </c>
      <c r="W35" s="1456">
        <v>4.51</v>
      </c>
    </row>
    <row r="36" spans="1:23" ht="15" thickBot="1">
      <c r="A36" s="681" t="s">
        <v>1618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41">
        <f t="shared" si="4"/>
        <v>6.7000000000000002E-3</v>
      </c>
      <c r="L36" s="1445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60">
        <v>2009</v>
      </c>
      <c r="S36" s="1461">
        <v>4</v>
      </c>
      <c r="T36" s="1461">
        <v>2.2999999999999998</v>
      </c>
      <c r="U36" s="1461">
        <v>1.04</v>
      </c>
      <c r="V36" s="1461">
        <v>2.84</v>
      </c>
      <c r="W36" s="1462">
        <v>0.67</v>
      </c>
    </row>
    <row r="37" spans="1:23" ht="14.25">
      <c r="A37" s="681" t="s">
        <v>1619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41">
        <f t="shared" si="4"/>
        <v>8.5000000000000006E-3</v>
      </c>
      <c r="L37" s="1445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63">
        <v>2009</v>
      </c>
      <c r="S37" s="1464">
        <v>3</v>
      </c>
      <c r="T37" s="1464">
        <v>2.1</v>
      </c>
      <c r="U37" s="1464">
        <v>1.86</v>
      </c>
      <c r="V37" s="1464">
        <v>2.29</v>
      </c>
      <c r="W37" s="1465">
        <v>0.85</v>
      </c>
    </row>
    <row r="38" spans="1:23" ht="14.25">
      <c r="A38" s="681" t="s">
        <v>1620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41">
        <f t="shared" si="4"/>
        <v>-2.07E-2</v>
      </c>
      <c r="L38" s="1445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57">
        <v>2009</v>
      </c>
      <c r="S38" s="1458">
        <v>2</v>
      </c>
      <c r="T38" s="1458">
        <v>0.86</v>
      </c>
      <c r="U38" s="1458">
        <v>-1.1299999999999999</v>
      </c>
      <c r="V38" s="1458">
        <v>1.79</v>
      </c>
      <c r="W38" s="1459">
        <v>-2.0699999999999998</v>
      </c>
    </row>
    <row r="39" spans="1:23" ht="14.25">
      <c r="A39" s="681" t="s">
        <v>1621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41">
        <f t="shared" si="4"/>
        <v>1.52E-2</v>
      </c>
      <c r="L39" s="1445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54">
        <v>2009</v>
      </c>
      <c r="S39" s="1455">
        <v>1</v>
      </c>
      <c r="T39" s="1455">
        <v>-2.64</v>
      </c>
      <c r="U39" s="1455">
        <v>-2.5299999999999998</v>
      </c>
      <c r="V39" s="1455">
        <v>-3.02</v>
      </c>
      <c r="W39" s="1456">
        <v>1.52</v>
      </c>
    </row>
    <row r="40" spans="1:23" ht="15" thickBot="1">
      <c r="A40" s="681" t="s">
        <v>1622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41">
        <f t="shared" si="4"/>
        <v>-1.66E-2</v>
      </c>
      <c r="L40" s="1445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60">
        <v>2008</v>
      </c>
      <c r="S40" s="1461">
        <v>4</v>
      </c>
      <c r="T40" s="1461">
        <v>1.73</v>
      </c>
      <c r="U40" s="1461">
        <v>0.03</v>
      </c>
      <c r="V40" s="1461">
        <v>2.59</v>
      </c>
      <c r="W40" s="1462">
        <v>-1.66</v>
      </c>
    </row>
    <row r="41" spans="1:23" ht="14.25">
      <c r="A41" s="681" t="s">
        <v>1623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41">
        <f t="shared" si="4"/>
        <v>2.2200000000000001E-2</v>
      </c>
      <c r="L41" s="1445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63">
        <v>2008</v>
      </c>
      <c r="S41" s="1464">
        <v>3</v>
      </c>
      <c r="T41" s="1464">
        <v>1.96</v>
      </c>
      <c r="U41" s="1464">
        <v>2.36</v>
      </c>
      <c r="V41" s="1464">
        <v>1.82</v>
      </c>
      <c r="W41" s="1465">
        <v>2.2200000000000002</v>
      </c>
    </row>
    <row r="42" spans="1:23" ht="14.25">
      <c r="A42" s="681" t="s">
        <v>1624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41">
        <f t="shared" si="4"/>
        <v>6.8600000000000008E-2</v>
      </c>
      <c r="L42" s="1445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57">
        <v>2008</v>
      </c>
      <c r="S42" s="1458">
        <v>2</v>
      </c>
      <c r="T42" s="1458">
        <v>4.93</v>
      </c>
      <c r="U42" s="1458">
        <v>7.38</v>
      </c>
      <c r="V42" s="1458">
        <v>3.98</v>
      </c>
      <c r="W42" s="1459">
        <v>6.86</v>
      </c>
    </row>
    <row r="43" spans="1:23" ht="14.25">
      <c r="A43" s="681" t="s">
        <v>1625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41">
        <f t="shared" si="4"/>
        <v>4.82E-2</v>
      </c>
      <c r="L43" s="1445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54">
        <v>2008</v>
      </c>
      <c r="S43" s="1455">
        <v>1</v>
      </c>
      <c r="T43" s="1455">
        <v>4.1399999999999997</v>
      </c>
      <c r="U43" s="1455">
        <v>3.45</v>
      </c>
      <c r="V43" s="1455">
        <v>4.95</v>
      </c>
      <c r="W43" s="1456">
        <v>4.82</v>
      </c>
    </row>
    <row r="44" spans="1:23" ht="15" thickBot="1">
      <c r="A44" s="681" t="s">
        <v>1626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41">
        <f t="shared" si="4"/>
        <v>5.3600000000000002E-2</v>
      </c>
      <c r="L44" s="1445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60">
        <v>2007</v>
      </c>
      <c r="S44" s="1461">
        <v>4</v>
      </c>
      <c r="T44" s="1461">
        <v>5.51</v>
      </c>
      <c r="U44" s="1461">
        <v>4.8899999999999997</v>
      </c>
      <c r="V44" s="1461">
        <v>6.43</v>
      </c>
      <c r="W44" s="1462">
        <v>5.36</v>
      </c>
    </row>
    <row r="45" spans="1:23" ht="14.25">
      <c r="A45" s="681" t="s">
        <v>1627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41">
        <f t="shared" si="4"/>
        <v>5.7999999999999996E-2</v>
      </c>
      <c r="L45" s="1445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63">
        <v>2007</v>
      </c>
      <c r="S45" s="1464">
        <v>3</v>
      </c>
      <c r="T45" s="1464">
        <v>8.65</v>
      </c>
      <c r="U45" s="1464">
        <v>8.06</v>
      </c>
      <c r="V45" s="1464">
        <v>9.94</v>
      </c>
      <c r="W45" s="1465">
        <v>5.8</v>
      </c>
    </row>
    <row r="46" spans="1:23" ht="14.25">
      <c r="A46" s="681" t="s">
        <v>1628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41">
        <f t="shared" si="4"/>
        <v>6.7099999999999993E-2</v>
      </c>
      <c r="L46" s="1445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57">
        <v>2007</v>
      </c>
      <c r="S46" s="1458">
        <v>2</v>
      </c>
      <c r="T46" s="1458">
        <v>3.67</v>
      </c>
      <c r="U46" s="1458">
        <v>2.3199999999999998</v>
      </c>
      <c r="V46" s="1458">
        <v>5.0199999999999996</v>
      </c>
      <c r="W46" s="1459">
        <v>6.71</v>
      </c>
    </row>
    <row r="47" spans="1:23" ht="14.25">
      <c r="A47" s="681" t="s">
        <v>1629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41">
        <f t="shared" si="4"/>
        <v>3.2099999999999997E-2</v>
      </c>
      <c r="L47" s="1445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54">
        <v>2007</v>
      </c>
      <c r="S47" s="1455">
        <v>1</v>
      </c>
      <c r="T47" s="1455">
        <v>3.58</v>
      </c>
      <c r="U47" s="1455">
        <v>3.08</v>
      </c>
      <c r="V47" s="1455">
        <v>4.34</v>
      </c>
      <c r="W47" s="1456">
        <v>3.21</v>
      </c>
    </row>
    <row r="48" spans="1:23" ht="15" thickBot="1">
      <c r="A48" s="681" t="s">
        <v>1630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41">
        <f t="shared" si="4"/>
        <v>5.4100000000000002E-2</v>
      </c>
      <c r="L48" s="1445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60">
        <v>2006</v>
      </c>
      <c r="S48" s="1461">
        <v>4</v>
      </c>
      <c r="T48" s="1461">
        <v>3.79</v>
      </c>
      <c r="U48" s="1461">
        <v>2.21</v>
      </c>
      <c r="V48" s="1461">
        <v>5.65</v>
      </c>
      <c r="W48" s="1462">
        <v>5.41</v>
      </c>
    </row>
    <row r="49" spans="1:28" ht="14.25">
      <c r="A49" s="681" t="s">
        <v>1603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41">
        <f t="shared" si="4"/>
        <v>1.0800000000000001E-2</v>
      </c>
      <c r="L49" s="1445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63">
        <v>2006</v>
      </c>
      <c r="S49" s="1464">
        <v>3</v>
      </c>
      <c r="T49" s="1464">
        <v>0.92</v>
      </c>
      <c r="U49" s="1464">
        <v>1.08</v>
      </c>
      <c r="V49" s="1464">
        <v>0.73</v>
      </c>
      <c r="W49" s="1465">
        <v>1.08</v>
      </c>
    </row>
    <row r="50" spans="1:28" ht="14.25">
      <c r="A50" s="681" t="s">
        <v>1604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41">
        <f t="shared" si="4"/>
        <v>9.4999999999999998E-3</v>
      </c>
      <c r="L50" s="1445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57">
        <v>2006</v>
      </c>
      <c r="S50" s="1458">
        <v>2</v>
      </c>
      <c r="T50" s="1458">
        <v>0.96</v>
      </c>
      <c r="U50" s="1458">
        <v>0.25</v>
      </c>
      <c r="V50" s="1458">
        <v>1.9</v>
      </c>
      <c r="W50" s="1459">
        <v>0.95</v>
      </c>
    </row>
    <row r="51" spans="1:28" ht="14.25">
      <c r="A51" s="681" t="s">
        <v>1605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41">
        <f t="shared" si="4"/>
        <v>4.0000000000000002E-4</v>
      </c>
      <c r="L51" s="1445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54">
        <v>2006</v>
      </c>
      <c r="S51" s="1455">
        <v>1</v>
      </c>
      <c r="T51" s="1455">
        <v>2.29</v>
      </c>
      <c r="U51" s="1455">
        <v>3.72</v>
      </c>
      <c r="V51" s="1455">
        <v>0.75</v>
      </c>
      <c r="W51" s="1456">
        <v>0.04</v>
      </c>
    </row>
    <row r="52" spans="1:28" ht="15" thickBot="1">
      <c r="A52" s="681" t="s">
        <v>1631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41">
        <f t="shared" si="4"/>
        <v>7.7800000000000008E-2</v>
      </c>
      <c r="L52" s="1445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60">
        <v>2005</v>
      </c>
      <c r="S52" s="1461">
        <v>4</v>
      </c>
      <c r="T52" s="1461">
        <v>3.29</v>
      </c>
      <c r="U52" s="1461">
        <v>1.44</v>
      </c>
      <c r="V52" s="1461">
        <v>0.66</v>
      </c>
      <c r="W52" s="1462">
        <v>7.78</v>
      </c>
    </row>
    <row r="53" spans="1:28" ht="14.25">
      <c r="A53" s="681" t="s">
        <v>1632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41">
        <f t="shared" si="4"/>
        <v>6.4000000000000003E-3</v>
      </c>
      <c r="L53" s="1445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63">
        <v>2005</v>
      </c>
      <c r="S53" s="1464">
        <v>3</v>
      </c>
      <c r="T53" s="1464">
        <v>0.46</v>
      </c>
      <c r="U53" s="1464">
        <v>0.32</v>
      </c>
      <c r="V53" s="1464">
        <v>0.42</v>
      </c>
      <c r="W53" s="1465">
        <v>0.64</v>
      </c>
    </row>
    <row r="54" spans="1:28" ht="14.25">
      <c r="A54" s="681" t="s">
        <v>1633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41">
        <f t="shared" si="4"/>
        <v>7.9000000000000008E-3</v>
      </c>
      <c r="L54" s="1445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57">
        <v>2005</v>
      </c>
      <c r="S54" s="1458">
        <v>2</v>
      </c>
      <c r="T54" s="1458">
        <v>0.47</v>
      </c>
      <c r="U54" s="1458">
        <v>0.1</v>
      </c>
      <c r="V54" s="1458">
        <v>0.52</v>
      </c>
      <c r="W54" s="1459">
        <v>0.79</v>
      </c>
    </row>
    <row r="55" spans="1:28" ht="14.25">
      <c r="A55" s="681" t="s">
        <v>1634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41">
        <f t="shared" si="4"/>
        <v>5.5000000000000005E-3</v>
      </c>
      <c r="L55" s="1445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54">
        <v>2005</v>
      </c>
      <c r="S55" s="1455">
        <v>1</v>
      </c>
      <c r="T55" s="1455">
        <v>0.43</v>
      </c>
      <c r="U55" s="1455">
        <v>0.37</v>
      </c>
      <c r="V55" s="1455">
        <v>0.37</v>
      </c>
      <c r="W55" s="1456">
        <v>0.55000000000000004</v>
      </c>
    </row>
    <row r="56" spans="1:28" ht="15" thickBot="1">
      <c r="A56" s="681" t="s">
        <v>1635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41">
        <f t="shared" si="4"/>
        <v>0</v>
      </c>
      <c r="L56" s="1445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60">
        <v>2004</v>
      </c>
      <c r="S56" s="1461">
        <v>4</v>
      </c>
      <c r="T56" s="1461">
        <v>0.33</v>
      </c>
      <c r="U56" s="1461">
        <v>0.5</v>
      </c>
      <c r="V56" s="1461">
        <v>0.5</v>
      </c>
      <c r="W56" s="1462">
        <v>0</v>
      </c>
    </row>
    <row r="57" spans="1:28" ht="14.25">
      <c r="A57" s="681" t="s">
        <v>1636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41">
        <f t="shared" si="4"/>
        <v>5.9999999999999995E-4</v>
      </c>
      <c r="L57" s="1445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63">
        <v>2004</v>
      </c>
      <c r="S57" s="1464">
        <v>3</v>
      </c>
      <c r="T57" s="1464">
        <v>0.56000000000000005</v>
      </c>
      <c r="U57" s="1464">
        <v>0.8</v>
      </c>
      <c r="V57" s="1464">
        <v>0.83</v>
      </c>
      <c r="W57" s="1465">
        <v>0.06</v>
      </c>
    </row>
    <row r="58" spans="1:28" ht="15" thickBot="1">
      <c r="A58" s="681" t="s">
        <v>1637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41">
        <f t="shared" si="4"/>
        <v>0</v>
      </c>
      <c r="L58" s="1445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57">
        <v>2004</v>
      </c>
      <c r="S58" s="1458">
        <v>2</v>
      </c>
      <c r="T58" s="1458">
        <v>1</v>
      </c>
      <c r="U58" s="1458">
        <v>1.5</v>
      </c>
      <c r="V58" s="1458">
        <v>1.5</v>
      </c>
      <c r="W58" s="1459">
        <v>0</v>
      </c>
    </row>
    <row r="59" spans="1:28" ht="15" thickBot="1">
      <c r="A59" s="681" t="s">
        <v>1638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41">
        <f t="shared" si="4"/>
        <v>0</v>
      </c>
      <c r="L59" s="1445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79">
        <v>2004</v>
      </c>
      <c r="S59" s="1480">
        <v>1</v>
      </c>
      <c r="T59" s="1480">
        <v>0.33</v>
      </c>
      <c r="U59" s="1480">
        <v>0.5</v>
      </c>
      <c r="V59" s="1480">
        <v>0.5</v>
      </c>
      <c r="W59" s="1481">
        <v>0</v>
      </c>
      <c r="X59" s="1451">
        <v>2004</v>
      </c>
      <c r="Y59" s="1452">
        <v>121</v>
      </c>
      <c r="Z59" s="1452">
        <v>122</v>
      </c>
      <c r="AA59" s="1452">
        <v>124</v>
      </c>
      <c r="AB59" s="1453">
        <v>107</v>
      </c>
    </row>
    <row r="60" spans="1:28" ht="15" thickBot="1">
      <c r="A60" s="681" t="s">
        <v>1639</v>
      </c>
      <c r="B60" s="1482">
        <f t="shared" ref="B60:C67" si="6">T60</f>
        <v>1.14E-2</v>
      </c>
      <c r="C60" s="1482">
        <f t="shared" si="6"/>
        <v>1.5599999999999999E-2</v>
      </c>
      <c r="D60" s="492">
        <f t="shared" si="2"/>
        <v>1.5599999999999999E-2</v>
      </c>
      <c r="E60" s="1482">
        <f t="shared" ref="E60:F67" si="7">V60</f>
        <v>7.0000000000000001E-3</v>
      </c>
      <c r="F60" s="1483">
        <f t="shared" si="7"/>
        <v>4.7999999999999996E-3</v>
      </c>
      <c r="L60" s="1445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51">
        <v>2003</v>
      </c>
      <c r="S60" s="1461">
        <v>4</v>
      </c>
      <c r="T60" s="1484">
        <f>ROUND(Y60/Y61-1,4)</f>
        <v>1.14E-2</v>
      </c>
      <c r="U60" s="1484">
        <f t="shared" ref="U60:W60" si="8">ROUND(Z60/Z61-1,4)</f>
        <v>1.5599999999999999E-2</v>
      </c>
      <c r="V60" s="1484">
        <f t="shared" si="8"/>
        <v>7.0000000000000001E-3</v>
      </c>
      <c r="W60" s="1484">
        <f t="shared" si="8"/>
        <v>4.7999999999999996E-3</v>
      </c>
      <c r="X60" s="1454">
        <v>2003</v>
      </c>
      <c r="Y60" s="1455">
        <v>111</v>
      </c>
      <c r="Z60" s="1455">
        <v>114</v>
      </c>
      <c r="AA60" s="1455">
        <v>108</v>
      </c>
      <c r="AB60" s="1456">
        <v>104</v>
      </c>
    </row>
    <row r="61" spans="1:28" ht="14.25">
      <c r="A61" s="681" t="s">
        <v>1640</v>
      </c>
      <c r="B61" s="1482">
        <f t="shared" si="6"/>
        <v>1.15E-2</v>
      </c>
      <c r="C61" s="1482">
        <f t="shared" si="6"/>
        <v>1.5800000000000002E-2</v>
      </c>
      <c r="D61" s="492">
        <f t="shared" si="2"/>
        <v>1.5800000000000002E-2</v>
      </c>
      <c r="E61" s="1482">
        <f t="shared" si="7"/>
        <v>7.0000000000000001E-3</v>
      </c>
      <c r="F61" s="1483">
        <f t="shared" si="7"/>
        <v>4.8999999999999998E-3</v>
      </c>
      <c r="L61" s="1445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64">
        <v>3</v>
      </c>
      <c r="T61" s="1484">
        <f t="shared" ref="T61:T66" si="9">ROUND(Y61/Y62-1,4)</f>
        <v>1.15E-2</v>
      </c>
      <c r="U61" s="1484">
        <f t="shared" ref="U61:U66" si="10">ROUND(Z61/Z62-1,4)</f>
        <v>1.5800000000000002E-2</v>
      </c>
      <c r="V61" s="1484">
        <f t="shared" ref="V61:V66" si="11">ROUND(AA61/AA62-1,4)</f>
        <v>7.0000000000000001E-3</v>
      </c>
      <c r="W61" s="1484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1" t="s">
        <v>1641</v>
      </c>
      <c r="B62" s="1482">
        <f t="shared" si="6"/>
        <v>1.17E-2</v>
      </c>
      <c r="C62" s="1482">
        <f t="shared" si="6"/>
        <v>1.61E-2</v>
      </c>
      <c r="D62" s="492">
        <f t="shared" si="2"/>
        <v>1.61E-2</v>
      </c>
      <c r="E62" s="1482">
        <f t="shared" si="7"/>
        <v>7.1000000000000004E-3</v>
      </c>
      <c r="F62" s="1483">
        <f t="shared" si="7"/>
        <v>4.8999999999999998E-3</v>
      </c>
      <c r="L62" s="1445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58">
        <v>2</v>
      </c>
      <c r="T62" s="1484">
        <f t="shared" si="9"/>
        <v>1.17E-2</v>
      </c>
      <c r="U62" s="1484">
        <f t="shared" si="10"/>
        <v>1.61E-2</v>
      </c>
      <c r="V62" s="1484">
        <f t="shared" si="11"/>
        <v>7.1000000000000004E-3</v>
      </c>
      <c r="W62" s="1484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1" t="s">
        <v>1642</v>
      </c>
      <c r="B63" s="1482">
        <f t="shared" si="6"/>
        <v>1.18E-2</v>
      </c>
      <c r="C63" s="1482">
        <f t="shared" si="6"/>
        <v>1.6400000000000001E-2</v>
      </c>
      <c r="D63" s="492">
        <f t="shared" si="2"/>
        <v>1.6400000000000001E-2</v>
      </c>
      <c r="E63" s="1482">
        <f t="shared" si="7"/>
        <v>7.1000000000000004E-3</v>
      </c>
      <c r="F63" s="1483">
        <f t="shared" si="7"/>
        <v>4.8999999999999998E-3</v>
      </c>
      <c r="L63" s="1445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80">
        <v>1</v>
      </c>
      <c r="T63" s="1484">
        <f t="shared" si="9"/>
        <v>1.18E-2</v>
      </c>
      <c r="U63" s="1484">
        <f t="shared" si="10"/>
        <v>1.6400000000000001E-2</v>
      </c>
      <c r="V63" s="1484">
        <f t="shared" si="11"/>
        <v>7.1000000000000004E-3</v>
      </c>
      <c r="W63" s="1484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1" t="s">
        <v>1643</v>
      </c>
      <c r="B64" s="1482">
        <f t="shared" si="6"/>
        <v>9.4999999999999998E-3</v>
      </c>
      <c r="C64" s="1482">
        <f t="shared" si="6"/>
        <v>9.4000000000000004E-3</v>
      </c>
      <c r="D64" s="492">
        <f t="shared" si="2"/>
        <v>9.4000000000000004E-3</v>
      </c>
      <c r="E64" s="1482">
        <f t="shared" si="7"/>
        <v>4.7999999999999996E-3</v>
      </c>
      <c r="F64" s="1483">
        <f t="shared" si="7"/>
        <v>4.8999999999999998E-3</v>
      </c>
      <c r="L64" s="1445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54">
        <v>2002</v>
      </c>
      <c r="S64" s="1461">
        <v>4</v>
      </c>
      <c r="T64" s="1484">
        <f t="shared" si="9"/>
        <v>9.4999999999999998E-3</v>
      </c>
      <c r="U64" s="1484">
        <f t="shared" si="10"/>
        <v>9.4000000000000004E-3</v>
      </c>
      <c r="V64" s="1484">
        <f t="shared" si="11"/>
        <v>4.7999999999999996E-3</v>
      </c>
      <c r="W64" s="1484">
        <f t="shared" si="12"/>
        <v>4.8999999999999998E-3</v>
      </c>
      <c r="X64" s="1457">
        <v>2002</v>
      </c>
      <c r="Y64" s="1458">
        <v>106</v>
      </c>
      <c r="Z64" s="1458">
        <v>107</v>
      </c>
      <c r="AA64" s="1458">
        <v>105</v>
      </c>
      <c r="AB64" s="1459">
        <v>102</v>
      </c>
    </row>
    <row r="65" spans="1:28" ht="14.25">
      <c r="A65" s="681" t="s">
        <v>1644</v>
      </c>
      <c r="B65" s="1482">
        <f t="shared" si="6"/>
        <v>9.5999999999999992E-3</v>
      </c>
      <c r="C65" s="1482">
        <f t="shared" si="6"/>
        <v>9.4999999999999998E-3</v>
      </c>
      <c r="D65" s="492">
        <f t="shared" si="2"/>
        <v>9.4999999999999998E-3</v>
      </c>
      <c r="E65" s="1482">
        <f t="shared" si="7"/>
        <v>4.7999999999999996E-3</v>
      </c>
      <c r="F65" s="1483">
        <f t="shared" si="7"/>
        <v>5.0000000000000001E-3</v>
      </c>
      <c r="L65" s="1445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64">
        <v>3</v>
      </c>
      <c r="T65" s="1484">
        <f t="shared" si="9"/>
        <v>9.5999999999999992E-3</v>
      </c>
      <c r="U65" s="1484">
        <f t="shared" si="10"/>
        <v>9.4999999999999998E-3</v>
      </c>
      <c r="V65" s="1484">
        <f t="shared" si="11"/>
        <v>4.7999999999999996E-3</v>
      </c>
      <c r="W65" s="1484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1" t="s">
        <v>1645</v>
      </c>
      <c r="B66" s="1482">
        <f t="shared" si="6"/>
        <v>9.7000000000000003E-3</v>
      </c>
      <c r="C66" s="1482">
        <f t="shared" si="6"/>
        <v>9.5999999999999992E-3</v>
      </c>
      <c r="D66" s="492">
        <f t="shared" si="2"/>
        <v>9.5999999999999992E-3</v>
      </c>
      <c r="E66" s="1482">
        <f t="shared" si="7"/>
        <v>4.7999999999999996E-3</v>
      </c>
      <c r="F66" s="1483">
        <f t="shared" si="7"/>
        <v>5.0000000000000001E-3</v>
      </c>
      <c r="L66" s="1445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58">
        <v>2</v>
      </c>
      <c r="T66" s="1484">
        <f t="shared" si="9"/>
        <v>9.7000000000000003E-3</v>
      </c>
      <c r="U66" s="1484">
        <f t="shared" si="10"/>
        <v>9.5999999999999992E-3</v>
      </c>
      <c r="V66" s="1484">
        <f t="shared" si="11"/>
        <v>4.7999999999999996E-3</v>
      </c>
      <c r="W66" s="1484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1" t="s">
        <v>1646</v>
      </c>
      <c r="B67" s="1482">
        <f t="shared" si="6"/>
        <v>9.7999999999999997E-3</v>
      </c>
      <c r="C67" s="1482">
        <f t="shared" si="6"/>
        <v>9.7000000000000003E-3</v>
      </c>
      <c r="D67" s="492">
        <f t="shared" si="2"/>
        <v>9.7000000000000003E-3</v>
      </c>
      <c r="E67" s="1482">
        <f t="shared" si="7"/>
        <v>4.8999999999999998E-3</v>
      </c>
      <c r="F67" s="1483">
        <f t="shared" si="7"/>
        <v>5.0000000000000001E-3</v>
      </c>
      <c r="L67" s="1444">
        <v>0</v>
      </c>
      <c r="M67" s="26">
        <v>0</v>
      </c>
      <c r="N67" s="26">
        <v>0</v>
      </c>
      <c r="O67" s="26">
        <v>0</v>
      </c>
      <c r="P67" s="26">
        <v>0</v>
      </c>
      <c r="S67" s="1480">
        <v>1</v>
      </c>
      <c r="T67" s="1484">
        <f>ROUND(Y67/Y68-1,4)</f>
        <v>9.7999999999999997E-3</v>
      </c>
      <c r="U67" s="1484">
        <f>ROUND(Z67/Z68-1,4)</f>
        <v>9.7000000000000003E-3</v>
      </c>
      <c r="V67" s="1484">
        <f>ROUND(AA67/AA68-1,4)</f>
        <v>4.8999999999999998E-3</v>
      </c>
      <c r="W67" s="1484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54">
        <v>2001</v>
      </c>
      <c r="Y68" s="1455">
        <v>102</v>
      </c>
      <c r="Z68" s="1455">
        <v>103</v>
      </c>
      <c r="AA68" s="1455">
        <v>103</v>
      </c>
      <c r="AB68" s="1456">
        <v>100</v>
      </c>
    </row>
    <row r="70" spans="1:28">
      <c r="A70" s="813">
        <f>COUNT(A17:A66)</f>
        <v>0</v>
      </c>
    </row>
  </sheetData>
  <sortState ref="A1:M22">
    <sortCondition descending="1" ref="A1:A22"/>
  </sortState>
  <phoneticPr fontId="10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33"/>
  <sheetViews>
    <sheetView view="pageBreakPreview" zoomScale="90" zoomScaleNormal="100" zoomScaleSheetLayoutView="90" workbookViewId="0">
      <selection activeCell="F20" sqref="F20"/>
    </sheetView>
  </sheetViews>
  <sheetFormatPr defaultColWidth="9.25" defaultRowHeight="14.25"/>
  <cols>
    <col min="1" max="1" width="12.125" style="1771" customWidth="1"/>
    <col min="2" max="2" width="10.25" style="1771" customWidth="1"/>
    <col min="3" max="3" width="18.5" style="1771" customWidth="1"/>
    <col min="4" max="4" width="11.625" style="1771" customWidth="1"/>
    <col min="5" max="5" width="13.375" style="1771" customWidth="1"/>
    <col min="6" max="8" width="11.5" style="1771" customWidth="1"/>
    <col min="9" max="9" width="11.125" style="1771" customWidth="1"/>
    <col min="10" max="10" width="3.125" style="1771" customWidth="1"/>
    <col min="11" max="16" width="10" style="1771" customWidth="1"/>
    <col min="17" max="17" width="2.625" style="1771" customWidth="1"/>
    <col min="18" max="18" width="9.375" style="1771" bestFit="1" customWidth="1"/>
    <col min="19" max="19" width="10.5" style="1771" bestFit="1" customWidth="1"/>
    <col min="20" max="16384" width="9.25" style="1771"/>
  </cols>
  <sheetData>
    <row r="1" spans="1:16" ht="18.75">
      <c r="A1" s="1769" t="s">
        <v>1926</v>
      </c>
      <c r="B1" s="1770"/>
      <c r="C1" s="1770"/>
      <c r="D1" s="1770"/>
      <c r="E1" s="1770"/>
      <c r="F1" s="1770"/>
      <c r="G1" s="1770"/>
      <c r="H1" s="1770"/>
      <c r="I1" s="1770"/>
      <c r="J1" s="1770"/>
      <c r="K1" s="1770"/>
      <c r="L1" s="1770"/>
      <c r="M1" s="1770"/>
      <c r="N1" s="1770"/>
      <c r="O1" s="1770"/>
      <c r="P1" s="1770"/>
    </row>
    <row r="2" spans="1:16" ht="15">
      <c r="A2" s="1876" t="s">
        <v>1927</v>
      </c>
      <c r="B2" s="1876"/>
      <c r="C2" s="1876"/>
      <c r="D2" s="1772" t="s">
        <v>1928</v>
      </c>
      <c r="E2" s="1773" t="s">
        <v>1929</v>
      </c>
      <c r="F2" s="1770"/>
      <c r="G2" s="1774"/>
      <c r="H2" s="1775"/>
      <c r="I2" s="1776" t="s">
        <v>1930</v>
      </c>
      <c r="J2" s="1770"/>
      <c r="K2" s="1770"/>
      <c r="L2" s="1770"/>
      <c r="M2" s="1770"/>
      <c r="N2" s="1777"/>
      <c r="O2" s="1770"/>
      <c r="P2" s="1770"/>
    </row>
    <row r="3" spans="1:16" ht="15.75" thickBot="1">
      <c r="A3" s="1877" t="s">
        <v>1931</v>
      </c>
      <c r="B3" s="1877"/>
      <c r="C3" s="1877"/>
      <c r="D3" s="1778">
        <f>'[1]数据-基础表'!AY6</f>
        <v>11147.87</v>
      </c>
      <c r="E3" s="1778">
        <f>'[1]数据-基础表'!AZ5</f>
        <v>98810.33</v>
      </c>
      <c r="F3" s="1770"/>
      <c r="G3" s="1779"/>
      <c r="H3" s="1780" t="s">
        <v>1932</v>
      </c>
      <c r="I3" s="1781">
        <f>ROUND('[1]数据-基础表'!B3/'[1]数据-基础表'!A3,2)</f>
        <v>8.86</v>
      </c>
      <c r="J3" s="1770"/>
      <c r="K3" s="1770"/>
      <c r="L3" s="1770"/>
      <c r="M3" s="1770"/>
      <c r="N3" s="1777"/>
      <c r="O3" s="1770"/>
      <c r="P3" s="1770"/>
    </row>
    <row r="4" spans="1:16" ht="15">
      <c r="A4" s="1878"/>
      <c r="B4" s="1879"/>
      <c r="C4" s="1880"/>
      <c r="D4" s="1782" t="s">
        <v>1928</v>
      </c>
      <c r="E4" s="1783" t="s">
        <v>1929</v>
      </c>
      <c r="F4" s="1770"/>
      <c r="G4" s="1784" t="s">
        <v>1933</v>
      </c>
      <c r="H4" s="1780" t="s">
        <v>1934</v>
      </c>
      <c r="I4" s="1781" t="e">
        <f>ROUND(SUMIF('[1]数据-基础表'!I9:AS9,"地上",'[1]数据-基础表'!I5:AS5)/'[1]数据-基础表'!A3,2)</f>
        <v>#VALUE!</v>
      </c>
      <c r="J4" s="1770"/>
      <c r="K4" s="1770"/>
      <c r="L4" s="1770"/>
      <c r="M4" s="1770"/>
      <c r="N4" s="1777"/>
      <c r="O4" s="1770"/>
      <c r="P4" s="1770"/>
    </row>
    <row r="5" spans="1:16">
      <c r="A5" s="1785" t="s">
        <v>1935</v>
      </c>
      <c r="B5" s="1881" t="s">
        <v>1936</v>
      </c>
      <c r="C5" s="1881"/>
      <c r="D5" s="1786" t="e">
        <f>ROUND($D$3*E5/$E$3,2)</f>
        <v>#VALUE!</v>
      </c>
      <c r="E5" s="1787" t="e">
        <f>SUMIF('[1]数据-基础表'!$11:$11,"住宅",'[1]数据-基础表'!$5:$5)</f>
        <v>#VALUE!</v>
      </c>
      <c r="F5" s="1770"/>
      <c r="G5" s="1779"/>
      <c r="H5" s="1780" t="s">
        <v>1932</v>
      </c>
      <c r="I5" s="1781">
        <f>ROUND(E31/D31,2)</f>
        <v>8.86</v>
      </c>
      <c r="J5" s="1770"/>
      <c r="K5" s="1770"/>
      <c r="L5" s="1770"/>
      <c r="M5" s="1770"/>
      <c r="N5" s="1770"/>
      <c r="O5" s="1770"/>
      <c r="P5" s="1770"/>
    </row>
    <row r="6" spans="1:16" ht="15" thickBot="1">
      <c r="A6" s="1788"/>
      <c r="B6" s="1881" t="s">
        <v>1937</v>
      </c>
      <c r="C6" s="1881"/>
      <c r="D6" s="1786" t="e">
        <f>ROUND($D$3*E6/$E$3,2)</f>
        <v>#VALUE!</v>
      </c>
      <c r="E6" s="1787" t="e">
        <f>E3-E5</f>
        <v>#VALUE!</v>
      </c>
      <c r="F6" s="1770"/>
      <c r="G6" s="1789" t="s">
        <v>1938</v>
      </c>
      <c r="H6" s="1779" t="s">
        <v>1934</v>
      </c>
      <c r="I6" s="1790" t="e">
        <f>ROUND(F31/D31,2)</f>
        <v>#VALUE!</v>
      </c>
      <c r="J6" s="1770"/>
      <c r="K6" s="1770"/>
      <c r="L6" s="1770"/>
      <c r="M6" s="1770"/>
      <c r="N6" s="1770"/>
      <c r="O6" s="1770"/>
      <c r="P6" s="1770"/>
    </row>
    <row r="7" spans="1:16" ht="15">
      <c r="A7" s="1882"/>
      <c r="B7" s="1883"/>
      <c r="C7" s="1884"/>
      <c r="D7" s="1782" t="s">
        <v>1928</v>
      </c>
      <c r="E7" s="1791" t="s">
        <v>1939</v>
      </c>
      <c r="F7" s="1770"/>
      <c r="G7" s="1774" t="s">
        <v>1940</v>
      </c>
      <c r="H7" s="1792"/>
      <c r="I7" s="1793"/>
      <c r="J7" s="1770"/>
      <c r="K7" s="1770"/>
      <c r="L7" s="1770"/>
      <c r="M7" s="1770"/>
      <c r="N7" s="1770"/>
      <c r="O7" s="1770"/>
      <c r="P7" s="1770"/>
    </row>
    <row r="8" spans="1:16">
      <c r="A8" s="1785" t="s">
        <v>1941</v>
      </c>
      <c r="B8" s="1794" t="s">
        <v>1942</v>
      </c>
      <c r="C8" s="1786" t="s">
        <v>1943</v>
      </c>
      <c r="D8" s="1786" t="e">
        <f t="shared" ref="D8:D15" si="0">ROUND($D$3*E8/$E$3,2)</f>
        <v>#VALUE!</v>
      </c>
      <c r="E8" s="1795" t="e">
        <f>SUMIF('[1]数据-基础表'!BB10:BK10,"地上",'[1]数据-基础表'!BB5:BK5)</f>
        <v>#VALUE!</v>
      </c>
      <c r="F8" s="1770"/>
      <c r="G8" s="1796"/>
      <c r="H8" s="1796"/>
      <c r="I8" s="1770"/>
      <c r="J8" s="1770"/>
      <c r="K8" s="1770"/>
      <c r="L8" s="1770"/>
      <c r="M8" s="1770"/>
      <c r="N8" s="1770"/>
      <c r="O8" s="1770"/>
      <c r="P8" s="1770"/>
    </row>
    <row r="9" spans="1:16">
      <c r="A9" s="1797"/>
      <c r="B9" s="1798"/>
      <c r="C9" s="1786" t="s">
        <v>1944</v>
      </c>
      <c r="D9" s="1786">
        <f t="shared" si="0"/>
        <v>0</v>
      </c>
      <c r="E9" s="1799">
        <v>0</v>
      </c>
      <c r="F9" s="1770"/>
      <c r="G9" s="1796"/>
      <c r="H9" s="1796"/>
      <c r="I9" s="1770"/>
      <c r="J9" s="1770"/>
      <c r="K9" s="1770"/>
      <c r="L9" s="1770"/>
      <c r="M9" s="1770"/>
      <c r="N9" s="1770"/>
      <c r="O9" s="1770"/>
      <c r="P9" s="1770"/>
    </row>
    <row r="10" spans="1:16">
      <c r="A10" s="1797"/>
      <c r="B10" s="1798"/>
      <c r="C10" s="1786" t="s">
        <v>1945</v>
      </c>
      <c r="D10" s="1786">
        <f t="shared" si="0"/>
        <v>0</v>
      </c>
      <c r="E10" s="1795">
        <f>SUMPRODUCT(('[1]数据-基础表'!BB10:BK10="地下")*('[1]数据-基础表'!BB11:BK11="商业")*('[1]数据-基础表'!BB5:BK5))</f>
        <v>0</v>
      </c>
      <c r="F10" s="1770"/>
      <c r="G10" s="1796"/>
      <c r="H10" s="1796"/>
      <c r="I10" s="1770"/>
      <c r="J10" s="1770"/>
      <c r="K10" s="1770"/>
      <c r="L10" s="1770"/>
      <c r="M10" s="1770"/>
      <c r="N10" s="1770"/>
      <c r="O10" s="1770"/>
      <c r="P10" s="1770"/>
    </row>
    <row r="11" spans="1:16">
      <c r="A11" s="1797"/>
      <c r="B11" s="1798"/>
      <c r="C11" s="1786" t="s">
        <v>1946</v>
      </c>
      <c r="D11" s="1786">
        <f t="shared" si="0"/>
        <v>0</v>
      </c>
      <c r="E11" s="1795">
        <f>SUMPRODUCT(('[1]数据-基础表'!BB10:BK10="地下")*('[1]数据-基础表'!BB11:BK11="办公")*('[1]数据-基础表'!BB5:BK5))+'[1]数据-基础表'!BP5</f>
        <v>0</v>
      </c>
      <c r="F11" s="1770"/>
      <c r="G11" s="1796"/>
      <c r="H11" s="1796"/>
      <c r="I11" s="1770"/>
      <c r="J11" s="1770"/>
      <c r="K11" s="1770"/>
      <c r="L11" s="1770"/>
      <c r="M11" s="1770"/>
      <c r="N11" s="1770"/>
      <c r="O11" s="1770"/>
      <c r="P11" s="1770"/>
    </row>
    <row r="12" spans="1:16">
      <c r="A12" s="1797"/>
      <c r="B12" s="1798"/>
      <c r="C12" s="1786" t="s">
        <v>1947</v>
      </c>
      <c r="D12" s="1786">
        <f t="shared" si="0"/>
        <v>780.12</v>
      </c>
      <c r="E12" s="1795">
        <f>SUMPRODUCT(('[1]数据-基础表'!BB10:BK10="地下")*('[1]数据-基础表'!BB11:BK11="仓储")*('[1]数据-基础表'!BB5:BK5))</f>
        <v>6914.72</v>
      </c>
      <c r="F12" s="1770"/>
      <c r="G12" s="1796"/>
      <c r="H12" s="1796"/>
      <c r="I12" s="1770"/>
      <c r="J12" s="1770"/>
      <c r="K12" s="1770"/>
      <c r="L12" s="1770"/>
      <c r="M12" s="1770"/>
      <c r="N12" s="1770"/>
      <c r="O12" s="1770"/>
      <c r="P12" s="1770"/>
    </row>
    <row r="13" spans="1:16">
      <c r="A13" s="1797"/>
      <c r="B13" s="1798"/>
      <c r="C13" s="1786" t="s">
        <v>1948</v>
      </c>
      <c r="D13" s="1786">
        <f t="shared" si="0"/>
        <v>0</v>
      </c>
      <c r="E13" s="1795">
        <f>SUMPRODUCT(('[1]数据-基础表'!BB10:BK10="地下")*('[1]数据-基础表'!BB11:BK11="车库")*('[1]数据-基础表'!BB5:BK5))</f>
        <v>0</v>
      </c>
      <c r="F13" s="1770"/>
      <c r="G13" s="1796"/>
      <c r="H13" s="1796"/>
      <c r="I13" s="1770"/>
      <c r="J13" s="1770"/>
      <c r="K13" s="1770"/>
      <c r="L13" s="1770"/>
      <c r="M13" s="1770"/>
      <c r="N13" s="1770"/>
      <c r="O13" s="1770"/>
      <c r="P13" s="1770"/>
    </row>
    <row r="14" spans="1:16">
      <c r="A14" s="1797"/>
      <c r="B14" s="1798"/>
      <c r="C14" s="1786" t="s">
        <v>1949</v>
      </c>
      <c r="D14" s="1786">
        <f t="shared" si="0"/>
        <v>1803.72</v>
      </c>
      <c r="E14" s="1795">
        <f>SUMPRODUCT(('[1]数据-基础表'!BB10:BK10="地下")*('[1]数据-基础表'!BB11:BK11="车库—商业")*('[1]数据-基础表'!BB5:BK5))</f>
        <v>15987.419999999998</v>
      </c>
      <c r="F14" s="1770"/>
      <c r="G14" s="1796"/>
      <c r="H14" s="1796"/>
      <c r="I14" s="1770"/>
      <c r="J14" s="1770"/>
      <c r="K14" s="1770"/>
      <c r="L14" s="1770"/>
      <c r="M14" s="1770"/>
      <c r="N14" s="1770"/>
      <c r="O14" s="1770"/>
      <c r="P14" s="1770"/>
    </row>
    <row r="15" spans="1:16" ht="15" thickBot="1">
      <c r="A15" s="1797"/>
      <c r="B15" s="1798"/>
      <c r="C15" s="1786" t="s">
        <v>1950</v>
      </c>
      <c r="D15" s="1786">
        <f t="shared" si="0"/>
        <v>0</v>
      </c>
      <c r="E15" s="1795">
        <f>SUMPRODUCT(('[1]数据-基础表'!BB10:BK10="地下")*('[1]数据-基础表'!BB11:BK11="车库—办公")*('[1]数据-基础表'!BB5:BK5))</f>
        <v>0</v>
      </c>
      <c r="F15" s="1770"/>
      <c r="G15" s="1796"/>
      <c r="H15" s="1796"/>
      <c r="I15" s="1770"/>
      <c r="J15" s="1770"/>
      <c r="K15" s="1770"/>
      <c r="L15" s="1770"/>
      <c r="M15" s="1770"/>
      <c r="N15" s="1770"/>
      <c r="O15" s="1770"/>
      <c r="P15" s="1770"/>
    </row>
    <row r="16" spans="1:16" ht="15.75" thickBot="1">
      <c r="A16" s="1788"/>
      <c r="B16" s="1798"/>
      <c r="C16" s="1794" t="s">
        <v>1951</v>
      </c>
      <c r="D16" s="1794" t="e">
        <f>SUM(D8:D15)</f>
        <v>#VALUE!</v>
      </c>
      <c r="E16" s="1800" t="e">
        <f>SUM(E8:E15)</f>
        <v>#VALUE!</v>
      </c>
      <c r="F16" s="1770"/>
      <c r="G16" s="1796"/>
      <c r="H16" s="1801" t="s">
        <v>1952</v>
      </c>
      <c r="I16" s="1802"/>
      <c r="J16" s="1770"/>
      <c r="K16" s="1870" t="s">
        <v>1952</v>
      </c>
      <c r="L16" s="1871"/>
      <c r="M16" s="1871"/>
      <c r="N16" s="1871"/>
      <c r="O16" s="1871"/>
      <c r="P16" s="1872"/>
    </row>
    <row r="17" spans="1:19" ht="15">
      <c r="A17" s="1803" t="s">
        <v>1953</v>
      </c>
      <c r="B17" s="1804" t="s">
        <v>1954</v>
      </c>
      <c r="C17" s="1805" t="s">
        <v>1955</v>
      </c>
      <c r="D17" s="1806" t="s">
        <v>1928</v>
      </c>
      <c r="E17" s="1807" t="s">
        <v>1929</v>
      </c>
      <c r="F17" s="1808"/>
      <c r="G17" s="1809"/>
      <c r="H17" s="1810" t="s">
        <v>1956</v>
      </c>
      <c r="I17" s="1811" t="s">
        <v>1957</v>
      </c>
      <c r="J17" s="1770"/>
      <c r="K17" s="1873" t="s">
        <v>1958</v>
      </c>
      <c r="L17" s="1874"/>
      <c r="M17" s="1875"/>
      <c r="N17" s="1873" t="s">
        <v>1959</v>
      </c>
      <c r="O17" s="1874"/>
      <c r="P17" s="1875"/>
      <c r="R17" s="1774" t="s">
        <v>1960</v>
      </c>
      <c r="S17" s="1792"/>
    </row>
    <row r="18" spans="1:19" ht="15">
      <c r="A18" s="1797"/>
      <c r="B18" s="1812"/>
      <c r="C18" s="1813"/>
      <c r="D18" s="1814"/>
      <c r="E18" s="1815" t="s">
        <v>1961</v>
      </c>
      <c r="F18" s="1816" t="s">
        <v>1934</v>
      </c>
      <c r="G18" s="1817" t="s">
        <v>1962</v>
      </c>
      <c r="H18" s="1818" t="s">
        <v>1963</v>
      </c>
      <c r="I18" s="1819" t="s">
        <v>1964</v>
      </c>
      <c r="J18" s="1770"/>
      <c r="K18" s="1818" t="s">
        <v>1965</v>
      </c>
      <c r="L18" s="1820" t="s">
        <v>1966</v>
      </c>
      <c r="M18" s="1821" t="s">
        <v>1967</v>
      </c>
      <c r="N18" s="1818" t="s">
        <v>1965</v>
      </c>
      <c r="O18" s="1820" t="s">
        <v>1966</v>
      </c>
      <c r="P18" s="1821" t="s">
        <v>1967</v>
      </c>
      <c r="R18" s="1780" t="s">
        <v>1963</v>
      </c>
      <c r="S18" s="1780" t="s">
        <v>1964</v>
      </c>
    </row>
    <row r="19" spans="1:19">
      <c r="A19" s="1822"/>
      <c r="B19" s="1794" t="s">
        <v>1968</v>
      </c>
      <c r="C19" s="1823" t="s">
        <v>1969</v>
      </c>
      <c r="D19" s="1786">
        <f>ROUND($D$3*E19/$E$3,2)</f>
        <v>1234.48</v>
      </c>
      <c r="E19" s="1824">
        <f t="shared" ref="E19:E26" si="1">SUM(F19:G19)</f>
        <v>10941.939999999999</v>
      </c>
      <c r="F19" s="1825">
        <f>'[1]数据-基础表'!I13</f>
        <v>10941.939999999999</v>
      </c>
      <c r="G19" s="1826"/>
      <c r="H19" s="1827">
        <f>ROUND($D$3*I19/$E$3,2)</f>
        <v>0</v>
      </c>
      <c r="I19" s="1795">
        <f t="shared" ref="I19:I26" si="2">IF($I$17="自定义",P19,M19)</f>
        <v>0</v>
      </c>
      <c r="J19" s="1770"/>
      <c r="K19" s="1828">
        <f t="shared" ref="K19:K26" si="3">ROUND(E$28*E19/E$27,2)</f>
        <v>0</v>
      </c>
      <c r="L19" s="1780">
        <f t="shared" ref="L19:L26" si="4">ROUND(IF(COUNTIF(C19,"*住宅*")&gt;0,E$29*E19/E$32,0),2)</f>
        <v>0</v>
      </c>
      <c r="M19" s="1829">
        <f>K19+L19</f>
        <v>0</v>
      </c>
      <c r="N19" s="1830"/>
      <c r="O19" s="1831"/>
      <c r="P19" s="1829">
        <f>N19+O19</f>
        <v>0</v>
      </c>
      <c r="R19" s="1780">
        <f t="shared" ref="R19:S26" si="5">D19+H19</f>
        <v>1234.48</v>
      </c>
      <c r="S19" s="1832">
        <f t="shared" si="5"/>
        <v>10941.939999999999</v>
      </c>
    </row>
    <row r="20" spans="1:19">
      <c r="A20" s="1833"/>
      <c r="B20" s="1794" t="s">
        <v>1970</v>
      </c>
      <c r="C20" s="1823" t="s">
        <v>1971</v>
      </c>
      <c r="D20" s="1786">
        <f t="shared" ref="D20:D26" si="6">ROUND($D$3*E20/$E$3,2)</f>
        <v>378.87</v>
      </c>
      <c r="E20" s="1824">
        <f t="shared" si="1"/>
        <v>3358.16</v>
      </c>
      <c r="F20" s="1825">
        <f>'[1]数据-基础表'!K13</f>
        <v>3358.16</v>
      </c>
      <c r="G20" s="1826"/>
      <c r="H20" s="1827">
        <f t="shared" ref="H20:H26" si="7">ROUND($D$3*I20/$E$3,2)</f>
        <v>0</v>
      </c>
      <c r="I20" s="1795">
        <f t="shared" si="2"/>
        <v>0</v>
      </c>
      <c r="J20" s="1770"/>
      <c r="K20" s="1828">
        <f t="shared" si="3"/>
        <v>0</v>
      </c>
      <c r="L20" s="1780">
        <f t="shared" si="4"/>
        <v>0</v>
      </c>
      <c r="M20" s="1829">
        <f t="shared" ref="M20:M26" si="8">K20+L20</f>
        <v>0</v>
      </c>
      <c r="N20" s="1830"/>
      <c r="O20" s="1831"/>
      <c r="P20" s="1829">
        <f t="shared" ref="P20:P26" si="9">N20+O20</f>
        <v>0</v>
      </c>
      <c r="R20" s="1780">
        <f t="shared" si="5"/>
        <v>378.87</v>
      </c>
      <c r="S20" s="1832">
        <f t="shared" si="5"/>
        <v>3358.16</v>
      </c>
    </row>
    <row r="21" spans="1:19">
      <c r="A21" s="1833"/>
      <c r="B21" s="1794" t="s">
        <v>1970</v>
      </c>
      <c r="C21" s="1823" t="s">
        <v>1972</v>
      </c>
      <c r="D21" s="1786">
        <f t="shared" si="6"/>
        <v>6950.68</v>
      </c>
      <c r="E21" s="1824">
        <f t="shared" si="1"/>
        <v>61608.09</v>
      </c>
      <c r="F21" s="1825">
        <f>'[1]数据-基础表'!M13</f>
        <v>61608.09</v>
      </c>
      <c r="G21" s="1826"/>
      <c r="H21" s="1827">
        <f t="shared" si="7"/>
        <v>0</v>
      </c>
      <c r="I21" s="1795">
        <f t="shared" si="2"/>
        <v>0</v>
      </c>
      <c r="J21" s="1770"/>
      <c r="K21" s="1828">
        <f t="shared" si="3"/>
        <v>0</v>
      </c>
      <c r="L21" s="1780">
        <f t="shared" si="4"/>
        <v>0</v>
      </c>
      <c r="M21" s="1829">
        <f t="shared" si="8"/>
        <v>0</v>
      </c>
      <c r="N21" s="1830"/>
      <c r="O21" s="1831"/>
      <c r="P21" s="1829">
        <f t="shared" si="9"/>
        <v>0</v>
      </c>
      <c r="R21" s="1780">
        <f t="shared" si="5"/>
        <v>6950.68</v>
      </c>
      <c r="S21" s="1832">
        <f t="shared" si="5"/>
        <v>61608.09</v>
      </c>
    </row>
    <row r="22" spans="1:19">
      <c r="A22" s="1833"/>
      <c r="B22" s="1794" t="s">
        <v>1970</v>
      </c>
      <c r="C22" s="1834" t="s">
        <v>1973</v>
      </c>
      <c r="D22" s="1786">
        <f t="shared" si="6"/>
        <v>1803.72</v>
      </c>
      <c r="E22" s="1824">
        <f t="shared" si="1"/>
        <v>15987.419999999998</v>
      </c>
      <c r="F22" s="1835"/>
      <c r="G22" s="1836">
        <f>'[1]数据-基础表'!Q13</f>
        <v>15987.419999999998</v>
      </c>
      <c r="H22" s="1827">
        <f t="shared" si="7"/>
        <v>0</v>
      </c>
      <c r="I22" s="1795">
        <f t="shared" si="2"/>
        <v>0</v>
      </c>
      <c r="J22" s="1770"/>
      <c r="K22" s="1828">
        <f t="shared" si="3"/>
        <v>0</v>
      </c>
      <c r="L22" s="1780">
        <f t="shared" si="4"/>
        <v>0</v>
      </c>
      <c r="M22" s="1829">
        <f t="shared" si="8"/>
        <v>0</v>
      </c>
      <c r="N22" s="1830"/>
      <c r="O22" s="1831"/>
      <c r="P22" s="1829">
        <f t="shared" si="9"/>
        <v>0</v>
      </c>
      <c r="R22" s="1780">
        <f t="shared" si="5"/>
        <v>1803.72</v>
      </c>
      <c r="S22" s="1832">
        <f t="shared" si="5"/>
        <v>15987.419999999998</v>
      </c>
    </row>
    <row r="23" spans="1:19">
      <c r="A23" s="1833"/>
      <c r="B23" s="1794" t="s">
        <v>1970</v>
      </c>
      <c r="C23" s="1834" t="s">
        <v>1974</v>
      </c>
      <c r="D23" s="1786">
        <f>ROUND($D$3*E23/$E$3,2)</f>
        <v>780.12</v>
      </c>
      <c r="E23" s="1824">
        <f>SUM(F23:G23)</f>
        <v>6914.72</v>
      </c>
      <c r="F23" s="1835"/>
      <c r="G23" s="1836">
        <f>'[1]数据-基础表'!O13</f>
        <v>6914.72</v>
      </c>
      <c r="H23" s="1827">
        <f>ROUND($D$3*I23/$E$3,2)</f>
        <v>0</v>
      </c>
      <c r="I23" s="1795">
        <f t="shared" si="2"/>
        <v>0</v>
      </c>
      <c r="J23" s="1770"/>
      <c r="K23" s="1828">
        <f t="shared" si="3"/>
        <v>0</v>
      </c>
      <c r="L23" s="1780">
        <f t="shared" si="4"/>
        <v>0</v>
      </c>
      <c r="M23" s="1829">
        <f t="shared" si="8"/>
        <v>0</v>
      </c>
      <c r="N23" s="1830"/>
      <c r="O23" s="1831"/>
      <c r="P23" s="1829">
        <f t="shared" si="9"/>
        <v>0</v>
      </c>
      <c r="R23" s="1780">
        <f t="shared" si="5"/>
        <v>780.12</v>
      </c>
      <c r="S23" s="1832">
        <f t="shared" si="5"/>
        <v>6914.72</v>
      </c>
    </row>
    <row r="24" spans="1:19">
      <c r="A24" s="1833"/>
      <c r="B24" s="1794" t="s">
        <v>1970</v>
      </c>
      <c r="C24" s="1837"/>
      <c r="D24" s="1786">
        <f>ROUND($D$3*E24/$E$3,2)</f>
        <v>0</v>
      </c>
      <c r="E24" s="1824">
        <f>SUM(F24:G24)</f>
        <v>0</v>
      </c>
      <c r="F24" s="1835"/>
      <c r="G24" s="1836"/>
      <c r="H24" s="1827">
        <f>ROUND($D$3*I24/$E$3,2)</f>
        <v>0</v>
      </c>
      <c r="I24" s="1795">
        <f t="shared" si="2"/>
        <v>0</v>
      </c>
      <c r="J24" s="1770"/>
      <c r="K24" s="1828">
        <f t="shared" si="3"/>
        <v>0</v>
      </c>
      <c r="L24" s="1780">
        <f t="shared" si="4"/>
        <v>0</v>
      </c>
      <c r="M24" s="1829">
        <f t="shared" si="8"/>
        <v>0</v>
      </c>
      <c r="N24" s="1830"/>
      <c r="O24" s="1831"/>
      <c r="P24" s="1829">
        <f t="shared" si="9"/>
        <v>0</v>
      </c>
      <c r="R24" s="1780">
        <f t="shared" si="5"/>
        <v>0</v>
      </c>
      <c r="S24" s="1832">
        <f t="shared" si="5"/>
        <v>0</v>
      </c>
    </row>
    <row r="25" spans="1:19">
      <c r="A25" s="1833"/>
      <c r="B25" s="1794" t="s">
        <v>1970</v>
      </c>
      <c r="C25" s="1837"/>
      <c r="D25" s="1786">
        <f t="shared" si="6"/>
        <v>0</v>
      </c>
      <c r="E25" s="1824">
        <f t="shared" si="1"/>
        <v>0</v>
      </c>
      <c r="F25" s="1835"/>
      <c r="G25" s="1836"/>
      <c r="H25" s="1785">
        <f t="shared" si="7"/>
        <v>0</v>
      </c>
      <c r="I25" s="1795">
        <f t="shared" si="2"/>
        <v>0</v>
      </c>
      <c r="J25" s="1770"/>
      <c r="K25" s="1828">
        <f t="shared" si="3"/>
        <v>0</v>
      </c>
      <c r="L25" s="1780">
        <f t="shared" si="4"/>
        <v>0</v>
      </c>
      <c r="M25" s="1829">
        <f t="shared" si="8"/>
        <v>0</v>
      </c>
      <c r="N25" s="1830"/>
      <c r="O25" s="1831"/>
      <c r="P25" s="1829">
        <f t="shared" si="9"/>
        <v>0</v>
      </c>
      <c r="R25" s="1780">
        <f t="shared" si="5"/>
        <v>0</v>
      </c>
      <c r="S25" s="1832">
        <f t="shared" si="5"/>
        <v>0</v>
      </c>
    </row>
    <row r="26" spans="1:19">
      <c r="A26" s="1833"/>
      <c r="B26" s="1794" t="s">
        <v>1970</v>
      </c>
      <c r="C26" s="1838"/>
      <c r="D26" s="1786">
        <f t="shared" si="6"/>
        <v>0</v>
      </c>
      <c r="E26" s="1824">
        <f t="shared" si="1"/>
        <v>0</v>
      </c>
      <c r="F26" s="1835"/>
      <c r="G26" s="1836"/>
      <c r="H26" s="1785">
        <f t="shared" si="7"/>
        <v>0</v>
      </c>
      <c r="I26" s="1795">
        <f t="shared" si="2"/>
        <v>0</v>
      </c>
      <c r="J26" s="1770"/>
      <c r="K26" s="1839">
        <f t="shared" si="3"/>
        <v>0</v>
      </c>
      <c r="L26" s="1779">
        <f t="shared" si="4"/>
        <v>0</v>
      </c>
      <c r="M26" s="1840">
        <f t="shared" si="8"/>
        <v>0</v>
      </c>
      <c r="N26" s="1841"/>
      <c r="O26" s="1842"/>
      <c r="P26" s="1840">
        <f t="shared" si="9"/>
        <v>0</v>
      </c>
      <c r="R26" s="1780">
        <f t="shared" si="5"/>
        <v>0</v>
      </c>
      <c r="S26" s="1832">
        <f t="shared" si="5"/>
        <v>0</v>
      </c>
    </row>
    <row r="27" spans="1:19" ht="15.75" thickBot="1">
      <c r="A27" s="1833"/>
      <c r="B27" s="1786"/>
      <c r="C27" s="1843" t="s">
        <v>1975</v>
      </c>
      <c r="D27" s="1844">
        <f>SUM(D19:D26)</f>
        <v>11147.87</v>
      </c>
      <c r="E27" s="1845">
        <f>IF(SUM(E19:E26)='[1]数据-基础表'!BA5,SUM(E19:E26),IF(F27="地上面积有误","面积有误","地下面积有误"))</f>
        <v>98810.33</v>
      </c>
      <c r="F27" s="1844" t="e">
        <f>IF(SUM(F19:F26)=E8,SUM(F19:F26),"地上面积有误")</f>
        <v>#VALUE!</v>
      </c>
      <c r="G27" s="1846">
        <f>SUM(G19:G26)</f>
        <v>22902.14</v>
      </c>
      <c r="H27" s="1847">
        <f>SUM(H19:H26)</f>
        <v>0</v>
      </c>
      <c r="I27" s="1848">
        <f>SUM(I19:I26)</f>
        <v>0</v>
      </c>
      <c r="J27" s="1770"/>
      <c r="K27" s="1849">
        <f>SUM(K19:K26)</f>
        <v>0</v>
      </c>
      <c r="L27" s="1850">
        <f>SUM(L19:L26)</f>
        <v>0</v>
      </c>
      <c r="M27" s="1851">
        <f>SUM(M19:M26)</f>
        <v>0</v>
      </c>
      <c r="N27" s="1849">
        <f t="shared" ref="N27:O27" si="10">SUM(N19:N26)</f>
        <v>0</v>
      </c>
      <c r="O27" s="1850">
        <f t="shared" si="10"/>
        <v>0</v>
      </c>
      <c r="P27" s="1852">
        <f>SUM(P19:P26)</f>
        <v>0</v>
      </c>
      <c r="R27" s="1853">
        <f>IF(SUM(R19:R26)=$D$3,SUM(R19:R26),SUM(R19:R26)&amp;"误差"&amp;ROUND(SUM(R19:R26)-$D$3,2))</f>
        <v>11147.87</v>
      </c>
      <c r="S27" s="1780">
        <f>IF(SUM(S19:S26)=$E$3,SUM(S19:S26),SUM(S19:S26)&amp;"误差"&amp;ROUND(SUM(S19:S26)-E3,2))</f>
        <v>98810.33</v>
      </c>
    </row>
    <row r="28" spans="1:19">
      <c r="A28" s="1833"/>
      <c r="B28" s="1794" t="s">
        <v>1976</v>
      </c>
      <c r="C28" s="1854" t="s">
        <v>1977</v>
      </c>
      <c r="D28" s="1786">
        <f>ROUND($D$3*E28/$E$3,2)</f>
        <v>0</v>
      </c>
      <c r="E28" s="1824">
        <f>SUM(F28:G28)</f>
        <v>0</v>
      </c>
      <c r="F28" s="1792">
        <f>'[1]数据-基础表'!BQ5+'[1]数据-基础表'!BS5</f>
        <v>0</v>
      </c>
      <c r="G28" s="1855">
        <f>'[1]数据-基础表'!BR5+'[1]数据-基础表'!BT5</f>
        <v>0</v>
      </c>
      <c r="H28" s="1770"/>
      <c r="I28" s="1770"/>
      <c r="J28" s="1770"/>
      <c r="K28" s="1770"/>
      <c r="L28" s="1770"/>
      <c r="M28" s="1770"/>
      <c r="N28" s="1770"/>
      <c r="O28" s="1770"/>
      <c r="P28" s="1770"/>
    </row>
    <row r="29" spans="1:19">
      <c r="A29" s="1833"/>
      <c r="B29" s="1794" t="s">
        <v>1976</v>
      </c>
      <c r="C29" s="1856" t="s">
        <v>1978</v>
      </c>
      <c r="D29" s="1786">
        <f>ROUND($D$3*E29/$E$3,2)</f>
        <v>0</v>
      </c>
      <c r="E29" s="1824">
        <f>SUM(F29:G29)</f>
        <v>0</v>
      </c>
      <c r="F29" s="1857">
        <f>'[1]数据-基础表'!BM5+'[1]数据-基础表'!BO5</f>
        <v>0</v>
      </c>
      <c r="G29" s="1840">
        <f>'[1]数据-基础表'!BN5+'[1]数据-基础表'!BP5</f>
        <v>0</v>
      </c>
      <c r="H29" s="1770"/>
      <c r="I29" s="1770"/>
      <c r="J29" s="1770"/>
      <c r="K29" s="1770"/>
      <c r="L29" s="1770"/>
      <c r="M29" s="1770"/>
      <c r="N29" s="1770"/>
      <c r="O29" s="1770"/>
      <c r="P29" s="1770"/>
    </row>
    <row r="30" spans="1:19" ht="15">
      <c r="A30" s="1833"/>
      <c r="B30" s="1794"/>
      <c r="C30" s="1858" t="s">
        <v>1975</v>
      </c>
      <c r="D30" s="1844">
        <f>SUM(D28:D29)</f>
        <v>0</v>
      </c>
      <c r="E30" s="1844">
        <f>SUM(E28:E29)</f>
        <v>0</v>
      </c>
      <c r="F30" s="1844">
        <f>SUM(F28:F29)</f>
        <v>0</v>
      </c>
      <c r="G30" s="1846">
        <f>SUM(G28:G29)</f>
        <v>0</v>
      </c>
      <c r="H30" s="1770"/>
      <c r="I30" s="1770"/>
      <c r="J30" s="1770"/>
      <c r="K30" s="1770"/>
      <c r="L30" s="1770"/>
      <c r="M30" s="1770"/>
      <c r="N30" s="1770"/>
      <c r="O30" s="1770"/>
      <c r="P30" s="1770"/>
    </row>
    <row r="31" spans="1:19" ht="15.75" thickBot="1">
      <c r="A31" s="1859"/>
      <c r="B31" s="1860"/>
      <c r="C31" s="1861" t="s">
        <v>1979</v>
      </c>
      <c r="D31" s="1862">
        <f>D27+D30</f>
        <v>11147.87</v>
      </c>
      <c r="E31" s="1862">
        <f>E27+E30</f>
        <v>98810.33</v>
      </c>
      <c r="F31" s="1863" t="e">
        <f>F27+F30</f>
        <v>#VALUE!</v>
      </c>
      <c r="G31" s="1864">
        <f>G27+G30</f>
        <v>22902.14</v>
      </c>
      <c r="H31" s="1770"/>
      <c r="I31" s="1770"/>
      <c r="J31" s="1770"/>
      <c r="K31" s="1770"/>
      <c r="L31" s="1770"/>
      <c r="M31" s="1770"/>
      <c r="N31" s="1770"/>
      <c r="O31" s="1770"/>
      <c r="P31" s="1770"/>
    </row>
    <row r="32" spans="1:19">
      <c r="A32" s="1784"/>
      <c r="B32" s="1784" t="s">
        <v>1980</v>
      </c>
      <c r="C32" s="1784"/>
      <c r="D32" s="1784"/>
      <c r="E32" s="1865">
        <f>SUMIF(C19:C26,"*住宅*",E19:E26)</f>
        <v>0</v>
      </c>
      <c r="F32" s="1784"/>
      <c r="G32" s="1784"/>
      <c r="H32" s="1770"/>
      <c r="I32" s="1770"/>
      <c r="J32" s="1770"/>
      <c r="K32" s="1770"/>
      <c r="L32" s="1770"/>
      <c r="M32" s="1770"/>
      <c r="N32" s="1770"/>
      <c r="O32" s="1770"/>
      <c r="P32" s="1770"/>
    </row>
    <row r="33" spans="4:4">
      <c r="D33" s="1866"/>
    </row>
  </sheetData>
  <sheetProtection password="C66D" sheet="1" objects="1" scenarios="1" formatCells="0" formatColumns="0" formatRows="0"/>
  <mergeCells count="9">
    <mergeCell ref="K16:P16"/>
    <mergeCell ref="K17:M17"/>
    <mergeCell ref="N17:P17"/>
    <mergeCell ref="A2:C2"/>
    <mergeCell ref="A3:C3"/>
    <mergeCell ref="A4:C4"/>
    <mergeCell ref="B5:C5"/>
    <mergeCell ref="B6:C6"/>
    <mergeCell ref="A7:C7"/>
  </mergeCells>
  <phoneticPr fontId="109" type="noConversion"/>
  <conditionalFormatting sqref="E27">
    <cfRule type="containsText" dxfId="27" priority="1" stopIfTrue="1" operator="containsText" text="面积有误">
      <formula>NOT(ISERROR(SEARCH("面积有误",E27)))</formula>
    </cfRule>
    <cfRule type="cellIs" dxfId="26" priority="3" stopIfTrue="1" operator="equal">
      <formula>"地下面积有误"</formula>
    </cfRule>
  </conditionalFormatting>
  <conditionalFormatting sqref="F27">
    <cfRule type="cellIs" dxfId="25" priority="2" stopIfTrue="1" operator="equal">
      <formula>"地上面积有误"</formula>
    </cfRule>
  </conditionalFormatting>
  <dataValidations count="2">
    <dataValidation type="list" allowBlank="1" showInputMessage="1" showErrorMessage="1" sqref="I17">
      <formula1>"自定义,按面积比例"</formula1>
    </dataValidation>
    <dataValidation type="list" allowBlank="1" showInputMessage="1" showErrorMessage="1" sqref="B28:B29 B19:B26">
      <formula1>类别</formula1>
    </dataValidation>
  </dataValidations>
  <pageMargins left="0.7" right="0.7" top="0.75" bottom="0.75" header="0.3" footer="0.3"/>
  <pageSetup paperSize="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zoomScaleNormal="100" workbookViewId="0">
      <selection activeCell="J13" sqref="J13"/>
    </sheetView>
  </sheetViews>
  <sheetFormatPr defaultRowHeight="12"/>
  <cols>
    <col min="1" max="1" width="9" style="1760"/>
    <col min="2" max="2" width="15.5" style="1761" customWidth="1"/>
    <col min="3" max="4" width="9" style="1760"/>
    <col min="5" max="5" width="9" style="1761"/>
    <col min="6" max="7" width="9" style="1760"/>
    <col min="8" max="9" width="10.5" style="1760" customWidth="1"/>
    <col min="10" max="10" width="14" style="1761" customWidth="1"/>
    <col min="11" max="16384" width="9" style="1760"/>
  </cols>
  <sheetData>
    <row r="1" spans="1:13">
      <c r="A1" s="1885" t="s">
        <v>1780</v>
      </c>
      <c r="B1" s="1885"/>
      <c r="C1" s="1885"/>
      <c r="D1" s="1885"/>
      <c r="E1" s="1885"/>
    </row>
    <row r="2" spans="1:13">
      <c r="A2" s="1762" t="s">
        <v>1781</v>
      </c>
      <c r="B2" s="1763" t="s">
        <v>1782</v>
      </c>
      <c r="C2" s="1762" t="s">
        <v>1783</v>
      </c>
      <c r="D2" s="1762" t="s">
        <v>1784</v>
      </c>
      <c r="E2" s="1763" t="s">
        <v>1785</v>
      </c>
    </row>
    <row r="3" spans="1:13">
      <c r="A3" s="1762">
        <v>1</v>
      </c>
      <c r="B3" s="1763" t="s">
        <v>1786</v>
      </c>
      <c r="C3" s="1762">
        <v>83.17</v>
      </c>
      <c r="D3" s="1762"/>
      <c r="E3" s="1763" t="s">
        <v>1787</v>
      </c>
      <c r="G3" s="1762" t="s">
        <v>1788</v>
      </c>
      <c r="H3" s="1762" t="s">
        <v>1789</v>
      </c>
      <c r="I3" s="1762" t="s">
        <v>1790</v>
      </c>
      <c r="J3" s="1763" t="s">
        <v>1791</v>
      </c>
      <c r="L3" s="1760" t="s">
        <v>1792</v>
      </c>
      <c r="M3" s="1760" t="s">
        <v>1793</v>
      </c>
    </row>
    <row r="4" spans="1:13">
      <c r="A4" s="1762">
        <v>2</v>
      </c>
      <c r="B4" s="1763" t="s">
        <v>1794</v>
      </c>
      <c r="C4" s="1762">
        <v>2704.7</v>
      </c>
      <c r="D4" s="1762" t="s">
        <v>1795</v>
      </c>
      <c r="E4" s="1763" t="s">
        <v>1796</v>
      </c>
      <c r="G4" s="1762" t="s">
        <v>1797</v>
      </c>
      <c r="H4" s="1762">
        <f>C26+C29+C30+C31+C33</f>
        <v>10941.939999999999</v>
      </c>
      <c r="I4" s="1762">
        <v>0</v>
      </c>
      <c r="J4" s="1763" t="s">
        <v>1798</v>
      </c>
      <c r="L4" s="1760">
        <f>C26+C29+C30+C31</f>
        <v>4137.24</v>
      </c>
      <c r="M4" s="1760">
        <f>C33</f>
        <v>6804.7</v>
      </c>
    </row>
    <row r="5" spans="1:13">
      <c r="A5" s="1762">
        <v>3</v>
      </c>
      <c r="B5" s="1763" t="s">
        <v>1799</v>
      </c>
      <c r="C5" s="1762">
        <v>11208.56</v>
      </c>
      <c r="D5" s="1762" t="s">
        <v>1800</v>
      </c>
      <c r="E5" s="1763" t="s">
        <v>1801</v>
      </c>
      <c r="G5" s="1762" t="s">
        <v>1802</v>
      </c>
      <c r="H5" s="1762">
        <f>C39+C42</f>
        <v>3358.16</v>
      </c>
      <c r="I5" s="1762">
        <v>0</v>
      </c>
      <c r="J5" s="1763" t="s">
        <v>1803</v>
      </c>
    </row>
    <row r="6" spans="1:13">
      <c r="A6" s="1762">
        <v>4</v>
      </c>
      <c r="B6" s="1763" t="s">
        <v>1804</v>
      </c>
      <c r="C6" s="1762">
        <v>1422.12</v>
      </c>
      <c r="D6" s="1762"/>
      <c r="E6" s="1763" t="s">
        <v>1805</v>
      </c>
      <c r="G6" s="1762" t="s">
        <v>1806</v>
      </c>
      <c r="H6" s="1762">
        <f>C27+C28+C35+C37+C40+SUM(C43:C63)</f>
        <v>61608.09</v>
      </c>
      <c r="I6" s="1762">
        <v>0</v>
      </c>
      <c r="J6" s="1763" t="s">
        <v>1807</v>
      </c>
    </row>
    <row r="7" spans="1:13">
      <c r="A7" s="1762">
        <v>5</v>
      </c>
      <c r="B7" s="1763" t="s">
        <v>1808</v>
      </c>
      <c r="C7" s="1762">
        <v>90.92</v>
      </c>
      <c r="D7" s="1762" t="s">
        <v>1809</v>
      </c>
      <c r="E7" s="1763" t="s">
        <v>1810</v>
      </c>
      <c r="G7" s="1762" t="s">
        <v>1811</v>
      </c>
      <c r="H7" s="1762">
        <v>0</v>
      </c>
      <c r="I7" s="1762">
        <f>C4+C5+C19</f>
        <v>15987.419999999998</v>
      </c>
      <c r="J7" s="1763" t="s">
        <v>1812</v>
      </c>
    </row>
    <row r="8" spans="1:13">
      <c r="A8" s="1762">
        <v>6</v>
      </c>
      <c r="B8" s="1763" t="s">
        <v>1813</v>
      </c>
      <c r="C8" s="1762">
        <v>184</v>
      </c>
      <c r="D8" s="1762" t="s">
        <v>1809</v>
      </c>
      <c r="E8" s="1763" t="s">
        <v>1810</v>
      </c>
      <c r="G8" s="1762" t="s">
        <v>1814</v>
      </c>
      <c r="H8" s="1762">
        <v>0</v>
      </c>
      <c r="I8" s="1762">
        <f>SUM(C7:C17)+C22+C23</f>
        <v>6914.72</v>
      </c>
      <c r="J8" s="1763" t="s">
        <v>1815</v>
      </c>
    </row>
    <row r="9" spans="1:13">
      <c r="A9" s="1762">
        <v>7</v>
      </c>
      <c r="B9" s="1763" t="s">
        <v>1816</v>
      </c>
      <c r="C9" s="1762">
        <v>69.06</v>
      </c>
      <c r="D9" s="1762" t="s">
        <v>1809</v>
      </c>
      <c r="E9" s="1763" t="s">
        <v>1817</v>
      </c>
      <c r="G9" s="1762" t="s">
        <v>1818</v>
      </c>
      <c r="H9" s="1762">
        <f>C25+C32+C34+C36+C38+C41</f>
        <v>3107.8199999999997</v>
      </c>
      <c r="I9" s="1762">
        <f>C3+C6+C18+C20+C21+C24</f>
        <v>8569.92</v>
      </c>
      <c r="J9" s="1763"/>
    </row>
    <row r="10" spans="1:13">
      <c r="A10" s="1762">
        <v>8</v>
      </c>
      <c r="B10" s="1763" t="s">
        <v>1819</v>
      </c>
      <c r="C10" s="1762">
        <v>100.55</v>
      </c>
      <c r="D10" s="1762" t="s">
        <v>1809</v>
      </c>
      <c r="E10" s="1763" t="s">
        <v>1817</v>
      </c>
      <c r="G10" s="1762" t="s">
        <v>1820</v>
      </c>
      <c r="H10" s="1762">
        <f>SUM(H4:H9)</f>
        <v>79016.010000000009</v>
      </c>
      <c r="I10" s="1762">
        <f>SUM(I4:I9)</f>
        <v>31472.059999999998</v>
      </c>
      <c r="J10" s="1763"/>
    </row>
    <row r="11" spans="1:13">
      <c r="A11" s="1762">
        <v>9</v>
      </c>
      <c r="B11" s="1763" t="s">
        <v>1821</v>
      </c>
      <c r="C11" s="1762">
        <v>154.18</v>
      </c>
      <c r="D11" s="1762" t="s">
        <v>1809</v>
      </c>
      <c r="E11" s="1763" t="s">
        <v>1817</v>
      </c>
      <c r="G11" s="1764"/>
      <c r="H11" s="1764"/>
      <c r="I11" s="1764"/>
      <c r="J11" s="1765"/>
    </row>
    <row r="12" spans="1:13">
      <c r="A12" s="1762">
        <v>10</v>
      </c>
      <c r="B12" s="1763" t="s">
        <v>1822</v>
      </c>
      <c r="C12" s="1762">
        <v>108.56</v>
      </c>
      <c r="D12" s="1762" t="s">
        <v>1809</v>
      </c>
      <c r="E12" s="1763" t="s">
        <v>1817</v>
      </c>
      <c r="G12" s="1764" t="s">
        <v>1823</v>
      </c>
      <c r="H12" s="1764">
        <f>H4+H5+H6+I7+I8</f>
        <v>98810.33</v>
      </c>
      <c r="I12" s="1764"/>
      <c r="J12" s="1765"/>
    </row>
    <row r="13" spans="1:13">
      <c r="A13" s="1762">
        <v>11</v>
      </c>
      <c r="B13" s="1763" t="s">
        <v>1824</v>
      </c>
      <c r="C13" s="1762">
        <v>90.39</v>
      </c>
      <c r="D13" s="1762" t="s">
        <v>1809</v>
      </c>
      <c r="E13" s="1763" t="s">
        <v>1817</v>
      </c>
      <c r="G13" s="1764" t="s">
        <v>1825</v>
      </c>
      <c r="H13" s="1764">
        <v>11147.87</v>
      </c>
      <c r="I13" s="1764"/>
      <c r="J13" s="1766">
        <f>'[1]数据-基础表'!A3</f>
        <v>11147.87</v>
      </c>
    </row>
    <row r="14" spans="1:13">
      <c r="A14" s="1762">
        <v>12</v>
      </c>
      <c r="B14" s="1763" t="s">
        <v>1826</v>
      </c>
      <c r="C14" s="1762">
        <v>346.89</v>
      </c>
      <c r="D14" s="1762" t="s">
        <v>1809</v>
      </c>
      <c r="E14" s="1763" t="s">
        <v>1817</v>
      </c>
    </row>
    <row r="15" spans="1:13">
      <c r="A15" s="1762">
        <v>13</v>
      </c>
      <c r="B15" s="1763" t="s">
        <v>1827</v>
      </c>
      <c r="C15" s="1762">
        <v>65.66</v>
      </c>
      <c r="D15" s="1762" t="s">
        <v>1809</v>
      </c>
      <c r="E15" s="1763" t="s">
        <v>1817</v>
      </c>
      <c r="G15" s="1760" t="s">
        <v>1828</v>
      </c>
      <c r="H15" s="1767">
        <f>ROUND((H4+H5+H6+H9)/H13,2)</f>
        <v>7.09</v>
      </c>
      <c r="J15" s="1768">
        <f>ROUND((H4+H5+H6+H9)/J13,2)</f>
        <v>7.09</v>
      </c>
    </row>
    <row r="16" spans="1:13">
      <c r="A16" s="1762">
        <v>14</v>
      </c>
      <c r="B16" s="1763" t="s">
        <v>1829</v>
      </c>
      <c r="C16" s="1762">
        <v>203.14</v>
      </c>
      <c r="D16" s="1762" t="s">
        <v>1809</v>
      </c>
      <c r="E16" s="1763" t="s">
        <v>1817</v>
      </c>
    </row>
    <row r="17" spans="1:11">
      <c r="A17" s="1762">
        <v>15</v>
      </c>
      <c r="B17" s="1763" t="s">
        <v>1830</v>
      </c>
      <c r="C17" s="1762">
        <v>51.85</v>
      </c>
      <c r="D17" s="1762" t="s">
        <v>1809</v>
      </c>
      <c r="E17" s="1763" t="s">
        <v>1817</v>
      </c>
      <c r="G17" s="1885" t="s">
        <v>1831</v>
      </c>
      <c r="H17" s="1885"/>
      <c r="I17" s="1885"/>
      <c r="J17" s="1885"/>
      <c r="K17" s="1885"/>
    </row>
    <row r="18" spans="1:11">
      <c r="A18" s="1762">
        <v>16</v>
      </c>
      <c r="B18" s="1763" t="s">
        <v>1832</v>
      </c>
      <c r="C18" s="1762">
        <v>2427.33</v>
      </c>
      <c r="D18" s="1762" t="s">
        <v>1833</v>
      </c>
      <c r="E18" s="1763" t="s">
        <v>1817</v>
      </c>
      <c r="G18" s="1762" t="s">
        <v>1781</v>
      </c>
      <c r="H18" s="1763" t="s">
        <v>1782</v>
      </c>
      <c r="I18" s="1762" t="s">
        <v>1783</v>
      </c>
      <c r="J18" s="1762" t="s">
        <v>1784</v>
      </c>
      <c r="K18" s="1763" t="s">
        <v>1785</v>
      </c>
    </row>
    <row r="19" spans="1:11">
      <c r="A19" s="1762">
        <v>17</v>
      </c>
      <c r="B19" s="1763" t="s">
        <v>1834</v>
      </c>
      <c r="C19" s="1762">
        <v>2074.16</v>
      </c>
      <c r="D19" s="1762" t="s">
        <v>1835</v>
      </c>
      <c r="E19" s="1763" t="s">
        <v>1817</v>
      </c>
      <c r="G19" s="1762">
        <v>1</v>
      </c>
      <c r="H19" s="1763" t="s">
        <v>1836</v>
      </c>
      <c r="I19" s="1762">
        <v>2704.7</v>
      </c>
      <c r="J19" s="1762" t="s">
        <v>1835</v>
      </c>
      <c r="K19" s="1763" t="s">
        <v>1787</v>
      </c>
    </row>
    <row r="20" spans="1:11">
      <c r="A20" s="1762">
        <v>18</v>
      </c>
      <c r="B20" s="1763" t="s">
        <v>1837</v>
      </c>
      <c r="C20" s="1762">
        <v>527.34</v>
      </c>
      <c r="D20" s="1762"/>
      <c r="E20" s="1763" t="s">
        <v>1838</v>
      </c>
      <c r="G20" s="1762">
        <v>2</v>
      </c>
      <c r="H20" s="1763" t="s">
        <v>1839</v>
      </c>
      <c r="I20" s="1762">
        <v>11208.56</v>
      </c>
      <c r="J20" s="1762" t="s">
        <v>1835</v>
      </c>
      <c r="K20" s="1763" t="s">
        <v>1840</v>
      </c>
    </row>
    <row r="21" spans="1:11">
      <c r="A21" s="1762">
        <v>19</v>
      </c>
      <c r="B21" s="1763" t="s">
        <v>1841</v>
      </c>
      <c r="C21" s="1762">
        <v>3562.94</v>
      </c>
      <c r="D21" s="1762" t="s">
        <v>1833</v>
      </c>
      <c r="E21" s="1763" t="s">
        <v>1838</v>
      </c>
      <c r="G21" s="1762">
        <v>3</v>
      </c>
      <c r="H21" s="1763" t="s">
        <v>1808</v>
      </c>
      <c r="I21" s="1762">
        <v>90.92</v>
      </c>
      <c r="J21" s="1762" t="s">
        <v>1809</v>
      </c>
      <c r="K21" s="1763" t="s">
        <v>1810</v>
      </c>
    </row>
    <row r="22" spans="1:11">
      <c r="A22" s="1762">
        <v>20</v>
      </c>
      <c r="B22" s="1763" t="s">
        <v>1842</v>
      </c>
      <c r="C22" s="1762">
        <v>5033.92</v>
      </c>
      <c r="D22" s="1762" t="s">
        <v>1809</v>
      </c>
      <c r="E22" s="1763" t="s">
        <v>1843</v>
      </c>
      <c r="G22" s="1762">
        <v>4</v>
      </c>
      <c r="H22" s="1763" t="s">
        <v>1813</v>
      </c>
      <c r="I22" s="1762">
        <v>184</v>
      </c>
      <c r="J22" s="1762" t="s">
        <v>1809</v>
      </c>
      <c r="K22" s="1763" t="s">
        <v>1810</v>
      </c>
    </row>
    <row r="23" spans="1:11">
      <c r="A23" s="1762">
        <v>21</v>
      </c>
      <c r="B23" s="1763" t="s">
        <v>1844</v>
      </c>
      <c r="C23" s="1762">
        <v>415.6</v>
      </c>
      <c r="D23" s="1762" t="s">
        <v>1809</v>
      </c>
      <c r="E23" s="1763" t="s">
        <v>1843</v>
      </c>
      <c r="G23" s="1762">
        <v>5</v>
      </c>
      <c r="H23" s="1763" t="s">
        <v>1816</v>
      </c>
      <c r="I23" s="1762">
        <v>69.06</v>
      </c>
      <c r="J23" s="1762" t="s">
        <v>1809</v>
      </c>
      <c r="K23" s="1763" t="s">
        <v>1817</v>
      </c>
    </row>
    <row r="24" spans="1:11">
      <c r="A24" s="1762">
        <v>22</v>
      </c>
      <c r="B24" s="1763" t="s">
        <v>1845</v>
      </c>
      <c r="C24" s="1762">
        <v>547.02</v>
      </c>
      <c r="D24" s="1762" t="s">
        <v>1846</v>
      </c>
      <c r="E24" s="1763" t="s">
        <v>1843</v>
      </c>
      <c r="G24" s="1762">
        <v>6</v>
      </c>
      <c r="H24" s="1763" t="s">
        <v>1819</v>
      </c>
      <c r="I24" s="1762">
        <v>100.55</v>
      </c>
      <c r="J24" s="1762" t="s">
        <v>1809</v>
      </c>
      <c r="K24" s="1763" t="s">
        <v>1817</v>
      </c>
    </row>
    <row r="25" spans="1:11">
      <c r="A25" s="1762">
        <v>23</v>
      </c>
      <c r="B25" s="1763" t="s">
        <v>1847</v>
      </c>
      <c r="C25" s="1762">
        <v>215.95</v>
      </c>
      <c r="D25" s="1762"/>
      <c r="E25" s="1763" t="s">
        <v>1848</v>
      </c>
      <c r="G25" s="1762">
        <v>7</v>
      </c>
      <c r="H25" s="1763" t="s">
        <v>1821</v>
      </c>
      <c r="I25" s="1762">
        <v>154.18</v>
      </c>
      <c r="J25" s="1762" t="s">
        <v>1809</v>
      </c>
      <c r="K25" s="1763" t="s">
        <v>1817</v>
      </c>
    </row>
    <row r="26" spans="1:11">
      <c r="A26" s="1762">
        <v>24</v>
      </c>
      <c r="B26" s="1763" t="s">
        <v>1849</v>
      </c>
      <c r="C26" s="1762">
        <v>2534.48</v>
      </c>
      <c r="D26" s="1762" t="s">
        <v>1850</v>
      </c>
      <c r="E26" s="1763" t="s">
        <v>1848</v>
      </c>
      <c r="G26" s="1762">
        <v>8</v>
      </c>
      <c r="H26" s="1763" t="s">
        <v>1822</v>
      </c>
      <c r="I26" s="1762">
        <v>108.56</v>
      </c>
      <c r="J26" s="1762" t="s">
        <v>1809</v>
      </c>
      <c r="K26" s="1763" t="s">
        <v>1817</v>
      </c>
    </row>
    <row r="27" spans="1:11">
      <c r="A27" s="1762">
        <v>25</v>
      </c>
      <c r="B27" s="1763" t="s">
        <v>1851</v>
      </c>
      <c r="C27" s="1762">
        <v>176.38</v>
      </c>
      <c r="D27" s="1762" t="s">
        <v>1852</v>
      </c>
      <c r="E27" s="1763" t="s">
        <v>1853</v>
      </c>
      <c r="G27" s="1762">
        <v>9</v>
      </c>
      <c r="H27" s="1763" t="s">
        <v>1824</v>
      </c>
      <c r="I27" s="1762">
        <v>90.39</v>
      </c>
      <c r="J27" s="1762" t="s">
        <v>1809</v>
      </c>
      <c r="K27" s="1763" t="s">
        <v>1817</v>
      </c>
    </row>
    <row r="28" spans="1:11">
      <c r="A28" s="1762">
        <v>26</v>
      </c>
      <c r="B28" s="1763" t="s">
        <v>1854</v>
      </c>
      <c r="C28" s="1762">
        <v>866.13</v>
      </c>
      <c r="D28" s="1762" t="s">
        <v>1852</v>
      </c>
      <c r="E28" s="1763" t="s">
        <v>1853</v>
      </c>
      <c r="G28" s="1762">
        <v>10</v>
      </c>
      <c r="H28" s="1763" t="s">
        <v>1826</v>
      </c>
      <c r="I28" s="1762">
        <v>346.89</v>
      </c>
      <c r="J28" s="1762" t="s">
        <v>1809</v>
      </c>
      <c r="K28" s="1763" t="s">
        <v>1817</v>
      </c>
    </row>
    <row r="29" spans="1:11">
      <c r="A29" s="1762">
        <v>27</v>
      </c>
      <c r="B29" s="1763" t="s">
        <v>1855</v>
      </c>
      <c r="C29" s="1762">
        <v>346.74</v>
      </c>
      <c r="D29" s="1762" t="s">
        <v>1850</v>
      </c>
      <c r="E29" s="1763" t="s">
        <v>1853</v>
      </c>
      <c r="G29" s="1762">
        <v>11</v>
      </c>
      <c r="H29" s="1763" t="s">
        <v>1827</v>
      </c>
      <c r="I29" s="1762">
        <v>65.66</v>
      </c>
      <c r="J29" s="1762" t="s">
        <v>1809</v>
      </c>
      <c r="K29" s="1763" t="s">
        <v>1817</v>
      </c>
    </row>
    <row r="30" spans="1:11">
      <c r="A30" s="1762">
        <v>28</v>
      </c>
      <c r="B30" s="1763" t="s">
        <v>1856</v>
      </c>
      <c r="C30" s="1762">
        <v>1015.24</v>
      </c>
      <c r="D30" s="1762" t="s">
        <v>1850</v>
      </c>
      <c r="E30" s="1763" t="s">
        <v>1853</v>
      </c>
      <c r="G30" s="1762">
        <v>12</v>
      </c>
      <c r="H30" s="1763" t="s">
        <v>1829</v>
      </c>
      <c r="I30" s="1762">
        <v>203.14</v>
      </c>
      <c r="J30" s="1762" t="s">
        <v>1809</v>
      </c>
      <c r="K30" s="1763" t="s">
        <v>1817</v>
      </c>
    </row>
    <row r="31" spans="1:11">
      <c r="A31" s="1762">
        <v>29</v>
      </c>
      <c r="B31" s="1763" t="s">
        <v>1857</v>
      </c>
      <c r="C31" s="1762">
        <v>240.78</v>
      </c>
      <c r="D31" s="1762" t="s">
        <v>1850</v>
      </c>
      <c r="E31" s="1763" t="s">
        <v>1853</v>
      </c>
      <c r="G31" s="1762">
        <v>13</v>
      </c>
      <c r="H31" s="1763" t="s">
        <v>1830</v>
      </c>
      <c r="I31" s="1762">
        <v>51.85</v>
      </c>
      <c r="J31" s="1762" t="s">
        <v>1809</v>
      </c>
      <c r="K31" s="1763" t="s">
        <v>1817</v>
      </c>
    </row>
    <row r="32" spans="1:11">
      <c r="A32" s="1762">
        <v>30</v>
      </c>
      <c r="B32" s="1763" t="s">
        <v>1858</v>
      </c>
      <c r="C32" s="1762">
        <v>78.41</v>
      </c>
      <c r="D32" s="1762"/>
      <c r="E32" s="1763" t="s">
        <v>1859</v>
      </c>
      <c r="G32" s="1762">
        <v>14</v>
      </c>
      <c r="H32" s="1763" t="s">
        <v>1834</v>
      </c>
      <c r="I32" s="1762">
        <v>2074.16</v>
      </c>
      <c r="J32" s="1762" t="s">
        <v>1835</v>
      </c>
      <c r="K32" s="1763" t="s">
        <v>1817</v>
      </c>
    </row>
    <row r="33" spans="1:11">
      <c r="A33" s="1762">
        <v>31</v>
      </c>
      <c r="B33" s="1763" t="s">
        <v>1860</v>
      </c>
      <c r="C33" s="1762">
        <v>6804.7</v>
      </c>
      <c r="D33" s="1762" t="s">
        <v>1850</v>
      </c>
      <c r="E33" s="1763" t="s">
        <v>1859</v>
      </c>
      <c r="G33" s="1762">
        <v>15</v>
      </c>
      <c r="H33" s="1763" t="s">
        <v>1842</v>
      </c>
      <c r="I33" s="1762">
        <v>5033.92</v>
      </c>
      <c r="J33" s="1762" t="s">
        <v>1809</v>
      </c>
      <c r="K33" s="1763" t="s">
        <v>1843</v>
      </c>
    </row>
    <row r="34" spans="1:11">
      <c r="A34" s="1762">
        <v>32</v>
      </c>
      <c r="B34" s="1763" t="s">
        <v>1861</v>
      </c>
      <c r="C34" s="1762">
        <v>728.75</v>
      </c>
      <c r="D34" s="1762"/>
      <c r="E34" s="1763" t="s">
        <v>1862</v>
      </c>
      <c r="G34" s="1762">
        <v>16</v>
      </c>
      <c r="H34" s="1763" t="s">
        <v>1844</v>
      </c>
      <c r="I34" s="1762">
        <v>415.6</v>
      </c>
      <c r="J34" s="1762" t="s">
        <v>1809</v>
      </c>
      <c r="K34" s="1763" t="s">
        <v>1843</v>
      </c>
    </row>
    <row r="35" spans="1:11">
      <c r="A35" s="1762">
        <v>33</v>
      </c>
      <c r="B35" s="1763" t="s">
        <v>1863</v>
      </c>
      <c r="C35" s="1762">
        <v>8499.86</v>
      </c>
      <c r="D35" s="1762" t="s">
        <v>1852</v>
      </c>
      <c r="E35" s="1763" t="s">
        <v>1862</v>
      </c>
      <c r="G35" s="1762">
        <v>17</v>
      </c>
      <c r="H35" s="1763" t="s">
        <v>1849</v>
      </c>
      <c r="I35" s="1762">
        <v>2534.48</v>
      </c>
      <c r="J35" s="1762" t="s">
        <v>1850</v>
      </c>
      <c r="K35" s="1763" t="s">
        <v>1848</v>
      </c>
    </row>
    <row r="36" spans="1:11">
      <c r="A36" s="1762">
        <v>34</v>
      </c>
      <c r="B36" s="1763" t="s">
        <v>1864</v>
      </c>
      <c r="C36" s="1762">
        <v>2061.73</v>
      </c>
      <c r="D36" s="1762"/>
      <c r="E36" s="1763" t="s">
        <v>1865</v>
      </c>
      <c r="G36" s="1762">
        <v>18</v>
      </c>
      <c r="H36" s="1763" t="s">
        <v>1851</v>
      </c>
      <c r="I36" s="1762">
        <v>176.38</v>
      </c>
      <c r="J36" s="1762" t="s">
        <v>1852</v>
      </c>
      <c r="K36" s="1763" t="s">
        <v>1853</v>
      </c>
    </row>
    <row r="37" spans="1:11">
      <c r="A37" s="1762">
        <v>35</v>
      </c>
      <c r="B37" s="1763" t="s">
        <v>1866</v>
      </c>
      <c r="C37" s="1762">
        <v>7374.48</v>
      </c>
      <c r="D37" s="1762" t="s">
        <v>1852</v>
      </c>
      <c r="E37" s="1763" t="s">
        <v>1865</v>
      </c>
      <c r="G37" s="1762">
        <v>19</v>
      </c>
      <c r="H37" s="1763" t="s">
        <v>1854</v>
      </c>
      <c r="I37" s="1762">
        <v>866.13</v>
      </c>
      <c r="J37" s="1762" t="s">
        <v>1852</v>
      </c>
      <c r="K37" s="1763" t="s">
        <v>1853</v>
      </c>
    </row>
    <row r="38" spans="1:11">
      <c r="A38" s="1762">
        <v>36</v>
      </c>
      <c r="B38" s="1763" t="s">
        <v>1867</v>
      </c>
      <c r="C38" s="1762">
        <v>11.49</v>
      </c>
      <c r="D38" s="1762"/>
      <c r="E38" s="1763" t="s">
        <v>1868</v>
      </c>
      <c r="G38" s="1762">
        <v>20</v>
      </c>
      <c r="H38" s="1763" t="s">
        <v>1855</v>
      </c>
      <c r="I38" s="1762">
        <v>346.74</v>
      </c>
      <c r="J38" s="1762" t="s">
        <v>1850</v>
      </c>
      <c r="K38" s="1763" t="s">
        <v>1853</v>
      </c>
    </row>
    <row r="39" spans="1:11">
      <c r="A39" s="1762">
        <v>37</v>
      </c>
      <c r="B39" s="1763" t="s">
        <v>1869</v>
      </c>
      <c r="C39" s="1762">
        <v>1761.31</v>
      </c>
      <c r="D39" s="1762" t="s">
        <v>1870</v>
      </c>
      <c r="E39" s="1763" t="s">
        <v>1868</v>
      </c>
      <c r="G39" s="1762">
        <v>21</v>
      </c>
      <c r="H39" s="1763" t="s">
        <v>1856</v>
      </c>
      <c r="I39" s="1762">
        <v>1015.24</v>
      </c>
      <c r="J39" s="1762" t="s">
        <v>1850</v>
      </c>
      <c r="K39" s="1763" t="s">
        <v>1853</v>
      </c>
    </row>
    <row r="40" spans="1:11">
      <c r="A40" s="1762">
        <v>38</v>
      </c>
      <c r="B40" s="1763" t="s">
        <v>1871</v>
      </c>
      <c r="C40" s="1762">
        <v>1977.48</v>
      </c>
      <c r="D40" s="1762" t="s">
        <v>1852</v>
      </c>
      <c r="E40" s="1763" t="s">
        <v>1868</v>
      </c>
      <c r="G40" s="1762">
        <v>22</v>
      </c>
      <c r="H40" s="1763" t="s">
        <v>1857</v>
      </c>
      <c r="I40" s="1762">
        <v>240.78</v>
      </c>
      <c r="J40" s="1762" t="s">
        <v>1850</v>
      </c>
      <c r="K40" s="1763" t="s">
        <v>1853</v>
      </c>
    </row>
    <row r="41" spans="1:11">
      <c r="A41" s="1762">
        <v>39</v>
      </c>
      <c r="B41" s="1763" t="s">
        <v>1872</v>
      </c>
      <c r="C41" s="1762">
        <v>11.49</v>
      </c>
      <c r="D41" s="1762"/>
      <c r="E41" s="1763" t="s">
        <v>1873</v>
      </c>
      <c r="G41" s="1762">
        <v>23</v>
      </c>
      <c r="H41" s="1763" t="s">
        <v>1860</v>
      </c>
      <c r="I41" s="1762">
        <v>6804.7</v>
      </c>
      <c r="J41" s="1762" t="s">
        <v>1850</v>
      </c>
      <c r="K41" s="1763" t="s">
        <v>1859</v>
      </c>
    </row>
    <row r="42" spans="1:11">
      <c r="A42" s="1762">
        <v>40</v>
      </c>
      <c r="B42" s="1763" t="s">
        <v>1874</v>
      </c>
      <c r="C42" s="1762">
        <v>1596.85</v>
      </c>
      <c r="D42" s="1762" t="s">
        <v>1870</v>
      </c>
      <c r="E42" s="1763" t="s">
        <v>1873</v>
      </c>
      <c r="G42" s="1762">
        <v>24</v>
      </c>
      <c r="H42" s="1763" t="s">
        <v>1863</v>
      </c>
      <c r="I42" s="1762">
        <v>8499.86</v>
      </c>
      <c r="J42" s="1762" t="s">
        <v>1852</v>
      </c>
      <c r="K42" s="1763" t="s">
        <v>1862</v>
      </c>
    </row>
    <row r="43" spans="1:11">
      <c r="A43" s="1762">
        <v>41</v>
      </c>
      <c r="B43" s="1763" t="s">
        <v>1875</v>
      </c>
      <c r="C43" s="1762">
        <v>2044.68</v>
      </c>
      <c r="D43" s="1762" t="s">
        <v>1852</v>
      </c>
      <c r="E43" s="1763" t="s">
        <v>1873</v>
      </c>
      <c r="G43" s="1762">
        <v>25</v>
      </c>
      <c r="H43" s="1763" t="s">
        <v>1866</v>
      </c>
      <c r="I43" s="1762">
        <v>7374.48</v>
      </c>
      <c r="J43" s="1762" t="s">
        <v>1852</v>
      </c>
      <c r="K43" s="1763" t="s">
        <v>1865</v>
      </c>
    </row>
    <row r="44" spans="1:11">
      <c r="A44" s="1762">
        <v>42</v>
      </c>
      <c r="B44" s="1763" t="s">
        <v>1876</v>
      </c>
      <c r="C44" s="1762">
        <v>2043.75</v>
      </c>
      <c r="D44" s="1762" t="s">
        <v>1852</v>
      </c>
      <c r="E44" s="1763" t="s">
        <v>1877</v>
      </c>
      <c r="G44" s="1762">
        <v>26</v>
      </c>
      <c r="H44" s="1763" t="s">
        <v>1869</v>
      </c>
      <c r="I44" s="1762">
        <v>1761.31</v>
      </c>
      <c r="J44" s="1762" t="s">
        <v>1870</v>
      </c>
      <c r="K44" s="1763" t="s">
        <v>1868</v>
      </c>
    </row>
    <row r="45" spans="1:11">
      <c r="A45" s="1762">
        <v>43</v>
      </c>
      <c r="B45" s="1763" t="s">
        <v>1878</v>
      </c>
      <c r="C45" s="1762">
        <v>2043.86</v>
      </c>
      <c r="D45" s="1762" t="s">
        <v>1852</v>
      </c>
      <c r="E45" s="1763" t="s">
        <v>1879</v>
      </c>
      <c r="G45" s="1762">
        <v>27</v>
      </c>
      <c r="H45" s="1763" t="s">
        <v>1871</v>
      </c>
      <c r="I45" s="1762">
        <v>1977.48</v>
      </c>
      <c r="J45" s="1762" t="s">
        <v>1852</v>
      </c>
      <c r="K45" s="1763" t="s">
        <v>1868</v>
      </c>
    </row>
    <row r="46" spans="1:11">
      <c r="A46" s="1762">
        <v>44</v>
      </c>
      <c r="B46" s="1763" t="s">
        <v>1880</v>
      </c>
      <c r="C46" s="1762">
        <v>2044.47</v>
      </c>
      <c r="D46" s="1762" t="s">
        <v>1852</v>
      </c>
      <c r="E46" s="1763" t="s">
        <v>1881</v>
      </c>
      <c r="G46" s="1762">
        <v>28</v>
      </c>
      <c r="H46" s="1763" t="s">
        <v>1874</v>
      </c>
      <c r="I46" s="1762">
        <v>1596.85</v>
      </c>
      <c r="J46" s="1762" t="s">
        <v>1870</v>
      </c>
      <c r="K46" s="1763" t="s">
        <v>1873</v>
      </c>
    </row>
    <row r="47" spans="1:11">
      <c r="A47" s="1762">
        <v>45</v>
      </c>
      <c r="B47" s="1763" t="s">
        <v>1882</v>
      </c>
      <c r="C47" s="1762">
        <v>2044.42</v>
      </c>
      <c r="D47" s="1762" t="s">
        <v>1852</v>
      </c>
      <c r="E47" s="1763" t="s">
        <v>1883</v>
      </c>
      <c r="G47" s="1762">
        <v>29</v>
      </c>
      <c r="H47" s="1763" t="s">
        <v>1875</v>
      </c>
      <c r="I47" s="1762">
        <v>2044.68</v>
      </c>
      <c r="J47" s="1762" t="s">
        <v>1852</v>
      </c>
      <c r="K47" s="1763" t="s">
        <v>1873</v>
      </c>
    </row>
    <row r="48" spans="1:11">
      <c r="A48" s="1762">
        <v>46</v>
      </c>
      <c r="B48" s="1763" t="s">
        <v>1884</v>
      </c>
      <c r="C48" s="1762">
        <v>2044.27</v>
      </c>
      <c r="D48" s="1762" t="s">
        <v>1852</v>
      </c>
      <c r="E48" s="1763" t="s">
        <v>1885</v>
      </c>
      <c r="G48" s="1762">
        <v>30</v>
      </c>
      <c r="H48" s="1763" t="s">
        <v>1876</v>
      </c>
      <c r="I48" s="1762">
        <v>2043.75</v>
      </c>
      <c r="J48" s="1762" t="s">
        <v>1852</v>
      </c>
      <c r="K48" s="1763" t="s">
        <v>1877</v>
      </c>
    </row>
    <row r="49" spans="1:11">
      <c r="A49" s="1762">
        <v>47</v>
      </c>
      <c r="B49" s="1763" t="s">
        <v>1886</v>
      </c>
      <c r="C49" s="1762">
        <v>2044.22</v>
      </c>
      <c r="D49" s="1762" t="s">
        <v>1852</v>
      </c>
      <c r="E49" s="1763" t="s">
        <v>1887</v>
      </c>
      <c r="G49" s="1762">
        <v>31</v>
      </c>
      <c r="H49" s="1763" t="s">
        <v>1878</v>
      </c>
      <c r="I49" s="1762">
        <v>2043.86</v>
      </c>
      <c r="J49" s="1762" t="s">
        <v>1852</v>
      </c>
      <c r="K49" s="1763" t="s">
        <v>1879</v>
      </c>
    </row>
    <row r="50" spans="1:11">
      <c r="A50" s="1762">
        <v>48</v>
      </c>
      <c r="B50" s="1763" t="s">
        <v>1888</v>
      </c>
      <c r="C50" s="1762">
        <v>2044.32</v>
      </c>
      <c r="D50" s="1762" t="s">
        <v>1852</v>
      </c>
      <c r="E50" s="1763" t="s">
        <v>1889</v>
      </c>
      <c r="G50" s="1762">
        <v>32</v>
      </c>
      <c r="H50" s="1763" t="s">
        <v>1880</v>
      </c>
      <c r="I50" s="1762">
        <v>2044.47</v>
      </c>
      <c r="J50" s="1762" t="s">
        <v>1852</v>
      </c>
      <c r="K50" s="1763" t="s">
        <v>1881</v>
      </c>
    </row>
    <row r="51" spans="1:11">
      <c r="A51" s="1762">
        <v>49</v>
      </c>
      <c r="B51" s="1763" t="s">
        <v>1890</v>
      </c>
      <c r="C51" s="1762">
        <v>2044.12</v>
      </c>
      <c r="D51" s="1762" t="s">
        <v>1852</v>
      </c>
      <c r="E51" s="1763" t="s">
        <v>1891</v>
      </c>
      <c r="G51" s="1762">
        <v>33</v>
      </c>
      <c r="H51" s="1763" t="s">
        <v>1882</v>
      </c>
      <c r="I51" s="1762">
        <v>2044.42</v>
      </c>
      <c r="J51" s="1762" t="s">
        <v>1852</v>
      </c>
      <c r="K51" s="1763" t="s">
        <v>1883</v>
      </c>
    </row>
    <row r="52" spans="1:11">
      <c r="A52" s="1762">
        <v>50</v>
      </c>
      <c r="B52" s="1763" t="s">
        <v>1892</v>
      </c>
      <c r="C52" s="1762">
        <v>2044.08</v>
      </c>
      <c r="D52" s="1762" t="s">
        <v>1852</v>
      </c>
      <c r="E52" s="1763" t="s">
        <v>1893</v>
      </c>
      <c r="G52" s="1762">
        <v>34</v>
      </c>
      <c r="H52" s="1763" t="s">
        <v>1884</v>
      </c>
      <c r="I52" s="1762">
        <v>2044.27</v>
      </c>
      <c r="J52" s="1762" t="s">
        <v>1852</v>
      </c>
      <c r="K52" s="1763" t="s">
        <v>1885</v>
      </c>
    </row>
    <row r="53" spans="1:11">
      <c r="A53" s="1762">
        <v>51</v>
      </c>
      <c r="B53" s="1763" t="s">
        <v>1894</v>
      </c>
      <c r="C53" s="1762">
        <v>2045.94</v>
      </c>
      <c r="D53" s="1762" t="s">
        <v>1852</v>
      </c>
      <c r="E53" s="1763" t="s">
        <v>1895</v>
      </c>
      <c r="G53" s="1762">
        <v>35</v>
      </c>
      <c r="H53" s="1763" t="s">
        <v>1886</v>
      </c>
      <c r="I53" s="1762">
        <v>2044.22</v>
      </c>
      <c r="J53" s="1762" t="s">
        <v>1852</v>
      </c>
      <c r="K53" s="1763" t="s">
        <v>1887</v>
      </c>
    </row>
    <row r="54" spans="1:11">
      <c r="A54" s="1762">
        <v>52</v>
      </c>
      <c r="B54" s="1763" t="s">
        <v>1896</v>
      </c>
      <c r="C54" s="1762">
        <v>2045.06</v>
      </c>
      <c r="D54" s="1762" t="s">
        <v>1852</v>
      </c>
      <c r="E54" s="1763" t="s">
        <v>1897</v>
      </c>
      <c r="G54" s="1762">
        <v>36</v>
      </c>
      <c r="H54" s="1763" t="s">
        <v>1888</v>
      </c>
      <c r="I54" s="1762">
        <v>2044.32</v>
      </c>
      <c r="J54" s="1762" t="s">
        <v>1852</v>
      </c>
      <c r="K54" s="1763" t="s">
        <v>1889</v>
      </c>
    </row>
    <row r="55" spans="1:11">
      <c r="A55" s="1762">
        <v>53</v>
      </c>
      <c r="B55" s="1763" t="s">
        <v>1898</v>
      </c>
      <c r="C55" s="1762">
        <v>2044.19</v>
      </c>
      <c r="D55" s="1762" t="s">
        <v>1852</v>
      </c>
      <c r="E55" s="1763" t="s">
        <v>1899</v>
      </c>
      <c r="G55" s="1762">
        <v>37</v>
      </c>
      <c r="H55" s="1763" t="s">
        <v>1890</v>
      </c>
      <c r="I55" s="1762">
        <v>2044.12</v>
      </c>
      <c r="J55" s="1762" t="s">
        <v>1852</v>
      </c>
      <c r="K55" s="1763" t="s">
        <v>1891</v>
      </c>
    </row>
    <row r="56" spans="1:11">
      <c r="A56" s="1762">
        <v>54</v>
      </c>
      <c r="B56" s="1763" t="s">
        <v>1900</v>
      </c>
      <c r="C56" s="1762">
        <v>2043.2</v>
      </c>
      <c r="D56" s="1762" t="s">
        <v>1852</v>
      </c>
      <c r="E56" s="1763" t="s">
        <v>1901</v>
      </c>
      <c r="G56" s="1762">
        <v>38</v>
      </c>
      <c r="H56" s="1763" t="s">
        <v>1892</v>
      </c>
      <c r="I56" s="1762">
        <v>2044.08</v>
      </c>
      <c r="J56" s="1762" t="s">
        <v>1852</v>
      </c>
      <c r="K56" s="1763" t="s">
        <v>1893</v>
      </c>
    </row>
    <row r="57" spans="1:11">
      <c r="A57" s="1762">
        <v>55</v>
      </c>
      <c r="B57" s="1763" t="s">
        <v>1902</v>
      </c>
      <c r="C57" s="1762">
        <v>2042.36</v>
      </c>
      <c r="D57" s="1762" t="s">
        <v>1852</v>
      </c>
      <c r="E57" s="1763" t="s">
        <v>1903</v>
      </c>
      <c r="G57" s="1762">
        <v>39</v>
      </c>
      <c r="H57" s="1763" t="s">
        <v>1894</v>
      </c>
      <c r="I57" s="1762">
        <v>2045.94</v>
      </c>
      <c r="J57" s="1762" t="s">
        <v>1852</v>
      </c>
      <c r="K57" s="1763" t="s">
        <v>1895</v>
      </c>
    </row>
    <row r="58" spans="1:11">
      <c r="A58" s="1762">
        <v>56</v>
      </c>
      <c r="B58" s="1763" t="s">
        <v>1904</v>
      </c>
      <c r="C58" s="1762">
        <v>2041.55</v>
      </c>
      <c r="D58" s="1762" t="s">
        <v>1852</v>
      </c>
      <c r="E58" s="1763" t="s">
        <v>1905</v>
      </c>
      <c r="G58" s="1762">
        <v>40</v>
      </c>
      <c r="H58" s="1763" t="s">
        <v>1896</v>
      </c>
      <c r="I58" s="1762">
        <v>2045.06</v>
      </c>
      <c r="J58" s="1762" t="s">
        <v>1852</v>
      </c>
      <c r="K58" s="1763" t="s">
        <v>1897</v>
      </c>
    </row>
    <row r="59" spans="1:11">
      <c r="A59" s="1762">
        <v>57</v>
      </c>
      <c r="B59" s="1763" t="s">
        <v>1906</v>
      </c>
      <c r="C59" s="1762">
        <v>2040.84</v>
      </c>
      <c r="D59" s="1762" t="s">
        <v>1852</v>
      </c>
      <c r="E59" s="1763" t="s">
        <v>1907</v>
      </c>
      <c r="G59" s="1762">
        <v>41</v>
      </c>
      <c r="H59" s="1763" t="s">
        <v>1898</v>
      </c>
      <c r="I59" s="1762">
        <v>2044.19</v>
      </c>
      <c r="J59" s="1762" t="s">
        <v>1852</v>
      </c>
      <c r="K59" s="1763" t="s">
        <v>1899</v>
      </c>
    </row>
    <row r="60" spans="1:11">
      <c r="A60" s="1762">
        <v>58</v>
      </c>
      <c r="B60" s="1763" t="s">
        <v>1908</v>
      </c>
      <c r="C60" s="1762">
        <v>2040.07</v>
      </c>
      <c r="D60" s="1762" t="s">
        <v>1852</v>
      </c>
      <c r="E60" s="1763" t="s">
        <v>1909</v>
      </c>
      <c r="G60" s="1762">
        <v>42</v>
      </c>
      <c r="H60" s="1763" t="s">
        <v>1900</v>
      </c>
      <c r="I60" s="1762">
        <v>2043.2</v>
      </c>
      <c r="J60" s="1762" t="s">
        <v>1852</v>
      </c>
      <c r="K60" s="1763" t="s">
        <v>1901</v>
      </c>
    </row>
    <row r="61" spans="1:11">
      <c r="A61" s="1762">
        <v>59</v>
      </c>
      <c r="B61" s="1763" t="s">
        <v>1910</v>
      </c>
      <c r="C61" s="1762">
        <v>2039.25</v>
      </c>
      <c r="D61" s="1762" t="s">
        <v>1852</v>
      </c>
      <c r="E61" s="1763" t="s">
        <v>1911</v>
      </c>
      <c r="G61" s="1762">
        <v>43</v>
      </c>
      <c r="H61" s="1763" t="s">
        <v>1902</v>
      </c>
      <c r="I61" s="1762">
        <v>2042.36</v>
      </c>
      <c r="J61" s="1762" t="s">
        <v>1852</v>
      </c>
      <c r="K61" s="1763" t="s">
        <v>1903</v>
      </c>
    </row>
    <row r="62" spans="1:11">
      <c r="A62" s="1762">
        <v>60</v>
      </c>
      <c r="B62" s="1763" t="s">
        <v>1912</v>
      </c>
      <c r="C62" s="1762">
        <v>1873.87</v>
      </c>
      <c r="D62" s="1762" t="s">
        <v>1852</v>
      </c>
      <c r="E62" s="1763" t="s">
        <v>1913</v>
      </c>
      <c r="G62" s="1762">
        <v>44</v>
      </c>
      <c r="H62" s="1763" t="s">
        <v>1904</v>
      </c>
      <c r="I62" s="1762">
        <v>2041.55</v>
      </c>
      <c r="J62" s="1762" t="s">
        <v>1852</v>
      </c>
      <c r="K62" s="1763" t="s">
        <v>1905</v>
      </c>
    </row>
    <row r="63" spans="1:11">
      <c r="A63" s="1762">
        <v>61</v>
      </c>
      <c r="B63" s="1763" t="s">
        <v>1914</v>
      </c>
      <c r="C63" s="1762">
        <v>2015.24</v>
      </c>
      <c r="D63" s="1762" t="s">
        <v>1852</v>
      </c>
      <c r="E63" s="1763" t="s">
        <v>1915</v>
      </c>
      <c r="G63" s="1762">
        <v>45</v>
      </c>
      <c r="H63" s="1763" t="s">
        <v>1906</v>
      </c>
      <c r="I63" s="1762">
        <v>2040.84</v>
      </c>
      <c r="J63" s="1762" t="s">
        <v>1852</v>
      </c>
      <c r="K63" s="1763" t="s">
        <v>1907</v>
      </c>
    </row>
    <row r="64" spans="1:11">
      <c r="A64" s="1762"/>
      <c r="B64" s="1763"/>
      <c r="C64" s="1762">
        <f>SUM(C3:C63)</f>
        <v>110488.07</v>
      </c>
      <c r="D64" s="1762"/>
      <c r="E64" s="1763"/>
      <c r="G64" s="1762">
        <v>46</v>
      </c>
      <c r="H64" s="1763" t="s">
        <v>1908</v>
      </c>
      <c r="I64" s="1762">
        <v>2040.07</v>
      </c>
      <c r="J64" s="1762" t="s">
        <v>1852</v>
      </c>
      <c r="K64" s="1763" t="s">
        <v>1909</v>
      </c>
    </row>
    <row r="65" spans="2:11">
      <c r="G65" s="1762">
        <v>47</v>
      </c>
      <c r="H65" s="1763" t="s">
        <v>1910</v>
      </c>
      <c r="I65" s="1762">
        <v>2039.25</v>
      </c>
      <c r="J65" s="1762" t="s">
        <v>1852</v>
      </c>
      <c r="K65" s="1763" t="s">
        <v>1911</v>
      </c>
    </row>
    <row r="66" spans="2:11">
      <c r="G66" s="1762">
        <v>48</v>
      </c>
      <c r="H66" s="1763" t="s">
        <v>1912</v>
      </c>
      <c r="I66" s="1762">
        <v>1873.87</v>
      </c>
      <c r="J66" s="1762" t="s">
        <v>1852</v>
      </c>
      <c r="K66" s="1763" t="s">
        <v>1913</v>
      </c>
    </row>
    <row r="67" spans="2:11">
      <c r="G67" s="1762">
        <v>49</v>
      </c>
      <c r="H67" s="1763" t="s">
        <v>1914</v>
      </c>
      <c r="I67" s="1762">
        <v>2015.24</v>
      </c>
      <c r="J67" s="1762" t="s">
        <v>1852</v>
      </c>
      <c r="K67" s="1763" t="s">
        <v>1915</v>
      </c>
    </row>
    <row r="68" spans="2:11">
      <c r="H68" s="1761"/>
      <c r="I68" s="1760">
        <f>SUM(I19:I67)</f>
        <v>98810.330000000016</v>
      </c>
      <c r="J68" s="1760"/>
      <c r="K68" s="1761"/>
    </row>
    <row r="69" spans="2:11">
      <c r="B69" s="1760"/>
      <c r="E69" s="1760"/>
    </row>
    <row r="70" spans="2:11">
      <c r="B70" s="1760"/>
      <c r="E70" s="1760"/>
    </row>
    <row r="71" spans="2:11">
      <c r="B71" s="1760"/>
      <c r="E71" s="1760"/>
    </row>
    <row r="72" spans="2:11">
      <c r="B72" s="1760"/>
      <c r="E72" s="1760"/>
    </row>
    <row r="73" spans="2:11">
      <c r="B73" s="1760"/>
      <c r="E73" s="1760"/>
    </row>
    <row r="74" spans="2:11">
      <c r="B74" s="1760"/>
      <c r="E74" s="1760"/>
    </row>
    <row r="75" spans="2:11">
      <c r="B75" s="1760"/>
      <c r="E75" s="1760"/>
    </row>
    <row r="76" spans="2:11">
      <c r="B76" s="1760"/>
      <c r="E76" s="1760"/>
    </row>
    <row r="77" spans="2:11">
      <c r="B77" s="1760"/>
      <c r="E77" s="1760"/>
    </row>
    <row r="78" spans="2:11">
      <c r="B78" s="1760"/>
      <c r="E78" s="1760"/>
    </row>
    <row r="79" spans="2:11">
      <c r="B79" s="1760"/>
      <c r="E79" s="1760"/>
    </row>
    <row r="80" spans="2:11">
      <c r="B80" s="1760"/>
      <c r="E80" s="1760"/>
    </row>
    <row r="81" spans="2:5">
      <c r="B81" s="1760"/>
      <c r="E81" s="1760"/>
    </row>
    <row r="82" spans="2:5">
      <c r="B82" s="1760"/>
      <c r="E82" s="1760"/>
    </row>
    <row r="83" spans="2:5">
      <c r="B83" s="1760"/>
      <c r="E83" s="1760"/>
    </row>
    <row r="84" spans="2:5">
      <c r="B84" s="1760"/>
      <c r="E84" s="1760"/>
    </row>
    <row r="85" spans="2:5">
      <c r="B85" s="1760"/>
      <c r="E85" s="1760"/>
    </row>
    <row r="86" spans="2:5">
      <c r="B86" s="1760"/>
      <c r="E86" s="1760"/>
    </row>
    <row r="87" spans="2:5">
      <c r="B87" s="1760"/>
      <c r="E87" s="1760"/>
    </row>
    <row r="88" spans="2:5">
      <c r="B88" s="1760"/>
      <c r="E88" s="1760"/>
    </row>
    <row r="89" spans="2:5">
      <c r="B89" s="1760"/>
      <c r="E89" s="1760"/>
    </row>
    <row r="90" spans="2:5">
      <c r="B90" s="1760"/>
      <c r="E90" s="1760"/>
    </row>
    <row r="91" spans="2:5">
      <c r="B91" s="1760"/>
      <c r="E91" s="1760"/>
    </row>
    <row r="92" spans="2:5">
      <c r="B92" s="1760"/>
      <c r="E92" s="1760"/>
    </row>
    <row r="93" spans="2:5">
      <c r="B93" s="1760"/>
      <c r="E93" s="1760"/>
    </row>
    <row r="94" spans="2:5">
      <c r="B94" s="1760"/>
      <c r="E94" s="1760"/>
    </row>
    <row r="95" spans="2:5">
      <c r="B95" s="1760"/>
      <c r="E95" s="1760"/>
    </row>
    <row r="96" spans="2:5">
      <c r="B96" s="1760"/>
      <c r="E96" s="1760"/>
    </row>
    <row r="97" spans="2:5">
      <c r="B97" s="1760"/>
      <c r="E97" s="1760"/>
    </row>
    <row r="98" spans="2:5">
      <c r="B98" s="1760"/>
      <c r="E98" s="1760"/>
    </row>
    <row r="99" spans="2:5">
      <c r="B99" s="1760"/>
      <c r="E99" s="1760"/>
    </row>
    <row r="100" spans="2:5">
      <c r="B100" s="1760"/>
      <c r="E100" s="1760"/>
    </row>
    <row r="101" spans="2:5">
      <c r="B101" s="1760"/>
      <c r="E101" s="1760"/>
    </row>
    <row r="102" spans="2:5">
      <c r="B102" s="1760"/>
      <c r="E102" s="1760"/>
    </row>
    <row r="103" spans="2:5">
      <c r="B103" s="1760"/>
      <c r="E103" s="1760"/>
    </row>
    <row r="104" spans="2:5">
      <c r="B104" s="1760"/>
      <c r="E104" s="1760"/>
    </row>
    <row r="105" spans="2:5">
      <c r="B105" s="1760"/>
      <c r="E105" s="1760"/>
    </row>
    <row r="106" spans="2:5">
      <c r="B106" s="1760"/>
      <c r="E106" s="1760"/>
    </row>
    <row r="107" spans="2:5">
      <c r="B107" s="1760"/>
      <c r="E107" s="1760"/>
    </row>
    <row r="108" spans="2:5">
      <c r="B108" s="1760"/>
      <c r="E108" s="1760"/>
    </row>
    <row r="109" spans="2:5">
      <c r="B109" s="1760"/>
      <c r="E109" s="1760"/>
    </row>
    <row r="110" spans="2:5">
      <c r="B110" s="1760"/>
      <c r="E110" s="1760"/>
    </row>
    <row r="111" spans="2:5">
      <c r="B111" s="1760"/>
      <c r="E111" s="1760"/>
    </row>
    <row r="112" spans="2:5">
      <c r="B112" s="1760"/>
      <c r="E112" s="1760"/>
    </row>
    <row r="113" spans="2:5">
      <c r="B113" s="1760"/>
      <c r="E113" s="1760"/>
    </row>
    <row r="114" spans="2:5">
      <c r="B114" s="1760"/>
      <c r="E114" s="1760"/>
    </row>
    <row r="115" spans="2:5">
      <c r="B115" s="1760"/>
      <c r="E115" s="1760"/>
    </row>
    <row r="116" spans="2:5">
      <c r="B116" s="1760"/>
      <c r="E116" s="1760"/>
    </row>
    <row r="117" spans="2:5">
      <c r="B117" s="1760"/>
      <c r="E117" s="1760"/>
    </row>
    <row r="118" spans="2:5">
      <c r="B118" s="1760"/>
      <c r="E118" s="1760"/>
    </row>
  </sheetData>
  <mergeCells count="2">
    <mergeCell ref="A1:E1"/>
    <mergeCell ref="G17:K17"/>
  </mergeCells>
  <phoneticPr fontId="10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43" customWidth="1"/>
    <col min="2" max="2" width="30" style="1311" customWidth="1"/>
    <col min="3" max="3" width="45.5" style="1310" customWidth="1"/>
    <col min="4" max="4" width="2.625" style="1310" customWidth="1"/>
    <col min="5" max="5" width="5.875" style="1310" customWidth="1"/>
    <col min="6" max="6" width="30.25" style="1311" customWidth="1"/>
    <col min="7" max="7" width="41.875" style="1312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22" t="s">
        <v>207</v>
      </c>
      <c r="B1" s="496"/>
      <c r="C1" s="496"/>
      <c r="D1" s="1279"/>
      <c r="E1" s="496"/>
      <c r="F1" s="496"/>
      <c r="G1" s="496"/>
    </row>
    <row r="2" spans="1:18" ht="19.5" thickBot="1">
      <c r="A2" s="1280"/>
      <c r="B2" s="1281"/>
      <c r="C2" s="1282" t="s">
        <v>208</v>
      </c>
      <c r="D2" s="1283"/>
      <c r="E2" s="1284"/>
      <c r="F2" s="1284"/>
      <c r="G2" s="1285" t="s">
        <v>209</v>
      </c>
    </row>
    <row r="3" spans="1:18" ht="56.25">
      <c r="A3" s="1286" t="s">
        <v>210</v>
      </c>
      <c r="B3" s="1287" t="s">
        <v>4</v>
      </c>
      <c r="C3" s="1288" t="s">
        <v>219</v>
      </c>
      <c r="D3" s="1283"/>
      <c r="E3" s="1289" t="s">
        <v>211</v>
      </c>
      <c r="F3" s="1287" t="s">
        <v>212</v>
      </c>
      <c r="G3" s="1290" t="s">
        <v>1752</v>
      </c>
    </row>
    <row r="4" spans="1:18" ht="56.25">
      <c r="A4" s="1291"/>
      <c r="B4" s="1292" t="s">
        <v>213</v>
      </c>
      <c r="C4" s="1293" t="s">
        <v>220</v>
      </c>
      <c r="D4" s="1283"/>
      <c r="E4" s="1294"/>
      <c r="F4" s="1295" t="s">
        <v>214</v>
      </c>
      <c r="G4" s="1296" t="s">
        <v>221</v>
      </c>
    </row>
    <row r="5" spans="1:18" ht="37.5">
      <c r="A5" s="1291"/>
      <c r="B5" s="1292" t="s">
        <v>215</v>
      </c>
      <c r="C5" s="1293" t="s">
        <v>222</v>
      </c>
      <c r="D5" s="1297"/>
      <c r="E5" s="1294"/>
      <c r="F5" s="1295" t="s">
        <v>216</v>
      </c>
      <c r="G5" s="1298" t="s">
        <v>955</v>
      </c>
    </row>
    <row r="6" spans="1:18" ht="56.25">
      <c r="A6" s="1291"/>
      <c r="B6" s="1295" t="s">
        <v>7</v>
      </c>
      <c r="C6" s="1296" t="s">
        <v>203</v>
      </c>
      <c r="D6" s="1297"/>
      <c r="E6" s="1294"/>
      <c r="F6" s="1295" t="s">
        <v>204</v>
      </c>
      <c r="G6" s="1299" t="s">
        <v>205</v>
      </c>
    </row>
    <row r="7" spans="1:18" ht="37.5">
      <c r="A7" s="1291"/>
      <c r="B7" s="1295" t="s">
        <v>11</v>
      </c>
      <c r="C7" s="1298" t="s">
        <v>955</v>
      </c>
      <c r="D7" s="1283"/>
      <c r="E7" s="1294"/>
      <c r="F7" s="1300" t="s">
        <v>1195</v>
      </c>
      <c r="G7" s="1301" t="s">
        <v>1197</v>
      </c>
    </row>
    <row r="8" spans="1:18" ht="37.5">
      <c r="A8" s="1291"/>
      <c r="B8" s="1295" t="s">
        <v>10</v>
      </c>
      <c r="C8" s="1293" t="s">
        <v>206</v>
      </c>
      <c r="D8" s="1297"/>
      <c r="E8" s="1294"/>
      <c r="F8" s="1300" t="s">
        <v>1196</v>
      </c>
      <c r="G8" s="1296" t="s">
        <v>1198</v>
      </c>
    </row>
    <row r="9" spans="1:18">
      <c r="A9" s="1291"/>
      <c r="B9" s="1300" t="s">
        <v>1195</v>
      </c>
      <c r="C9" s="1296" t="s">
        <v>1197</v>
      </c>
      <c r="D9" s="1283"/>
      <c r="E9" s="1294"/>
      <c r="F9" s="1295" t="s">
        <v>9</v>
      </c>
      <c r="G9" s="1302"/>
    </row>
    <row r="10" spans="1:18">
      <c r="A10" s="1291"/>
      <c r="B10" s="1300" t="s">
        <v>1196</v>
      </c>
      <c r="C10" s="1296" t="s">
        <v>1198</v>
      </c>
      <c r="D10" s="1283"/>
      <c r="E10" s="1294"/>
      <c r="F10" s="1295" t="s">
        <v>217</v>
      </c>
      <c r="G10" s="1298"/>
    </row>
    <row r="11" spans="1:18" s="442" customFormat="1" ht="19.5" thickBot="1">
      <c r="A11" s="1291"/>
      <c r="B11" s="1295" t="s">
        <v>9</v>
      </c>
      <c r="C11" s="1302"/>
      <c r="D11" s="444"/>
      <c r="E11" s="1303"/>
      <c r="F11" s="1304" t="s">
        <v>218</v>
      </c>
      <c r="G11" s="1305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306"/>
      <c r="B12" s="1304" t="s">
        <v>8</v>
      </c>
      <c r="C12" s="1307"/>
      <c r="D12" s="444"/>
      <c r="E12" s="1308"/>
      <c r="F12" s="1308"/>
      <c r="G12" s="1309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66D" sheet="1" objects="1" scenarios="1" formatCells="0" formatColumns="0" formatRows="0"/>
  <phoneticPr fontId="24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ColWidth="9" defaultRowHeight="13.5"/>
  <cols>
    <col min="1" max="1" width="23.375" style="1681" customWidth="1"/>
    <col min="2" max="9" width="15.75" style="1681" customWidth="1"/>
    <col min="10" max="16384" width="9" style="1681"/>
  </cols>
  <sheetData>
    <row r="1" spans="1:10" ht="16.5">
      <c r="A1" s="1678" t="s">
        <v>1720</v>
      </c>
      <c r="B1" s="1678">
        <f>SUM(B14:B23)</f>
        <v>72550.03</v>
      </c>
      <c r="C1" s="1679"/>
      <c r="D1" s="1679"/>
      <c r="E1" s="1679"/>
      <c r="F1" s="1679"/>
      <c r="G1" s="1680"/>
    </row>
    <row r="2" spans="1:10" ht="16.5">
      <c r="A2" s="1678" t="s">
        <v>1721</v>
      </c>
      <c r="B2" s="1678">
        <f>SUM(C14:C23)</f>
        <v>8185.16</v>
      </c>
      <c r="C2" s="1679"/>
      <c r="D2" s="1679"/>
      <c r="E2" s="1679"/>
      <c r="F2" s="1679"/>
      <c r="G2" s="1680"/>
    </row>
    <row r="3" spans="1:10" ht="16.5">
      <c r="A3" s="1678" t="s">
        <v>1722</v>
      </c>
      <c r="B3" s="1682">
        <f>'主表(商业）'!B3</f>
        <v>43796</v>
      </c>
      <c r="C3" s="1679"/>
      <c r="D3" s="1679"/>
      <c r="E3" s="1679"/>
      <c r="F3" s="1679"/>
      <c r="G3" s="1680"/>
    </row>
    <row r="4" spans="1:10" ht="33">
      <c r="A4" s="1678" t="s">
        <v>1723</v>
      </c>
      <c r="B4" s="1678" t="s">
        <v>1724</v>
      </c>
      <c r="C4" s="1678" t="s">
        <v>1725</v>
      </c>
      <c r="D4" s="1678" t="s">
        <v>1726</v>
      </c>
      <c r="E4" s="1679"/>
      <c r="F4" s="1680"/>
      <c r="G4" s="1680"/>
    </row>
    <row r="5" spans="1:10" ht="16.5">
      <c r="A5" s="1678" t="s">
        <v>1727</v>
      </c>
      <c r="B5" s="1678">
        <f>SUM(D14:D23)</f>
        <v>0</v>
      </c>
      <c r="C5" s="1678">
        <f>ROUND(B5*10000/$B$1,0)</f>
        <v>0</v>
      </c>
      <c r="D5" s="1678">
        <f>ROUND(B5*10000/$B$2,0)</f>
        <v>0</v>
      </c>
      <c r="E5" s="1679"/>
      <c r="F5" s="1680"/>
      <c r="G5" s="1680"/>
    </row>
    <row r="6" spans="1:10" ht="16.5">
      <c r="A6" s="1678" t="s">
        <v>1728</v>
      </c>
      <c r="B6" s="1678">
        <f>SUM(G14:G23)</f>
        <v>0</v>
      </c>
      <c r="C6" s="1678">
        <f>ROUND(B6*10000/$B$1,0)</f>
        <v>0</v>
      </c>
      <c r="D6" s="1678">
        <f>ROUND(B6*10000/$B$2,0)</f>
        <v>0</v>
      </c>
      <c r="E6" s="1679"/>
      <c r="F6" s="1680"/>
      <c r="G6" s="1680"/>
    </row>
    <row r="7" spans="1:10" ht="16.5">
      <c r="A7" s="1678" t="s">
        <v>1729</v>
      </c>
      <c r="B7" s="1678">
        <f>SUM(H14:H23)</f>
        <v>0</v>
      </c>
      <c r="C7" s="1678">
        <f>ROUND(B7*10000/$B$1,0)</f>
        <v>0</v>
      </c>
      <c r="D7" s="1678">
        <f>ROUND(B7*10000/$B$2,0)</f>
        <v>0</v>
      </c>
      <c r="E7" s="1679"/>
      <c r="F7" s="1680"/>
      <c r="G7" s="1680"/>
    </row>
    <row r="8" spans="1:10" ht="16.5">
      <c r="A8" s="1678" t="s">
        <v>1730</v>
      </c>
      <c r="B8" s="1678">
        <f>SUM(I14:I23)</f>
        <v>0</v>
      </c>
      <c r="C8" s="1678">
        <f>ROUND(B8*10000/$B$1,0)</f>
        <v>0</v>
      </c>
      <c r="D8" s="1678">
        <f>ROUND(B8*10000/$B$2,0)</f>
        <v>0</v>
      </c>
      <c r="E8" s="1679"/>
      <c r="F8" s="1680"/>
      <c r="G8" s="1680"/>
    </row>
    <row r="9" spans="1:10" ht="16.5">
      <c r="A9" s="1678" t="s">
        <v>1731</v>
      </c>
      <c r="B9" s="1683"/>
      <c r="C9" s="1679"/>
      <c r="D9" s="1679"/>
      <c r="E9" s="1679"/>
      <c r="F9" s="1680"/>
      <c r="G9" s="1680"/>
    </row>
    <row r="10" spans="1:10" ht="16.5">
      <c r="A10" s="1678" t="s">
        <v>1732</v>
      </c>
      <c r="B10" s="1683"/>
      <c r="C10" s="1679"/>
      <c r="D10" s="1679"/>
      <c r="E10" s="1679"/>
      <c r="F10" s="1680"/>
      <c r="G10" s="1680"/>
    </row>
    <row r="11" spans="1:10" ht="16.5">
      <c r="A11" s="1678" t="s">
        <v>1751</v>
      </c>
      <c r="B11" s="1678">
        <f ca="1">结果表!B19</f>
        <v>51254.782399999996</v>
      </c>
      <c r="C11" s="1678">
        <f ca="1">结果表!B18</f>
        <v>7065</v>
      </c>
      <c r="D11" s="1679"/>
      <c r="E11" s="1679"/>
      <c r="F11" s="1680"/>
      <c r="G11" s="1680"/>
    </row>
    <row r="12" spans="1:10" ht="16.5">
      <c r="A12" s="1679"/>
      <c r="B12" s="1679"/>
      <c r="C12" s="1679"/>
      <c r="D12" s="1679"/>
      <c r="E12" s="1679"/>
      <c r="F12" s="1680"/>
      <c r="G12" s="1680"/>
    </row>
    <row r="13" spans="1:10" ht="33">
      <c r="A13" s="1684" t="s">
        <v>1733</v>
      </c>
      <c r="B13" s="1685" t="s">
        <v>1734</v>
      </c>
      <c r="C13" s="1685" t="s">
        <v>1735</v>
      </c>
      <c r="D13" s="1685" t="s">
        <v>1736</v>
      </c>
      <c r="E13" s="1678" t="s">
        <v>1725</v>
      </c>
      <c r="F13" s="1678" t="s">
        <v>1737</v>
      </c>
      <c r="G13" s="1685" t="s">
        <v>1738</v>
      </c>
      <c r="H13" s="1685" t="s">
        <v>1739</v>
      </c>
      <c r="I13" s="1685" t="s">
        <v>1740</v>
      </c>
      <c r="J13" s="1680"/>
    </row>
    <row r="14" spans="1:10" ht="16.5">
      <c r="A14" s="1686" t="s">
        <v>1741</v>
      </c>
      <c r="B14" s="1685">
        <f>'主表(商业）'!B7</f>
        <v>72550.03</v>
      </c>
      <c r="C14" s="1685">
        <f>'主表(商业）'!B6</f>
        <v>8185.16</v>
      </c>
      <c r="D14" s="1685"/>
      <c r="E14" s="1685">
        <f>ROUND(D14*10000/B14,0)</f>
        <v>0</v>
      </c>
      <c r="F14" s="1685">
        <f>ROUND(D14*10000/C14,0)</f>
        <v>0</v>
      </c>
      <c r="G14" s="1685"/>
      <c r="H14" s="1685"/>
      <c r="I14" s="1685"/>
      <c r="J14" s="1680"/>
    </row>
    <row r="15" spans="1:10" ht="16.5">
      <c r="A15" s="1686" t="s">
        <v>1742</v>
      </c>
      <c r="B15" s="1687"/>
      <c r="C15" s="1687"/>
      <c r="D15" s="1687"/>
      <c r="E15" s="1685" t="e">
        <f t="shared" ref="E15:E23" si="0">ROUND(D15*10000/B15,0)</f>
        <v>#DIV/0!</v>
      </c>
      <c r="F15" s="1685" t="e">
        <f t="shared" ref="F15:F23" si="1">ROUND(D15*10000/C15,0)</f>
        <v>#DIV/0!</v>
      </c>
      <c r="G15" s="1688"/>
      <c r="H15" s="1688"/>
      <c r="I15" s="1687"/>
      <c r="J15" s="1680"/>
    </row>
    <row r="16" spans="1:10" ht="16.5">
      <c r="A16" s="1686" t="s">
        <v>1743</v>
      </c>
      <c r="B16" s="1687"/>
      <c r="C16" s="1687"/>
      <c r="D16" s="1687"/>
      <c r="E16" s="1685" t="e">
        <f t="shared" si="0"/>
        <v>#DIV/0!</v>
      </c>
      <c r="F16" s="1685" t="e">
        <f t="shared" si="1"/>
        <v>#DIV/0!</v>
      </c>
      <c r="G16" s="1688"/>
      <c r="H16" s="1688"/>
      <c r="I16" s="1687"/>
    </row>
    <row r="17" spans="1:9" ht="16.5">
      <c r="A17" s="1686" t="s">
        <v>1744</v>
      </c>
      <c r="B17" s="1687"/>
      <c r="C17" s="1687"/>
      <c r="D17" s="1687"/>
      <c r="E17" s="1685" t="e">
        <f t="shared" si="0"/>
        <v>#DIV/0!</v>
      </c>
      <c r="F17" s="1685" t="e">
        <f t="shared" si="1"/>
        <v>#DIV/0!</v>
      </c>
      <c r="G17" s="1688"/>
      <c r="H17" s="1688"/>
      <c r="I17" s="1687"/>
    </row>
    <row r="18" spans="1:9" ht="16.5">
      <c r="A18" s="1686" t="s">
        <v>1745</v>
      </c>
      <c r="B18" s="1687"/>
      <c r="C18" s="1687"/>
      <c r="D18" s="1687"/>
      <c r="E18" s="1685" t="e">
        <f t="shared" si="0"/>
        <v>#DIV/0!</v>
      </c>
      <c r="F18" s="1685" t="e">
        <f t="shared" si="1"/>
        <v>#DIV/0!</v>
      </c>
      <c r="G18" s="1687"/>
      <c r="H18" s="1687"/>
      <c r="I18" s="1687"/>
    </row>
    <row r="19" spans="1:9" ht="16.5">
      <c r="A19" s="1686" t="s">
        <v>1746</v>
      </c>
      <c r="B19" s="1687"/>
      <c r="C19" s="1687"/>
      <c r="D19" s="1687"/>
      <c r="E19" s="1685" t="e">
        <f t="shared" si="0"/>
        <v>#DIV/0!</v>
      </c>
      <c r="F19" s="1685" t="e">
        <f t="shared" si="1"/>
        <v>#DIV/0!</v>
      </c>
      <c r="G19" s="1687"/>
      <c r="H19" s="1687"/>
      <c r="I19" s="1687"/>
    </row>
    <row r="20" spans="1:9" ht="16.5">
      <c r="A20" s="1686" t="s">
        <v>1747</v>
      </c>
      <c r="B20" s="1687"/>
      <c r="C20" s="1687"/>
      <c r="D20" s="1687"/>
      <c r="E20" s="1685" t="e">
        <f t="shared" si="0"/>
        <v>#DIV/0!</v>
      </c>
      <c r="F20" s="1685" t="e">
        <f t="shared" si="1"/>
        <v>#DIV/0!</v>
      </c>
      <c r="G20" s="1687"/>
      <c r="H20" s="1687"/>
      <c r="I20" s="1687"/>
    </row>
    <row r="21" spans="1:9" ht="16.5">
      <c r="A21" s="1686" t="s">
        <v>1748</v>
      </c>
      <c r="B21" s="1687"/>
      <c r="C21" s="1687"/>
      <c r="D21" s="1687"/>
      <c r="E21" s="1685" t="e">
        <f t="shared" si="0"/>
        <v>#DIV/0!</v>
      </c>
      <c r="F21" s="1685" t="e">
        <f t="shared" si="1"/>
        <v>#DIV/0!</v>
      </c>
      <c r="G21" s="1687"/>
      <c r="H21" s="1687"/>
      <c r="I21" s="1687"/>
    </row>
    <row r="22" spans="1:9" ht="16.5">
      <c r="A22" s="1686" t="s">
        <v>1749</v>
      </c>
      <c r="B22" s="1687"/>
      <c r="C22" s="1687"/>
      <c r="D22" s="1687"/>
      <c r="E22" s="1685" t="e">
        <f t="shared" si="0"/>
        <v>#DIV/0!</v>
      </c>
      <c r="F22" s="1685" t="e">
        <f t="shared" si="1"/>
        <v>#DIV/0!</v>
      </c>
      <c r="G22" s="1687"/>
      <c r="H22" s="1687"/>
      <c r="I22" s="1687"/>
    </row>
    <row r="23" spans="1:9" ht="16.5">
      <c r="A23" s="1686" t="s">
        <v>1750</v>
      </c>
      <c r="B23" s="1687"/>
      <c r="C23" s="1687"/>
      <c r="D23" s="1687"/>
      <c r="E23" s="1685" t="e">
        <f t="shared" si="0"/>
        <v>#DIV/0!</v>
      </c>
      <c r="F23" s="1685" t="e">
        <f t="shared" si="1"/>
        <v>#DIV/0!</v>
      </c>
      <c r="G23" s="1687"/>
      <c r="H23" s="1687"/>
      <c r="I23" s="1687"/>
    </row>
  </sheetData>
  <sheetProtection password="C66D" sheet="1" objects="1" scenarios="1" formatCells="0" formatColumns="0" formatRows="0"/>
  <phoneticPr fontId="10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899" t="s">
        <v>1366</v>
      </c>
      <c r="B2" s="1899"/>
      <c r="C2" s="1899"/>
      <c r="D2" s="1899"/>
      <c r="E2" s="1899"/>
      <c r="F2" s="1899"/>
      <c r="G2" s="1899"/>
      <c r="H2" s="662"/>
      <c r="I2" s="227"/>
      <c r="X2" s="221"/>
      <c r="AG2" s="189"/>
    </row>
    <row r="3" spans="1:33" ht="13.5">
      <c r="A3" s="1900" t="s">
        <v>1367</v>
      </c>
      <c r="B3" s="1901"/>
      <c r="C3" s="1902"/>
      <c r="D3" s="1903" t="s">
        <v>1368</v>
      </c>
      <c r="E3" s="1901"/>
      <c r="F3" s="1901"/>
      <c r="G3" s="1904"/>
      <c r="H3" s="662"/>
      <c r="I3" s="227"/>
      <c r="X3" s="221"/>
      <c r="AG3" s="189"/>
    </row>
    <row r="4" spans="1:33" ht="27">
      <c r="A4" s="1318" t="s">
        <v>1369</v>
      </c>
      <c r="B4" s="1319" t="s">
        <v>1370</v>
      </c>
      <c r="C4" s="1320" t="s">
        <v>1371</v>
      </c>
      <c r="D4" s="1905" t="s">
        <v>1369</v>
      </c>
      <c r="E4" s="1897"/>
      <c r="F4" s="1319" t="s">
        <v>1370</v>
      </c>
      <c r="G4" s="1321" t="s">
        <v>1372</v>
      </c>
      <c r="H4" s="662"/>
      <c r="I4" s="221"/>
      <c r="X4" s="221"/>
      <c r="AG4" s="189"/>
    </row>
    <row r="5" spans="1:33" ht="13.5">
      <c r="A5" s="1906" t="s">
        <v>1373</v>
      </c>
      <c r="B5" s="1891">
        <f>'主表(商业）'!F5</f>
        <v>2581</v>
      </c>
      <c r="C5" s="1907" t="s">
        <v>1374</v>
      </c>
      <c r="D5" s="1897" t="s">
        <v>1375</v>
      </c>
      <c r="E5" s="1898"/>
      <c r="F5" s="1322">
        <f>SUM(F6:F10)</f>
        <v>3608</v>
      </c>
      <c r="G5" s="1323" t="s">
        <v>1652</v>
      </c>
      <c r="H5" s="662"/>
      <c r="I5" s="227"/>
      <c r="X5" s="221"/>
      <c r="AG5" s="189"/>
    </row>
    <row r="6" spans="1:33" ht="27">
      <c r="A6" s="1906"/>
      <c r="B6" s="1891"/>
      <c r="C6" s="1907"/>
      <c r="D6" s="1908" t="s">
        <v>1396</v>
      </c>
      <c r="E6" s="1322" t="s">
        <v>1376</v>
      </c>
      <c r="F6" s="1322">
        <f>'主表(商业）'!F14</f>
        <v>2310</v>
      </c>
      <c r="G6" s="1323" t="s">
        <v>1377</v>
      </c>
      <c r="H6" s="662"/>
      <c r="I6" s="227"/>
      <c r="X6" s="221"/>
      <c r="AG6" s="189"/>
    </row>
    <row r="7" spans="1:33" ht="13.5">
      <c r="A7" s="1906"/>
      <c r="B7" s="1891"/>
      <c r="C7" s="1907"/>
      <c r="D7" s="1908"/>
      <c r="E7" s="1322" t="s">
        <v>1378</v>
      </c>
      <c r="F7" s="1322">
        <f>'主表(商业）'!F15</f>
        <v>800</v>
      </c>
      <c r="G7" s="1323"/>
      <c r="H7" s="662"/>
      <c r="I7" s="227"/>
      <c r="X7" s="221"/>
      <c r="AG7" s="189"/>
    </row>
    <row r="8" spans="1:33" ht="13.5">
      <c r="A8" s="1906"/>
      <c r="B8" s="1891"/>
      <c r="C8" s="1907"/>
      <c r="D8" s="1893" t="s">
        <v>1397</v>
      </c>
      <c r="E8" s="1894"/>
      <c r="F8" s="1322">
        <f>'主表(商业）'!F16</f>
        <v>187</v>
      </c>
      <c r="G8" s="1323" t="str">
        <f>"按建安工程费的"&amp;TEXT('主表(商业）'!G16,"0.0%")&amp;"计取"</f>
        <v>按建安工程费的6.0%计取</v>
      </c>
      <c r="H8" s="662"/>
      <c r="I8" s="227"/>
      <c r="X8" s="221"/>
      <c r="AG8" s="189"/>
    </row>
    <row r="9" spans="1:33" ht="13.5">
      <c r="A9" s="1906"/>
      <c r="B9" s="1891"/>
      <c r="C9" s="1907"/>
      <c r="D9" s="1893" t="s">
        <v>1398</v>
      </c>
      <c r="E9" s="1894"/>
      <c r="F9" s="1322">
        <f>'主表(商业）'!F18</f>
        <v>0</v>
      </c>
      <c r="G9" s="1323" t="str">
        <f>"按建安工程费的"&amp;TEXT('主表(商业）'!G18,"0.0%")&amp;"计取"</f>
        <v>按建安工程费的10.0%计取</v>
      </c>
      <c r="H9" s="662"/>
      <c r="I9" s="227"/>
      <c r="X9" s="221"/>
      <c r="AG9" s="189"/>
    </row>
    <row r="10" spans="1:33" ht="13.5">
      <c r="A10" s="1906"/>
      <c r="B10" s="1891"/>
      <c r="C10" s="1907"/>
      <c r="D10" s="1893" t="s">
        <v>1399</v>
      </c>
      <c r="E10" s="1894"/>
      <c r="F10" s="1322">
        <f>'主表(商业）'!F19</f>
        <v>311</v>
      </c>
      <c r="G10" s="1323" t="str">
        <f>"按建安工程费的"&amp;TEXT('主表(商业）'!G19,"0.0%")&amp;"计取"</f>
        <v>按建安工程费的10.0%计取</v>
      </c>
      <c r="H10" s="662"/>
      <c r="I10" s="227"/>
      <c r="X10" s="221"/>
      <c r="AG10" s="189"/>
    </row>
    <row r="11" spans="1:33" ht="13.5">
      <c r="A11" s="1318" t="s">
        <v>1379</v>
      </c>
      <c r="B11" s="1322">
        <f>'主表(商业）'!F8</f>
        <v>77</v>
      </c>
      <c r="C11" s="1324" t="str">
        <f>"按前期开发成本的"&amp;TEXT('主表(商业）'!G8,"0.0%")&amp;"计取"</f>
        <v>按前期开发成本的3.0%计取</v>
      </c>
      <c r="D11" s="1897" t="s">
        <v>1380</v>
      </c>
      <c r="E11" s="1898"/>
      <c r="F11" s="1322">
        <f>'主表(商业）'!F20</f>
        <v>108</v>
      </c>
      <c r="G11" s="1323" t="str">
        <f>"按房屋建设成本的"&amp;'主表(商业）'!G20&amp;"计取"</f>
        <v>按房屋建设成本的0.03计取</v>
      </c>
      <c r="H11" s="662"/>
      <c r="I11" s="227"/>
      <c r="X11" s="221"/>
      <c r="AG11" s="189"/>
    </row>
    <row r="12" spans="1:33" ht="40.5">
      <c r="A12" s="1318" t="s">
        <v>1381</v>
      </c>
      <c r="B12" s="1322">
        <f ca="1">'主表(商业）'!F9</f>
        <v>172</v>
      </c>
      <c r="C12" s="1325" t="str">
        <f ca="1">"前期开发期为"&amp;'主表(商业）'!B24&amp;"年，贷款利率为"&amp;TEXT('主表(商业）'!G9,"0.00%")&amp;"，"&amp;'主表(商业）'!H9</f>
        <v>前期开发期为1年，贷款利率为6.56%，计息期为1年，复利计息</v>
      </c>
      <c r="D12" s="1897" t="s">
        <v>1382</v>
      </c>
      <c r="E12" s="1898"/>
      <c r="F12" s="1322">
        <f ca="1">'主表(商业）'!F21</f>
        <v>80</v>
      </c>
      <c r="G12" s="1323" t="str">
        <f ca="1">"房屋建设期为"&amp;'主表(商业）'!B23&amp;"年，贷款利率为"&amp;TEXT('主表(商业）'!G21,"0.00%")&amp;"，"&amp;'主表(商业）'!H21</f>
        <v>房屋建设期为1年，贷款利率为4.35%，计息期为1年，复利计息</v>
      </c>
      <c r="H12" s="662"/>
      <c r="I12" s="227"/>
      <c r="X12" s="221"/>
      <c r="AG12" s="189"/>
    </row>
    <row r="13" spans="1:33" ht="27">
      <c r="A13" s="1318" t="s">
        <v>1383</v>
      </c>
      <c r="B13" s="1322">
        <f>'主表(商业）'!F10</f>
        <v>1063</v>
      </c>
      <c r="C13" s="1325" t="str">
        <f>"按前期开发成本及其管理费用的"&amp;TEXT('主表(商业）'!G10,"0%")&amp;"计取"</f>
        <v>按前期开发成本及其管理费用的40%计取</v>
      </c>
      <c r="D13" s="1897" t="s">
        <v>1383</v>
      </c>
      <c r="E13" s="1898"/>
      <c r="F13" s="1322">
        <f>'主表(商业）'!F22</f>
        <v>1486</v>
      </c>
      <c r="G13" s="1323" t="str">
        <f>"按房屋建设成本及其管理费用的"&amp;TEXT('主表(商业）'!G22,"0%")&amp;"计取"</f>
        <v>按房屋建设成本及其管理费用的40%计取</v>
      </c>
      <c r="H13" s="662"/>
      <c r="I13" s="227"/>
      <c r="X13" s="221"/>
      <c r="AG13" s="189"/>
    </row>
    <row r="14" spans="1:33" ht="13.5">
      <c r="A14" s="1318" t="s">
        <v>1384</v>
      </c>
      <c r="B14" s="1322">
        <f ca="1">SUM(B5:B13)</f>
        <v>3893</v>
      </c>
      <c r="C14" s="1325" t="s">
        <v>1385</v>
      </c>
      <c r="D14" s="1897" t="s">
        <v>1384</v>
      </c>
      <c r="E14" s="1898"/>
      <c r="F14" s="1322">
        <f ca="1">F5+F11+F12+F13</f>
        <v>5282</v>
      </c>
      <c r="G14" s="1323" t="s">
        <v>1385</v>
      </c>
      <c r="H14" s="662"/>
      <c r="I14" s="227"/>
      <c r="X14" s="221"/>
      <c r="AG14" s="189"/>
    </row>
    <row r="15" spans="1:33" ht="27.75" thickBot="1">
      <c r="A15" s="1318" t="s">
        <v>1386</v>
      </c>
      <c r="B15" s="1891">
        <f ca="1">'主表(商业）'!F24</f>
        <v>9175</v>
      </c>
      <c r="C15" s="1892"/>
      <c r="D15" s="1893" t="s">
        <v>1387</v>
      </c>
      <c r="E15" s="1894"/>
      <c r="F15" s="1894"/>
      <c r="G15" s="1895"/>
      <c r="H15" s="662"/>
      <c r="I15" s="227"/>
      <c r="X15" s="221"/>
      <c r="AG15" s="189"/>
    </row>
    <row r="16" spans="1:33" ht="27.75" thickBot="1">
      <c r="A16" s="1318" t="s">
        <v>1388</v>
      </c>
      <c r="B16" s="1891">
        <f ca="1">'主表(商业）'!F25</f>
        <v>66564.652499999997</v>
      </c>
      <c r="C16" s="1892"/>
      <c r="D16" s="1893" t="s">
        <v>1389</v>
      </c>
      <c r="E16" s="1894"/>
      <c r="F16" s="1894"/>
      <c r="G16" s="1895"/>
      <c r="H16" s="1327" t="str">
        <f ca="1">NUMBERSTRING(INT(B16*10000),2)&amp;"元整"</f>
        <v>陆亿陆仟伍佰陆拾肆万陆仟伍佰贰拾伍元整</v>
      </c>
      <c r="I16" s="1328"/>
      <c r="X16" s="221"/>
      <c r="AG16" s="189"/>
    </row>
    <row r="17" spans="1:33" ht="13.5">
      <c r="A17" s="1318" t="s">
        <v>1390</v>
      </c>
      <c r="B17" s="1896">
        <f>'主表(商业）'!F33</f>
        <v>0.77</v>
      </c>
      <c r="C17" s="1892"/>
      <c r="D17" s="1893" t="s">
        <v>1391</v>
      </c>
      <c r="E17" s="1894"/>
      <c r="F17" s="1894"/>
      <c r="G17" s="1895"/>
      <c r="H17" s="662"/>
      <c r="I17" s="227"/>
      <c r="X17" s="221"/>
      <c r="AG17" s="189"/>
    </row>
    <row r="18" spans="1:33" ht="27.75" thickBot="1">
      <c r="A18" s="1318" t="s">
        <v>1392</v>
      </c>
      <c r="B18" s="1891">
        <f ca="1">'主表(商业）'!F35</f>
        <v>7065</v>
      </c>
      <c r="C18" s="1892"/>
      <c r="D18" s="1893" t="s">
        <v>1393</v>
      </c>
      <c r="E18" s="1894"/>
      <c r="F18" s="1894"/>
      <c r="G18" s="1895"/>
      <c r="H18" s="660"/>
      <c r="I18" s="227"/>
      <c r="X18" s="221"/>
      <c r="AG18" s="189"/>
    </row>
    <row r="19" spans="1:33" ht="27.75" thickBot="1">
      <c r="A19" s="1326" t="s">
        <v>1394</v>
      </c>
      <c r="B19" s="1886">
        <f ca="1">'主表(商业）'!F36</f>
        <v>51254.782399999996</v>
      </c>
      <c r="C19" s="1887"/>
      <c r="D19" s="1888" t="s">
        <v>1395</v>
      </c>
      <c r="E19" s="1889"/>
      <c r="F19" s="1889"/>
      <c r="G19" s="1890"/>
      <c r="H19" s="1327" t="str">
        <f ca="1">NUMBERSTRING(INT(B19*10000),2)&amp;"元整"</f>
        <v>伍亿壹仟贰佰伍拾肆万柒仟捌佰贰拾肆元整</v>
      </c>
      <c r="I19" s="1328"/>
      <c r="X19" s="221"/>
      <c r="AG19" s="189"/>
    </row>
    <row r="20" spans="1:33" ht="20.25">
      <c r="A20" s="409" t="s">
        <v>223</v>
      </c>
      <c r="B20" s="410"/>
      <c r="C20" s="411" t="s">
        <v>26</v>
      </c>
      <c r="D20" s="224"/>
      <c r="E20" s="224"/>
      <c r="F20" s="224"/>
      <c r="G20" s="1332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31"/>
      <c r="E23" s="1331"/>
      <c r="F23" s="1331"/>
      <c r="G23" s="1333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34" t="s">
        <v>225</v>
      </c>
      <c r="H26" s="227"/>
      <c r="I26" s="227"/>
      <c r="W26" s="221"/>
      <c r="X26" s="221"/>
      <c r="AF26" s="189"/>
      <c r="AG26" s="189"/>
    </row>
    <row r="27" spans="1:33">
      <c r="A27" s="1329" t="s">
        <v>226</v>
      </c>
      <c r="B27" s="1330"/>
      <c r="C27" s="1330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34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34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5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E6"/>
  <sheetViews>
    <sheetView tabSelected="1" workbookViewId="0">
      <selection activeCell="F18" sqref="F18"/>
    </sheetView>
  </sheetViews>
  <sheetFormatPr defaultRowHeight="13.5"/>
  <cols>
    <col min="2" max="2" width="13.25" customWidth="1"/>
    <col min="3" max="3" width="13" customWidth="1"/>
    <col min="4" max="4" width="10.625" customWidth="1"/>
    <col min="5" max="5" width="18.375" customWidth="1"/>
  </cols>
  <sheetData>
    <row r="1" spans="1:5">
      <c r="A1" s="2016" t="s">
        <v>1985</v>
      </c>
      <c r="B1" s="2016" t="s">
        <v>1981</v>
      </c>
      <c r="C1" s="2016" t="s">
        <v>1982</v>
      </c>
      <c r="D1" s="2016" t="s">
        <v>1983</v>
      </c>
      <c r="E1" s="2016" t="s">
        <v>1984</v>
      </c>
    </row>
    <row r="2" spans="1:5">
      <c r="A2" s="2017">
        <v>1</v>
      </c>
      <c r="B2" s="2016" t="s">
        <v>1986</v>
      </c>
      <c r="C2" s="2017">
        <f>'数据-汇总表'!E19+'数据-汇总表'!E21</f>
        <v>72550.03</v>
      </c>
      <c r="D2" s="2017">
        <f ca="1">'主表(商业）'!F35</f>
        <v>7065</v>
      </c>
      <c r="E2" s="2017">
        <f ca="1">'主表(商业）'!F36</f>
        <v>51254.782399999996</v>
      </c>
    </row>
    <row r="3" spans="1:5">
      <c r="A3" s="2017">
        <v>2</v>
      </c>
      <c r="B3" s="2016" t="s">
        <v>1987</v>
      </c>
      <c r="C3" s="2017">
        <f>'数据-汇总表'!E20</f>
        <v>3358.16</v>
      </c>
      <c r="D3" s="2017">
        <f ca="1">'[3]主表(办公）'!$F$35</f>
        <v>8751</v>
      </c>
      <c r="E3" s="2017">
        <f ca="1">'[3]主表(办公）'!$F$36</f>
        <v>2938.6687000000002</v>
      </c>
    </row>
    <row r="4" spans="1:5">
      <c r="A4" s="2017">
        <v>3</v>
      </c>
      <c r="B4" s="2016" t="s">
        <v>1988</v>
      </c>
      <c r="C4" s="2017">
        <f>'数据-汇总表'!E22</f>
        <v>15987.419999999998</v>
      </c>
      <c r="D4" s="2017">
        <f ca="1">'[4]主表(车库）'!$F$35</f>
        <v>4658</v>
      </c>
      <c r="E4" s="2017">
        <f ca="1">'[4]主表(车库）'!$F$36</f>
        <v>7446.6844000000001</v>
      </c>
    </row>
    <row r="5" spans="1:5">
      <c r="A5" s="2017">
        <v>4</v>
      </c>
      <c r="B5" s="2016" t="s">
        <v>1989</v>
      </c>
      <c r="C5" s="2017">
        <f>'数据-汇总表'!E23</f>
        <v>6914.72</v>
      </c>
      <c r="D5" s="2017">
        <f ca="1">'[5]主表(仓储）'!$F$35</f>
        <v>3299</v>
      </c>
      <c r="E5" s="2017">
        <f ca="1">'[5]主表(仓储）'!$F$36</f>
        <v>2281.1938</v>
      </c>
    </row>
    <row r="6" spans="1:5">
      <c r="A6" s="2018" t="s">
        <v>1990</v>
      </c>
      <c r="B6" s="2018"/>
      <c r="C6" s="2018"/>
      <c r="D6" s="2018"/>
      <c r="E6" s="2017">
        <f ca="1">SUM(E2:E5)</f>
        <v>63921.329299999998</v>
      </c>
    </row>
  </sheetData>
  <mergeCells count="1">
    <mergeCell ref="A6:D6"/>
  </mergeCells>
  <phoneticPr fontId="109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opLeftCell="A10" zoomScale="90" zoomScaleNormal="90" workbookViewId="0">
      <selection activeCell="D32" sqref="D32"/>
    </sheetView>
  </sheetViews>
  <sheetFormatPr defaultColWidth="9" defaultRowHeight="15.75" customHeight="1"/>
  <cols>
    <col min="1" max="1" width="25.625" style="1262" customWidth="1"/>
    <col min="2" max="2" width="15.625" style="1181" customWidth="1"/>
    <col min="3" max="3" width="6" style="1181" customWidth="1"/>
    <col min="4" max="4" width="7.75" style="1181" customWidth="1"/>
    <col min="5" max="5" width="22.25" style="1181" customWidth="1"/>
    <col min="6" max="6" width="12.375" style="1181" customWidth="1"/>
    <col min="7" max="7" width="9" style="1181"/>
    <col min="8" max="8" width="29" style="1181" customWidth="1"/>
    <col min="9" max="9" width="27.875" style="1263" customWidth="1"/>
    <col min="10" max="10" width="14.375" style="1263" customWidth="1"/>
    <col min="11" max="12" width="9" style="1181"/>
    <col min="13" max="13" width="2.125" style="1181" customWidth="1"/>
    <col min="14" max="14" width="18.125" style="1181" customWidth="1"/>
    <col min="15" max="15" width="10.875" style="1181" customWidth="1"/>
    <col min="16" max="16" width="17.25" style="1181" customWidth="1"/>
    <col min="17" max="17" width="14" style="1181" customWidth="1"/>
    <col min="18" max="16384" width="9" style="1181"/>
  </cols>
  <sheetData>
    <row r="1" spans="1:18" ht="26.25" customHeight="1" thickBot="1">
      <c r="A1" s="1175" t="s">
        <v>1223</v>
      </c>
      <c r="B1" s="1176"/>
      <c r="C1" s="1177"/>
      <c r="D1" s="1177"/>
      <c r="E1" s="1178"/>
      <c r="F1" s="1177"/>
      <c r="G1" s="1177"/>
      <c r="H1" s="1179"/>
      <c r="I1" s="1180"/>
      <c r="J1" s="1180"/>
      <c r="K1" s="1236"/>
      <c r="L1" s="1236"/>
    </row>
    <row r="2" spans="1:18" ht="15.75" customHeight="1" thickTop="1" thickBot="1">
      <c r="A2" s="1182" t="s">
        <v>1295</v>
      </c>
      <c r="B2" s="1183"/>
      <c r="C2" s="1184"/>
      <c r="D2" s="1914" t="s">
        <v>1286</v>
      </c>
      <c r="E2" s="1915"/>
      <c r="F2" s="1915"/>
      <c r="G2" s="1915"/>
      <c r="H2" s="1916"/>
      <c r="I2" s="1185"/>
      <c r="J2" s="1185"/>
      <c r="K2" s="1236"/>
      <c r="L2" s="1236"/>
      <c r="N2" s="513" t="s">
        <v>1159</v>
      </c>
      <c r="O2" s="484">
        <f>SUMPRODUCT((N6:N12=B20)*(O5:Q5=B21)*(O6:Q12))</f>
        <v>60</v>
      </c>
    </row>
    <row r="3" spans="1:18" ht="15.75" customHeight="1">
      <c r="A3" s="1186" t="s">
        <v>1277</v>
      </c>
      <c r="B3" s="515">
        <v>43796</v>
      </c>
      <c r="C3" s="1184"/>
      <c r="D3" s="1187" t="s">
        <v>1228</v>
      </c>
      <c r="E3" s="1188" t="s">
        <v>1229</v>
      </c>
      <c r="F3" s="1188" t="s">
        <v>1230</v>
      </c>
      <c r="G3" s="1188" t="s">
        <v>1300</v>
      </c>
      <c r="H3" s="1189" t="s">
        <v>1292</v>
      </c>
      <c r="I3" s="1190"/>
      <c r="J3" s="1191"/>
      <c r="K3" s="1236"/>
      <c r="L3" s="1236"/>
      <c r="N3" s="485" t="s">
        <v>1274</v>
      </c>
      <c r="O3" s="1421">
        <f>IF(B22="",O2,YEAR(B3)-B22)</f>
        <v>11</v>
      </c>
    </row>
    <row r="4" spans="1:18" ht="15.75" customHeight="1">
      <c r="A4" s="1186" t="s">
        <v>1544</v>
      </c>
      <c r="B4" s="515">
        <v>40813</v>
      </c>
      <c r="C4" s="1184"/>
      <c r="D4" s="1192" t="s">
        <v>1287</v>
      </c>
      <c r="E4" s="1193" t="s">
        <v>1583</v>
      </c>
      <c r="F4" s="1194">
        <f ca="1">F5+F8+F9+F10</f>
        <v>3893</v>
      </c>
      <c r="G4" s="1195"/>
      <c r="H4" s="1196" t="s">
        <v>1231</v>
      </c>
      <c r="I4" s="1197"/>
      <c r="J4" s="1180"/>
      <c r="K4" s="1236"/>
      <c r="L4" s="1236"/>
      <c r="N4" s="485" t="s">
        <v>1273</v>
      </c>
      <c r="O4" s="514">
        <f>SUMIF(N6:N12,B20,R6:R12)</f>
        <v>0</v>
      </c>
      <c r="P4" s="1198"/>
      <c r="Q4" s="1198"/>
    </row>
    <row r="5" spans="1:18" ht="15.75" customHeight="1">
      <c r="A5" s="1199"/>
      <c r="B5" s="1183"/>
      <c r="C5" s="1184"/>
      <c r="D5" s="1200">
        <v>1</v>
      </c>
      <c r="E5" s="1201" t="s">
        <v>1584</v>
      </c>
      <c r="F5" s="1039">
        <f>IF(B4&lt;DATE(2002,12,10),F6,F6-F7)</f>
        <v>2581</v>
      </c>
      <c r="G5" s="1202"/>
      <c r="H5" s="1203" t="s">
        <v>1297</v>
      </c>
      <c r="I5" s="1197"/>
      <c r="J5" s="1180"/>
      <c r="K5" s="1236"/>
      <c r="L5" s="1236"/>
      <c r="N5" s="512" t="s">
        <v>1155</v>
      </c>
      <c r="O5" s="1204" t="s">
        <v>1150</v>
      </c>
      <c r="P5" s="1204" t="s">
        <v>1152</v>
      </c>
      <c r="Q5" s="1204" t="s">
        <v>1148</v>
      </c>
      <c r="R5" s="1204" t="s">
        <v>1268</v>
      </c>
    </row>
    <row r="6" spans="1:18" ht="15.75" customHeight="1">
      <c r="A6" s="1186" t="s">
        <v>1225</v>
      </c>
      <c r="B6" s="1274">
        <f>'数据-汇总表'!D19+'数据-汇总表'!D21</f>
        <v>8185.16</v>
      </c>
      <c r="C6" s="1184"/>
      <c r="D6" s="1205" t="s">
        <v>1279</v>
      </c>
      <c r="E6" s="1201" t="s">
        <v>1232</v>
      </c>
      <c r="F6" s="1039">
        <f>IF(B4&lt;DATE(2002,12,10),'1993基准地价'!B3,IF(B4&gt;=DATE(2014,8,28),'2014基准地价'!B3,'2002基准地价'!B3))</f>
        <v>5878</v>
      </c>
      <c r="G6" s="1202"/>
      <c r="H6" s="1206" t="str">
        <f>"采用"&amp;IF(B4&lt;DATE(2002,12,10),"1993版",IF(B4&gt;=DATE(2014,8,28),"2014版","2002版"))&amp;"基准地价系数修正法计算"</f>
        <v>采用2002版基准地价系数修正法计算</v>
      </c>
      <c r="I6" s="1672" t="s">
        <v>1578</v>
      </c>
      <c r="J6" s="1180"/>
      <c r="K6" s="1236"/>
      <c r="L6" s="1236"/>
      <c r="N6" s="512" t="s">
        <v>1160</v>
      </c>
      <c r="O6" s="1208">
        <v>70</v>
      </c>
      <c r="P6" s="1208">
        <v>50</v>
      </c>
      <c r="Q6" s="1208">
        <v>80</v>
      </c>
      <c r="R6" s="1209">
        <v>0</v>
      </c>
    </row>
    <row r="7" spans="1:18" ht="15.75" customHeight="1">
      <c r="A7" s="1186" t="s">
        <v>1226</v>
      </c>
      <c r="B7" s="1274">
        <f>'数据-汇总表'!E19+'数据-汇总表'!E21</f>
        <v>72550.03</v>
      </c>
      <c r="C7" s="1184"/>
      <c r="D7" s="1205" t="s">
        <v>1280</v>
      </c>
      <c r="E7" s="1201" t="s">
        <v>1233</v>
      </c>
      <c r="F7" s="1039">
        <f>IF(B4&lt;DATE(2002,12,10),'1993基准地价'!C14,IF(B4&gt;=DATE(2014,8,28),'2014基准地价'!B4,IF(H7="采用比较法计算",比较法!B3,IF(H7="扣毛地价",'2002基准地价'!B4,'2002基准地价'!B5))))</f>
        <v>3297</v>
      </c>
      <c r="G7" s="1210"/>
      <c r="H7" s="1372" t="s">
        <v>1918</v>
      </c>
      <c r="I7" s="1211" t="s">
        <v>1571</v>
      </c>
      <c r="J7" s="1180"/>
      <c r="K7" s="1236"/>
      <c r="L7" s="1236"/>
      <c r="N7" s="512" t="s">
        <v>1161</v>
      </c>
      <c r="O7" s="1208">
        <v>50</v>
      </c>
      <c r="P7" s="1208">
        <v>35</v>
      </c>
      <c r="Q7" s="1208">
        <v>60</v>
      </c>
      <c r="R7" s="1209">
        <v>0</v>
      </c>
    </row>
    <row r="8" spans="1:18" ht="15.75" customHeight="1">
      <c r="A8" s="1186" t="s">
        <v>1227</v>
      </c>
      <c r="B8" s="1212">
        <f>ROUND(B7/B6,2)</f>
        <v>8.86</v>
      </c>
      <c r="C8" s="1184"/>
      <c r="D8" s="1213">
        <v>2</v>
      </c>
      <c r="E8" s="1214" t="s">
        <v>1235</v>
      </c>
      <c r="F8" s="1215">
        <f>ROUND(F5*G8,0)</f>
        <v>77</v>
      </c>
      <c r="G8" s="661">
        <v>0.03</v>
      </c>
      <c r="H8" s="1216"/>
      <c r="I8" s="1197" t="s">
        <v>1296</v>
      </c>
      <c r="J8" s="1180"/>
      <c r="K8" s="1236"/>
      <c r="L8" s="1236"/>
      <c r="N8" s="512" t="s">
        <v>1162</v>
      </c>
      <c r="O8" s="1208">
        <v>40</v>
      </c>
      <c r="P8" s="1208">
        <v>30</v>
      </c>
      <c r="Q8" s="1208">
        <v>50</v>
      </c>
      <c r="R8" s="1209">
        <v>0.02</v>
      </c>
    </row>
    <row r="9" spans="1:18" ht="15.75" customHeight="1">
      <c r="A9" s="1186" t="s">
        <v>1648</v>
      </c>
      <c r="B9" s="1274">
        <f>面积新!H15</f>
        <v>7.09</v>
      </c>
      <c r="C9" s="1184"/>
      <c r="D9" s="1213">
        <v>3</v>
      </c>
      <c r="E9" s="1214" t="s">
        <v>1236</v>
      </c>
      <c r="F9" s="1215">
        <f ca="1">ROUND(F5*(POWER((1+G9),B24)-1)+F8*(POWER((1+G9),B24/2)-1),0)</f>
        <v>172</v>
      </c>
      <c r="G9" s="1217">
        <f ca="1">存贷款利率!G2</f>
        <v>6.5599999999999992E-2</v>
      </c>
      <c r="H9" s="1218" t="str">
        <f>"计息期为"&amp;B24&amp;"年，"&amp;"复利计息"</f>
        <v>计息期为1年，复利计息</v>
      </c>
      <c r="I9" s="1219"/>
      <c r="J9" s="1220"/>
      <c r="K9" s="1236"/>
      <c r="L9" s="1236"/>
      <c r="N9" s="512" t="s">
        <v>1269</v>
      </c>
      <c r="O9" s="1208">
        <v>30</v>
      </c>
      <c r="P9" s="1208">
        <v>20</v>
      </c>
      <c r="Q9" s="1208">
        <v>40</v>
      </c>
      <c r="R9" s="1209">
        <v>0.06</v>
      </c>
    </row>
    <row r="10" spans="1:18" ht="15.75" customHeight="1" thickBot="1">
      <c r="A10" s="1186" t="s">
        <v>1301</v>
      </c>
      <c r="B10" s="1275" t="s">
        <v>254</v>
      </c>
      <c r="C10" s="1184"/>
      <c r="D10" s="1222">
        <v>4</v>
      </c>
      <c r="E10" s="1223" t="s">
        <v>1237</v>
      </c>
      <c r="F10" s="1224">
        <f>ROUND((F5+F8)*G10,0)</f>
        <v>1063</v>
      </c>
      <c r="G10" s="518">
        <v>0.4</v>
      </c>
      <c r="H10" s="1225" t="s">
        <v>1239</v>
      </c>
      <c r="I10" s="1226" t="s">
        <v>1238</v>
      </c>
      <c r="J10" s="1227"/>
      <c r="K10" s="1236"/>
      <c r="L10" s="1236"/>
      <c r="N10" s="512" t="s">
        <v>1270</v>
      </c>
      <c r="O10" s="1208">
        <v>30</v>
      </c>
      <c r="P10" s="1208">
        <v>20</v>
      </c>
      <c r="Q10" s="1208">
        <v>40</v>
      </c>
      <c r="R10" s="1209">
        <v>0.04</v>
      </c>
    </row>
    <row r="11" spans="1:18" ht="15.75" customHeight="1" thickTop="1">
      <c r="A11" s="1221" t="s">
        <v>1302</v>
      </c>
      <c r="B11" s="1174"/>
      <c r="C11" s="1184"/>
      <c r="D11" s="1228" t="s">
        <v>1293</v>
      </c>
      <c r="E11" s="1229" t="s">
        <v>1585</v>
      </c>
      <c r="F11" s="1194">
        <f ca="1">F12+F20+F21+F22</f>
        <v>5282</v>
      </c>
      <c r="G11" s="1230"/>
      <c r="H11" s="1231" t="s">
        <v>1240</v>
      </c>
      <c r="I11" s="1197"/>
      <c r="J11" s="1180"/>
      <c r="K11" s="1236"/>
      <c r="L11" s="1236"/>
      <c r="N11" s="512" t="s">
        <v>1271</v>
      </c>
      <c r="O11" s="1208">
        <v>30</v>
      </c>
      <c r="P11" s="1208">
        <v>20</v>
      </c>
      <c r="Q11" s="1208">
        <v>40</v>
      </c>
      <c r="R11" s="1209">
        <v>0.03</v>
      </c>
    </row>
    <row r="12" spans="1:18" ht="15.75" customHeight="1">
      <c r="A12" s="501" t="s">
        <v>199</v>
      </c>
      <c r="B12" s="502" t="s">
        <v>1916</v>
      </c>
      <c r="C12" s="1184"/>
      <c r="D12" s="1213">
        <v>1</v>
      </c>
      <c r="E12" s="1214" t="s">
        <v>1586</v>
      </c>
      <c r="F12" s="1215">
        <f>F13+F16+F17</f>
        <v>3608</v>
      </c>
      <c r="G12" s="1232"/>
      <c r="H12" s="1233" t="s">
        <v>1298</v>
      </c>
      <c r="I12" s="1197"/>
      <c r="J12" s="1180"/>
      <c r="K12" s="1236"/>
      <c r="L12" s="1236"/>
      <c r="N12" s="512" t="s">
        <v>1272</v>
      </c>
      <c r="O12" s="1208">
        <v>10</v>
      </c>
      <c r="P12" s="1208">
        <v>10</v>
      </c>
      <c r="Q12" s="1208">
        <v>10</v>
      </c>
      <c r="R12" s="1209">
        <v>0</v>
      </c>
    </row>
    <row r="13" spans="1:18" ht="15.75" customHeight="1">
      <c r="A13" s="503" t="s">
        <v>1278</v>
      </c>
      <c r="B13" s="504">
        <v>40</v>
      </c>
      <c r="C13" s="1184"/>
      <c r="D13" s="1205" t="s">
        <v>1279</v>
      </c>
      <c r="E13" s="1214" t="s">
        <v>1241</v>
      </c>
      <c r="F13" s="1215">
        <f>F14+F15</f>
        <v>3110</v>
      </c>
      <c r="G13" s="1232"/>
      <c r="H13" s="1233" t="s">
        <v>1299</v>
      </c>
      <c r="I13" s="1197"/>
      <c r="J13" s="1180"/>
      <c r="K13" s="1236"/>
      <c r="L13" s="1236"/>
    </row>
    <row r="14" spans="1:18" ht="15.75" customHeight="1">
      <c r="A14" s="498" t="s">
        <v>200</v>
      </c>
      <c r="B14" s="505">
        <v>51980</v>
      </c>
      <c r="C14" s="1184"/>
      <c r="D14" s="1213" t="s">
        <v>1282</v>
      </c>
      <c r="E14" s="1214" t="s">
        <v>1242</v>
      </c>
      <c r="F14" s="519">
        <v>2310</v>
      </c>
      <c r="G14" s="1234"/>
      <c r="H14" s="1206"/>
      <c r="I14" s="1197"/>
      <c r="J14" s="1180"/>
      <c r="K14" s="1236"/>
      <c r="L14" s="1236"/>
    </row>
    <row r="15" spans="1:18" ht="15.75" customHeight="1">
      <c r="A15" s="506" t="s">
        <v>201</v>
      </c>
      <c r="B15" s="507">
        <f>IF(B14="",B13-(YEAR($B$4)-B22+B23+B24),ROUNDDOWN(MIN((B14-$B$4)/365,B13),2))</f>
        <v>30.59</v>
      </c>
      <c r="C15" s="1184"/>
      <c r="D15" s="1213" t="s">
        <v>1283</v>
      </c>
      <c r="E15" s="1214" t="s">
        <v>1243</v>
      </c>
      <c r="F15" s="519">
        <v>800</v>
      </c>
      <c r="G15" s="1234"/>
      <c r="H15" s="1206"/>
      <c r="I15" s="1197"/>
      <c r="J15" s="1180"/>
      <c r="K15" s="1236"/>
      <c r="L15" s="1236"/>
    </row>
    <row r="16" spans="1:18" ht="15.75" customHeight="1">
      <c r="A16" s="506" t="s">
        <v>1649</v>
      </c>
      <c r="B16" s="1274"/>
      <c r="C16" s="1184"/>
      <c r="D16" s="1205" t="s">
        <v>1280</v>
      </c>
      <c r="E16" s="1214" t="s">
        <v>1244</v>
      </c>
      <c r="F16" s="1039">
        <f>ROUND(F13*G16,0)</f>
        <v>187</v>
      </c>
      <c r="G16" s="517">
        <v>0.06</v>
      </c>
      <c r="H16" s="1237" t="s">
        <v>1246</v>
      </c>
      <c r="I16" s="1219" t="s">
        <v>1245</v>
      </c>
      <c r="J16" s="1180"/>
      <c r="K16" s="1236"/>
      <c r="L16" s="1236"/>
    </row>
    <row r="17" spans="1:18" ht="15.75" customHeight="1">
      <c r="A17" s="506" t="s">
        <v>1650</v>
      </c>
      <c r="B17" s="1489">
        <f>IF(B4&lt;DATE(2002,12,10),'1993基准地价'!C23,IF(B4&gt;=DATE(2014,8,28),'2014基准地价'!G20,'2002基准地价'!E10))</f>
        <v>0.04</v>
      </c>
      <c r="C17" s="1184"/>
      <c r="D17" s="1205" t="s">
        <v>1281</v>
      </c>
      <c r="E17" s="1214" t="s">
        <v>1247</v>
      </c>
      <c r="F17" s="1215">
        <f>F18+F19</f>
        <v>311</v>
      </c>
      <c r="G17" s="1232"/>
      <c r="H17" s="1233" t="s">
        <v>1299</v>
      </c>
      <c r="I17" s="1236"/>
      <c r="J17" s="1180"/>
      <c r="K17" s="1236"/>
      <c r="L17" s="1236"/>
    </row>
    <row r="18" spans="1:18" ht="15.75" customHeight="1">
      <c r="A18" s="498" t="s">
        <v>202</v>
      </c>
      <c r="B18" s="508">
        <f>IF(ISERROR(ROUND(POWER(1+B17,B13-B15)*(POWER(1+B17,B15)-1)/(POWER(1+B17,B13)-1),3)),0,ROUND(POWER(1+B17,B13-B15)*(POWER(1+B17,B15)-1)/(POWER(1+B17,B13)-1),3))</f>
        <v>0.88300000000000001</v>
      </c>
      <c r="C18" s="1184"/>
      <c r="D18" s="1213" t="s">
        <v>1284</v>
      </c>
      <c r="E18" s="1214" t="s">
        <v>1294</v>
      </c>
      <c r="F18" s="1039">
        <f>ROUND(IF(B12="住宅/居住",F13*G18,0),0)</f>
        <v>0</v>
      </c>
      <c r="G18" s="517">
        <v>0.1</v>
      </c>
      <c r="H18" s="1237" t="s">
        <v>1246</v>
      </c>
      <c r="I18" s="1219" t="s">
        <v>1248</v>
      </c>
      <c r="J18" s="1180" t="s">
        <v>1275</v>
      </c>
      <c r="K18" s="1236"/>
      <c r="L18" s="1236"/>
    </row>
    <row r="19" spans="1:18" ht="15.75" customHeight="1">
      <c r="A19" s="1235"/>
      <c r="B19" s="1236"/>
      <c r="C19" s="1184"/>
      <c r="D19" s="1213" t="s">
        <v>1285</v>
      </c>
      <c r="E19" s="1214" t="s">
        <v>1249</v>
      </c>
      <c r="F19" s="1039">
        <f>ROUND(F13*G19,0)</f>
        <v>311</v>
      </c>
      <c r="G19" s="517">
        <v>0.1</v>
      </c>
      <c r="H19" s="1237" t="s">
        <v>1246</v>
      </c>
      <c r="I19" s="1219" t="s">
        <v>1250</v>
      </c>
      <c r="J19" s="1180"/>
      <c r="K19" s="1236"/>
      <c r="L19" s="1236"/>
    </row>
    <row r="20" spans="1:18" ht="15.75" customHeight="1">
      <c r="A20" s="512" t="s">
        <v>1156</v>
      </c>
      <c r="B20" s="509" t="s">
        <v>1917</v>
      </c>
      <c r="C20" s="1184"/>
      <c r="D20" s="1213">
        <v>2</v>
      </c>
      <c r="E20" s="1214" t="s">
        <v>1235</v>
      </c>
      <c r="F20" s="1215">
        <f>ROUND(F12*G20,0)</f>
        <v>108</v>
      </c>
      <c r="G20" s="661">
        <f>G8</f>
        <v>0.03</v>
      </c>
      <c r="H20" s="1206"/>
      <c r="I20" s="1219" t="s">
        <v>1251</v>
      </c>
      <c r="J20" s="1180"/>
      <c r="K20" s="1236"/>
      <c r="L20" s="1236"/>
    </row>
    <row r="21" spans="1:18" ht="15.75" customHeight="1">
      <c r="A21" s="512" t="s">
        <v>1157</v>
      </c>
      <c r="B21" s="510" t="s">
        <v>1148</v>
      </c>
      <c r="C21" s="1184"/>
      <c r="D21" s="1407">
        <v>3</v>
      </c>
      <c r="E21" s="1408" t="s">
        <v>1587</v>
      </c>
      <c r="F21" s="1409">
        <f ca="1">ROUND((F12+F20)*(POWER((1+G21),B23/2)-1),0)</f>
        <v>80</v>
      </c>
      <c r="G21" s="1410">
        <f ca="1">存贷款利率!G1</f>
        <v>4.3499999999999997E-2</v>
      </c>
      <c r="H21" s="1218" t="str">
        <f>"计息期为"&amp;B23&amp;"年，"&amp;"复利计息"</f>
        <v>计息期为1年，复利计息</v>
      </c>
      <c r="I21" s="1207"/>
      <c r="J21" s="1190"/>
      <c r="K21" s="1236"/>
      <c r="L21" s="1236"/>
    </row>
    <row r="22" spans="1:18" ht="15.75" customHeight="1" thickBot="1">
      <c r="A22" s="512" t="s">
        <v>1158</v>
      </c>
      <c r="B22" s="511">
        <v>2008</v>
      </c>
      <c r="C22" s="1184"/>
      <c r="D22" s="1222">
        <v>4</v>
      </c>
      <c r="E22" s="1223" t="s">
        <v>1588</v>
      </c>
      <c r="F22" s="1224">
        <f>ROUND((F12+F20)*G22,0)</f>
        <v>1486</v>
      </c>
      <c r="G22" s="518">
        <f>G10</f>
        <v>0.4</v>
      </c>
      <c r="H22" s="1225" t="s">
        <v>1239</v>
      </c>
      <c r="I22" s="1278" t="str">
        <f>IF(B12="商业","商业用途35%-50%",IF(B12="工业","工业用途18%-28%",IF(B12="办公/综合","办公用途25%-40%","居住用途30%-50%")))</f>
        <v>商业用途35%-50%</v>
      </c>
      <c r="J22" s="1180"/>
      <c r="K22" s="1236"/>
      <c r="L22" s="1236"/>
    </row>
    <row r="23" spans="1:18" ht="15.75" customHeight="1" thickTop="1">
      <c r="A23" s="512" t="s">
        <v>1276</v>
      </c>
      <c r="B23" s="516">
        <v>1</v>
      </c>
      <c r="C23" s="1236"/>
      <c r="D23" s="1228" t="s">
        <v>1589</v>
      </c>
      <c r="E23" s="1229" t="s">
        <v>1252</v>
      </c>
      <c r="F23" s="1194"/>
      <c r="G23" s="1238"/>
      <c r="H23" s="1239"/>
      <c r="I23" s="1240"/>
      <c r="J23" s="1180"/>
      <c r="K23" s="1236"/>
      <c r="L23" s="1236"/>
    </row>
    <row r="24" spans="1:18" ht="15.75" customHeight="1">
      <c r="A24" s="512" t="s">
        <v>1653</v>
      </c>
      <c r="B24" s="516">
        <v>1</v>
      </c>
      <c r="C24" s="1236"/>
      <c r="D24" s="1200">
        <v>1</v>
      </c>
      <c r="E24" s="1201" t="s">
        <v>1253</v>
      </c>
      <c r="F24" s="1039">
        <f ca="1">F4+F11</f>
        <v>9175</v>
      </c>
      <c r="G24" s="1241"/>
      <c r="H24" s="1216"/>
      <c r="I24" s="1240"/>
      <c r="J24" s="1180"/>
      <c r="K24" s="1236"/>
      <c r="L24" s="1236"/>
    </row>
    <row r="25" spans="1:18" ht="15.75" customHeight="1" thickBot="1">
      <c r="A25" s="1235"/>
      <c r="B25" s="1236"/>
      <c r="C25" s="1236"/>
      <c r="D25" s="1242">
        <v>2</v>
      </c>
      <c r="E25" s="1243" t="s">
        <v>1254</v>
      </c>
      <c r="F25" s="1244">
        <f ca="1">ROUND(F24*B7/10000,4)</f>
        <v>66564.652499999997</v>
      </c>
      <c r="G25" s="1245"/>
      <c r="H25" s="1246"/>
      <c r="I25" s="1240"/>
      <c r="J25" s="1180"/>
      <c r="K25" s="1236"/>
      <c r="L25" s="1236"/>
    </row>
    <row r="26" spans="1:18" ht="15.75" customHeight="1" thickBot="1">
      <c r="A26" s="1235"/>
      <c r="B26" s="1236"/>
      <c r="C26" s="1236"/>
      <c r="D26" s="1917" t="s">
        <v>1288</v>
      </c>
      <c r="E26" s="1918"/>
      <c r="F26" s="1918"/>
      <c r="G26" s="1918"/>
      <c r="H26" s="1919"/>
      <c r="I26" s="1197"/>
      <c r="J26" s="1185"/>
      <c r="K26" s="1236"/>
      <c r="L26" s="1236"/>
    </row>
    <row r="27" spans="1:18" ht="15.75" customHeight="1">
      <c r="A27" s="1235"/>
      <c r="B27" s="1236"/>
      <c r="C27" s="1236"/>
      <c r="D27" s="1247" t="s">
        <v>1228</v>
      </c>
      <c r="E27" s="1248" t="s">
        <v>1234</v>
      </c>
      <c r="F27" s="1188" t="s">
        <v>1255</v>
      </c>
      <c r="G27" s="1188" t="s">
        <v>1256</v>
      </c>
      <c r="H27" s="1249"/>
      <c r="I27" s="1276"/>
      <c r="J27" s="1190"/>
      <c r="K27" s="1236"/>
      <c r="L27" s="1236"/>
    </row>
    <row r="28" spans="1:18" ht="15.75" customHeight="1" thickBot="1">
      <c r="A28" s="1235"/>
      <c r="B28" s="1236"/>
      <c r="C28" s="1236"/>
      <c r="D28" s="1250" t="s">
        <v>1287</v>
      </c>
      <c r="E28" s="1251" t="s">
        <v>1257</v>
      </c>
      <c r="F28" s="1252">
        <f>ROUND(IF(AND(B12&lt;&gt;"住宅/居住",B13&lt;O2),1-(1-O4)*O3/B13,1-(1-O4)*O3/O2),2)</f>
        <v>0.73</v>
      </c>
      <c r="G28" s="520">
        <v>0.5</v>
      </c>
      <c r="H28" s="1253"/>
      <c r="I28" s="1197" t="s">
        <v>1258</v>
      </c>
      <c r="J28" s="1180"/>
      <c r="K28" s="1236"/>
      <c r="L28" s="1236"/>
    </row>
    <row r="29" spans="1:18" ht="15.75" customHeight="1">
      <c r="A29" s="1235"/>
      <c r="B29" s="1236"/>
      <c r="C29" s="1236"/>
      <c r="D29" s="1250" t="s">
        <v>1289</v>
      </c>
      <c r="E29" s="1251" t="s">
        <v>1259</v>
      </c>
      <c r="F29" s="1252">
        <f>ROUND((F30*G30+F31*G31+F32*G32)/100,2)</f>
        <v>0.8</v>
      </c>
      <c r="G29" s="1252">
        <f>1-G28</f>
        <v>0.5</v>
      </c>
      <c r="H29" s="1206"/>
      <c r="I29" s="1197"/>
      <c r="J29" s="1180"/>
      <c r="K29" s="1236"/>
      <c r="L29" s="1236"/>
      <c r="N29" s="1427"/>
      <c r="O29" s="1428" t="s">
        <v>1593</v>
      </c>
      <c r="P29" s="1428" t="s">
        <v>1594</v>
      </c>
      <c r="Q29" s="1428" t="s">
        <v>1595</v>
      </c>
      <c r="R29" s="1429" t="s">
        <v>1596</v>
      </c>
    </row>
    <row r="30" spans="1:18" ht="15.75" customHeight="1">
      <c r="A30" s="1235"/>
      <c r="B30" s="1236"/>
      <c r="C30" s="1236"/>
      <c r="D30" s="1250">
        <v>1</v>
      </c>
      <c r="E30" s="1254" t="s">
        <v>1260</v>
      </c>
      <c r="F30" s="521">
        <v>80</v>
      </c>
      <c r="G30" s="1252">
        <f>IF(ISNUMBER(FIND("砖木",B20)),O30,SUMPRODUCT((N30:N32=E30)*(O29:R29=B20)*(O30:R32)))</f>
        <v>0.2</v>
      </c>
      <c r="H30" s="1253"/>
      <c r="I30" s="1909" t="s">
        <v>1597</v>
      </c>
      <c r="J30" s="1422"/>
      <c r="K30" s="1236"/>
      <c r="L30" s="1236"/>
      <c r="N30" s="1430" t="s">
        <v>1590</v>
      </c>
      <c r="O30" s="1431">
        <v>0.2</v>
      </c>
      <c r="P30" s="1431">
        <v>0.2</v>
      </c>
      <c r="Q30" s="1431">
        <v>0.2</v>
      </c>
      <c r="R30" s="1432">
        <v>0.25</v>
      </c>
    </row>
    <row r="31" spans="1:18" ht="15.75" customHeight="1">
      <c r="A31" s="1235"/>
      <c r="B31" s="1236"/>
      <c r="C31" s="1236"/>
      <c r="D31" s="1250">
        <v>2</v>
      </c>
      <c r="E31" s="1254" t="s">
        <v>1261</v>
      </c>
      <c r="F31" s="1255">
        <f>F30</f>
        <v>80</v>
      </c>
      <c r="G31" s="1252">
        <f>IF(ISNUMBER(FIND("砖木",B20)),O31,SUMPRODUCT((N30:N32=E31)*(O29:R29=B20)*(O30:R32)))</f>
        <v>0.5</v>
      </c>
      <c r="H31" s="1253"/>
      <c r="I31" s="1909"/>
      <c r="J31" s="1422"/>
      <c r="K31" s="1236"/>
      <c r="L31" s="1236"/>
      <c r="N31" s="1430" t="s">
        <v>1591</v>
      </c>
      <c r="O31" s="1431">
        <v>0.55000000000000004</v>
      </c>
      <c r="P31" s="1431">
        <v>0.45</v>
      </c>
      <c r="Q31" s="1431">
        <v>0.5</v>
      </c>
      <c r="R31" s="1432">
        <v>0.55000000000000004</v>
      </c>
    </row>
    <row r="32" spans="1:18" ht="15.75" customHeight="1">
      <c r="A32" s="1235"/>
      <c r="B32" s="1236"/>
      <c r="C32" s="1236"/>
      <c r="D32" s="1250">
        <v>3</v>
      </c>
      <c r="E32" s="1254" t="s">
        <v>1262</v>
      </c>
      <c r="F32" s="1255">
        <f>F31</f>
        <v>80</v>
      </c>
      <c r="G32" s="1252">
        <f>IF(ISNUMBER(FIND("砖木",B20)),O32,SUMPRODUCT((N30:N32=E32)*(O29:R29=B20)*(O30:R32)))</f>
        <v>0.3</v>
      </c>
      <c r="H32" s="1253"/>
      <c r="I32" s="1909"/>
      <c r="J32" s="1422"/>
      <c r="K32" s="1236"/>
      <c r="L32" s="1236"/>
      <c r="N32" s="1430" t="s">
        <v>1592</v>
      </c>
      <c r="O32" s="1431">
        <v>0.25</v>
      </c>
      <c r="P32" s="1431">
        <v>0.35</v>
      </c>
      <c r="Q32" s="1431">
        <v>0.3</v>
      </c>
      <c r="R32" s="1432">
        <v>0.2</v>
      </c>
    </row>
    <row r="33" spans="1:18" ht="15.75" customHeight="1" thickBot="1">
      <c r="A33" s="1235"/>
      <c r="B33" s="1236"/>
      <c r="C33" s="1236"/>
      <c r="D33" s="1256" t="s">
        <v>1290</v>
      </c>
      <c r="E33" s="1257" t="s">
        <v>1263</v>
      </c>
      <c r="F33" s="1258">
        <f>ROUND(F28*G28+F29*G29,2)</f>
        <v>0.77</v>
      </c>
      <c r="G33" s="1245"/>
      <c r="H33" s="1246"/>
      <c r="I33" s="1277"/>
      <c r="J33" s="1180"/>
      <c r="K33" s="1236"/>
      <c r="L33" s="1236"/>
      <c r="N33" s="1433"/>
      <c r="O33" s="1512">
        <f>SUM(O30:O32)</f>
        <v>1</v>
      </c>
      <c r="P33" s="1512">
        <f t="shared" ref="P33:R33" si="0">SUM(P30:P32)</f>
        <v>1</v>
      </c>
      <c r="Q33" s="1512">
        <f t="shared" si="0"/>
        <v>1</v>
      </c>
      <c r="R33" s="1513">
        <f t="shared" si="0"/>
        <v>1</v>
      </c>
    </row>
    <row r="34" spans="1:18" ht="15.75" customHeight="1" thickBot="1">
      <c r="A34" s="1235"/>
      <c r="B34" s="1236"/>
      <c r="C34" s="1236"/>
      <c r="D34" s="1917" t="s">
        <v>1291</v>
      </c>
      <c r="E34" s="1918"/>
      <c r="F34" s="1918"/>
      <c r="G34" s="1918"/>
      <c r="H34" s="1919"/>
      <c r="I34" s="1185"/>
      <c r="J34" s="1185"/>
      <c r="K34" s="1236"/>
      <c r="L34" s="1236"/>
    </row>
    <row r="35" spans="1:18" ht="15.75" customHeight="1">
      <c r="A35" s="1235"/>
      <c r="B35" s="1236"/>
      <c r="C35" s="1236"/>
      <c r="D35" s="1200" t="s">
        <v>1287</v>
      </c>
      <c r="E35" s="1259" t="s">
        <v>1264</v>
      </c>
      <c r="F35" s="1260">
        <f ca="1">ROUND(F24*F33,0)</f>
        <v>7065</v>
      </c>
      <c r="G35" s="1910" t="s">
        <v>1265</v>
      </c>
      <c r="H35" s="1911"/>
      <c r="I35" s="1191"/>
      <c r="J35" s="1191"/>
      <c r="K35" s="1236"/>
      <c r="L35" s="1236"/>
    </row>
    <row r="36" spans="1:18" ht="15.75" customHeight="1" thickBot="1">
      <c r="A36" s="1235"/>
      <c r="B36" s="1236"/>
      <c r="C36" s="1236"/>
      <c r="D36" s="1242" t="s">
        <v>1289</v>
      </c>
      <c r="E36" s="1243" t="s">
        <v>1266</v>
      </c>
      <c r="F36" s="1261">
        <f ca="1">ROUND(F25*F33,4)</f>
        <v>51254.782399999996</v>
      </c>
      <c r="G36" s="1912" t="s">
        <v>1267</v>
      </c>
      <c r="H36" s="1913"/>
      <c r="I36" s="1191"/>
      <c r="J36" s="1191"/>
      <c r="K36" s="1236"/>
      <c r="L36" s="1236"/>
    </row>
    <row r="37" spans="1:18" ht="15.75" customHeight="1">
      <c r="A37" s="1235"/>
      <c r="B37" s="1236"/>
    </row>
    <row r="38" spans="1:18" ht="15.75" customHeight="1">
      <c r="A38" s="1235"/>
      <c r="B38" s="1236"/>
    </row>
    <row r="39" spans="1:18" ht="15.75" customHeight="1">
      <c r="A39" s="1235"/>
      <c r="B39" s="1236"/>
    </row>
    <row r="43" spans="1:18" ht="15.75" customHeight="1">
      <c r="N43" s="1264"/>
      <c r="O43" s="1264"/>
    </row>
    <row r="44" spans="1:18" ht="15.75" customHeight="1">
      <c r="N44" s="1264"/>
      <c r="O44" s="1264"/>
    </row>
    <row r="45" spans="1:18" ht="15.75" customHeight="1">
      <c r="N45" s="1264"/>
      <c r="O45" s="1264"/>
    </row>
    <row r="46" spans="1:18" ht="15.75" customHeight="1">
      <c r="N46" s="1264"/>
      <c r="O46" s="1264"/>
    </row>
    <row r="51" spans="1:13" ht="15.75" customHeight="1">
      <c r="G51" s="1269" t="s">
        <v>1210</v>
      </c>
    </row>
    <row r="52" spans="1:13" ht="15.75" customHeight="1">
      <c r="C52" s="1266" t="s">
        <v>1209</v>
      </c>
      <c r="D52" s="1266"/>
      <c r="E52" s="1266"/>
      <c r="F52" s="1266"/>
      <c r="G52" s="1270" t="s">
        <v>1214</v>
      </c>
      <c r="I52" s="1271"/>
      <c r="J52" s="1271"/>
      <c r="K52" s="1264"/>
      <c r="L52" s="1264"/>
      <c r="M52" s="1264"/>
    </row>
    <row r="53" spans="1:13" ht="15.75" customHeight="1">
      <c r="A53" s="1265" t="s">
        <v>1207</v>
      </c>
      <c r="B53" s="1266" t="s">
        <v>1208</v>
      </c>
      <c r="C53" s="1268" t="s">
        <v>1213</v>
      </c>
      <c r="D53" s="1268"/>
      <c r="E53" s="1268"/>
      <c r="F53" s="1268"/>
      <c r="G53" s="1270" t="s">
        <v>1218</v>
      </c>
      <c r="I53" s="1271"/>
      <c r="J53" s="1271"/>
      <c r="K53" s="1264"/>
      <c r="L53" s="1264"/>
      <c r="M53" s="1264"/>
    </row>
    <row r="54" spans="1:13" ht="15.75" customHeight="1">
      <c r="A54" s="1267" t="s">
        <v>1211</v>
      </c>
      <c r="B54" s="1268" t="s">
        <v>1212</v>
      </c>
      <c r="C54" s="1268" t="s">
        <v>1217</v>
      </c>
      <c r="D54" s="1268"/>
      <c r="E54" s="1268"/>
      <c r="F54" s="1268"/>
      <c r="G54" s="1270" t="s">
        <v>1222</v>
      </c>
      <c r="I54" s="1271"/>
      <c r="J54" s="1271"/>
      <c r="K54" s="1264"/>
      <c r="L54" s="1264"/>
      <c r="M54" s="1264"/>
    </row>
    <row r="55" spans="1:13" ht="15.75" customHeight="1">
      <c r="A55" s="1267" t="s">
        <v>1215</v>
      </c>
      <c r="B55" s="1268" t="s">
        <v>1216</v>
      </c>
      <c r="C55" s="1268" t="s">
        <v>1221</v>
      </c>
      <c r="D55" s="1268"/>
      <c r="E55" s="1268"/>
      <c r="F55" s="1268"/>
      <c r="G55" s="1270" t="s">
        <v>1224</v>
      </c>
      <c r="I55" s="1271"/>
      <c r="J55" s="1271"/>
      <c r="K55" s="1264"/>
      <c r="L55" s="1264"/>
      <c r="M55" s="1264"/>
    </row>
    <row r="56" spans="1:13" ht="15.75" customHeight="1">
      <c r="A56" s="1267" t="s">
        <v>1219</v>
      </c>
      <c r="B56" s="1268" t="s">
        <v>1220</v>
      </c>
    </row>
    <row r="57" spans="1:13" ht="15.75" customHeight="1">
      <c r="A57" s="1272"/>
      <c r="B57" s="1273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9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61</vt:i4>
      </vt:variant>
    </vt:vector>
  </HeadingPairs>
  <TitlesOfParts>
    <vt:vector size="84" baseType="lpstr">
      <vt:lpstr>使用说明</vt:lpstr>
      <vt:lpstr>定义</vt:lpstr>
      <vt:lpstr>数据-汇总表</vt:lpstr>
      <vt:lpstr>面积新</vt:lpstr>
      <vt:lpstr>估价对象房地状况</vt:lpstr>
      <vt:lpstr>系统读取表</vt:lpstr>
      <vt:lpstr>结果表</vt:lpstr>
      <vt:lpstr>汇总表</vt:lpstr>
      <vt:lpstr>主表(商业）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'数据-汇总表'!Print_Area</vt:lpstr>
      <vt:lpstr>'主表(商业）'!Print_Area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项目类型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2019-11-27T02:45:26Z</dcterms:modified>
</cp:coreProperties>
</file>