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30" yWindow="210" windowWidth="12120" windowHeight="733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案例" sheetId="77" r:id="rId16"/>
    <sheet name="系统读取表" sheetId="66" r:id="rId17"/>
    <sheet name="结果表汇总" sheetId="79" r:id="rId18"/>
    <sheet name="结果表" sheetId="9" r:id="rId19"/>
    <sheet name="基准地价-住宅" sheetId="71" r:id="rId20"/>
    <sheet name="剩余法-住宅" sheetId="68" r:id="rId21"/>
    <sheet name="收益还原法-住宅" sheetId="74" state="hidden" r:id="rId22"/>
    <sheet name="基准地价-商业" sheetId="72" state="hidden" r:id="rId23"/>
    <sheet name="剩余法-商业" sheetId="69" state="hidden" r:id="rId24"/>
    <sheet name="收益还原法-商业" sheetId="75" state="hidden" r:id="rId25"/>
    <sheet name="基准地价-办公" sheetId="73" state="hidden" r:id="rId26"/>
    <sheet name="剩余法-办公" sheetId="70" state="hidden" r:id="rId27"/>
    <sheet name="剩余法-待开发" sheetId="12" state="hidden" r:id="rId28"/>
    <sheet name="剩余法-现房" sheetId="43" state="hidden" r:id="rId29"/>
    <sheet name="比较法-住宅、综合" sheetId="39" state="hidden" r:id="rId30"/>
    <sheet name="比较法-工业" sheetId="40" state="hidden" r:id="rId31"/>
    <sheet name="基准地价" sheetId="46" state="hidden" r:id="rId32"/>
    <sheet name="修正" sheetId="49" state="hidden" r:id="rId33"/>
    <sheet name="区片价" sheetId="48" state="hidden" r:id="rId34"/>
    <sheet name="容积率修正" sheetId="45" state="hidden" r:id="rId35"/>
    <sheet name="因素修正幅度" sheetId="56" state="hidden" r:id="rId36"/>
    <sheet name="基准地价（汇总）" sheetId="67" state="hidden" r:id="rId37"/>
    <sheet name="收益还原法-办公" sheetId="76" state="hidden" r:id="rId38"/>
    <sheet name="收益还原法" sheetId="44" state="hidden" r:id="rId39"/>
    <sheet name="地价" sheetId="59" r:id="rId40"/>
    <sheet name="不动产收益法" sheetId="15" state="hidden" r:id="rId41"/>
    <sheet name="酒店收入计算" sheetId="57" state="hidden" r:id="rId42"/>
    <sheet name="成本逼近法" sheetId="11" state="hidden" r:id="rId43"/>
    <sheet name="不动产比较法-住宅" sheetId="21" state="hidden" r:id="rId44"/>
    <sheet name="不动产比较法-商业" sheetId="33" state="hidden" r:id="rId45"/>
    <sheet name="不动产比较法-办公" sheetId="34" state="hidden"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 name="Sheet1" sheetId="78" r:id="rId52"/>
    <sheet name="商品房" sheetId="80" r:id="rId53"/>
  </sheets>
  <externalReferences>
    <externalReference r:id="rId54"/>
    <externalReference r:id="rId55"/>
  </externalReferences>
  <definedNames>
    <definedName name="_xlnm._FilterDatabase" localSheetId="30" hidden="1">'比较法-工业'!$A$1:$L$45</definedName>
    <definedName name="_xlnm._FilterDatabase" localSheetId="29" hidden="1">'比较法-住宅、综合'!$A$1:$L$50</definedName>
    <definedName name="_xlnm._FilterDatabase" localSheetId="45"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44" hidden="1">'不动产比较法-商业'!$A$1:$L$49</definedName>
    <definedName name="_xlnm._FilterDatabase" localSheetId="4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'基准地价-办公'!$N$19:$AG$19</definedName>
    <definedName name="季度" localSheetId="22">'基准地价-商业'!$N$19:$AG$19</definedName>
    <definedName name="季度" localSheetId="19">'基准地价-住宅'!$N$19:$AG$19</definedName>
    <definedName name="季度">基准地价!$N$19:$AG$19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5" i="68" l="1"/>
  <c r="C16" i="71"/>
  <c r="C17" i="79" l="1"/>
  <c r="H6" i="79" l="1"/>
  <c r="J11" i="79" l="1"/>
  <c r="H11" i="79" l="1"/>
  <c r="D29" i="71" l="1"/>
  <c r="E6" i="79" l="1"/>
  <c r="H7" i="79" l="1"/>
  <c r="J7" i="79" l="1"/>
  <c r="I13" i="3" l="1"/>
  <c r="AL13" i="3"/>
  <c r="AJ29" i="59"/>
  <c r="AJ6" i="59"/>
  <c r="AJ7" i="59"/>
  <c r="AJ8" i="59"/>
  <c r="AJ9" i="59"/>
  <c r="AJ10" i="59"/>
  <c r="AJ11" i="59"/>
  <c r="AJ12" i="59"/>
  <c r="AJ13" i="59"/>
  <c r="AJ14" i="59"/>
  <c r="AJ15" i="59"/>
  <c r="AJ16" i="59"/>
  <c r="AJ17" i="59"/>
  <c r="AJ18" i="59"/>
  <c r="AJ19" i="59"/>
  <c r="AJ20" i="59"/>
  <c r="AJ21" i="59"/>
  <c r="AJ22" i="59"/>
  <c r="AJ23" i="59"/>
  <c r="AJ24" i="59"/>
  <c r="AJ25" i="59"/>
  <c r="AJ26" i="59"/>
  <c r="AJ27" i="59"/>
  <c r="AJ5" i="59"/>
  <c r="Y5" i="59"/>
  <c r="X5" i="59"/>
  <c r="AA5" i="59"/>
  <c r="AH6" i="59" l="1"/>
  <c r="AH7" i="59"/>
  <c r="AH5" i="59"/>
  <c r="AG6" i="59"/>
  <c r="AG7" i="59"/>
  <c r="AG5" i="59"/>
  <c r="AF6" i="59"/>
  <c r="AF7" i="59"/>
  <c r="AF5" i="59"/>
  <c r="AE6" i="59"/>
  <c r="AE7" i="59"/>
  <c r="AE5" i="59"/>
  <c r="AD6" i="59"/>
  <c r="AD7" i="59"/>
  <c r="AD5" i="59"/>
  <c r="AB5" i="59"/>
  <c r="Z5" i="59"/>
  <c r="AB6" i="59"/>
  <c r="AA6" i="59"/>
  <c r="Z6" i="59"/>
  <c r="Y6" i="59"/>
  <c r="X6" i="59"/>
  <c r="AB7" i="59"/>
  <c r="AA7" i="59"/>
  <c r="Z7" i="59"/>
  <c r="Y7" i="59"/>
  <c r="X7" i="59"/>
  <c r="AB8" i="59"/>
  <c r="AA8" i="59"/>
  <c r="Y8" i="59"/>
  <c r="Z8" i="59"/>
  <c r="X8" i="59"/>
  <c r="N5" i="59"/>
  <c r="O5" i="59"/>
  <c r="P5" i="59"/>
  <c r="Q5" i="59"/>
  <c r="O6" i="59"/>
  <c r="P6" i="59"/>
  <c r="Q6" i="59"/>
  <c r="N6" i="59"/>
  <c r="O7" i="59"/>
  <c r="P7" i="59"/>
  <c r="Q7" i="59"/>
  <c r="N7" i="59"/>
  <c r="A3" i="3" l="1"/>
  <c r="K7" i="79" l="1"/>
  <c r="K6" i="79"/>
  <c r="K5" i="79" l="1"/>
  <c r="K12" i="79" l="1"/>
  <c r="K11" i="79"/>
  <c r="K10" i="79"/>
  <c r="C19" i="6" l="1"/>
  <c r="D5" i="9" l="1"/>
  <c r="J53" i="74" l="1"/>
  <c r="Q74" i="76" l="1"/>
  <c r="Q61" i="76"/>
  <c r="Q60" i="76"/>
  <c r="Q53" i="76"/>
  <c r="J51" i="76"/>
  <c r="M48" i="76"/>
  <c r="F35" i="76"/>
  <c r="F25" i="76"/>
  <c r="D26" i="76" s="1"/>
  <c r="F23" i="76"/>
  <c r="F22" i="76"/>
  <c r="M21" i="76"/>
  <c r="F20" i="76"/>
  <c r="F19" i="76"/>
  <c r="F17" i="76"/>
  <c r="Q74" i="75"/>
  <c r="Q61" i="75"/>
  <c r="Q60" i="75"/>
  <c r="Q53" i="75"/>
  <c r="J51" i="75"/>
  <c r="M48" i="75"/>
  <c r="F35" i="75"/>
  <c r="F25" i="75"/>
  <c r="D26" i="75" s="1"/>
  <c r="F23" i="75"/>
  <c r="F22" i="75"/>
  <c r="M21" i="75"/>
  <c r="F20" i="75"/>
  <c r="F19" i="75"/>
  <c r="F17" i="75"/>
  <c r="Q74" i="74"/>
  <c r="Q61" i="74"/>
  <c r="Q60" i="74"/>
  <c r="Q53" i="74"/>
  <c r="J51" i="74"/>
  <c r="M48" i="74"/>
  <c r="F35" i="74"/>
  <c r="F25" i="74"/>
  <c r="D26" i="74" s="1"/>
  <c r="F23" i="74"/>
  <c r="F22" i="74"/>
  <c r="M21" i="74"/>
  <c r="F20" i="74"/>
  <c r="F19" i="74"/>
  <c r="F17" i="74"/>
  <c r="F113" i="73"/>
  <c r="L108" i="73"/>
  <c r="H108" i="73"/>
  <c r="D108" i="73"/>
  <c r="L100" i="73"/>
  <c r="H100" i="73"/>
  <c r="D100" i="73"/>
  <c r="N99" i="73"/>
  <c r="N108" i="73" s="1"/>
  <c r="M99" i="73"/>
  <c r="L99" i="73"/>
  <c r="K99" i="73"/>
  <c r="J99" i="73"/>
  <c r="J108" i="73" s="1"/>
  <c r="I99" i="73"/>
  <c r="H99" i="73"/>
  <c r="G99" i="73"/>
  <c r="F99" i="73"/>
  <c r="F108" i="73" s="1"/>
  <c r="E99" i="73"/>
  <c r="D99" i="73"/>
  <c r="C99" i="73"/>
  <c r="M87" i="73"/>
  <c r="N87" i="73" s="1"/>
  <c r="K87" i="73"/>
  <c r="J87" i="73"/>
  <c r="D87" i="73"/>
  <c r="B87" i="73"/>
  <c r="N86" i="73"/>
  <c r="M86" i="73"/>
  <c r="K86" i="73"/>
  <c r="J86" i="73" s="1"/>
  <c r="D86" i="73"/>
  <c r="N85" i="73"/>
  <c r="M85" i="73"/>
  <c r="K85" i="73"/>
  <c r="J85" i="73" s="1"/>
  <c r="D85" i="73"/>
  <c r="B85" i="73"/>
  <c r="N84" i="73"/>
  <c r="M84" i="73"/>
  <c r="K84" i="73"/>
  <c r="J84" i="73" s="1"/>
  <c r="D84" i="73"/>
  <c r="B84" i="73"/>
  <c r="N83" i="73"/>
  <c r="M83" i="73"/>
  <c r="K83" i="73"/>
  <c r="J83" i="73" s="1"/>
  <c r="D83" i="73"/>
  <c r="B83" i="73"/>
  <c r="N82" i="73"/>
  <c r="M82" i="73"/>
  <c r="K82" i="73"/>
  <c r="J82" i="73" s="1"/>
  <c r="D82" i="73"/>
  <c r="B82" i="73"/>
  <c r="N81" i="73"/>
  <c r="M81" i="73"/>
  <c r="K81" i="73"/>
  <c r="J81" i="73" s="1"/>
  <c r="D81" i="73"/>
  <c r="B81" i="73"/>
  <c r="N80" i="73"/>
  <c r="M80" i="73"/>
  <c r="K80" i="73"/>
  <c r="J80" i="73" s="1"/>
  <c r="F80" i="73"/>
  <c r="H86" i="73" s="1"/>
  <c r="D80" i="73"/>
  <c r="E80" i="73" s="1"/>
  <c r="B78" i="73" s="1"/>
  <c r="B80" i="73"/>
  <c r="M77" i="73"/>
  <c r="N77" i="73" s="1"/>
  <c r="K77" i="73"/>
  <c r="J77" i="73"/>
  <c r="D77" i="73"/>
  <c r="M76" i="73"/>
  <c r="N76" i="73" s="1"/>
  <c r="K76" i="73"/>
  <c r="J76" i="73"/>
  <c r="D76" i="73"/>
  <c r="B76" i="73"/>
  <c r="N75" i="73"/>
  <c r="M75" i="73"/>
  <c r="K75" i="73"/>
  <c r="J75" i="73" s="1"/>
  <c r="D75" i="73"/>
  <c r="N74" i="73"/>
  <c r="M74" i="73"/>
  <c r="K74" i="73"/>
  <c r="J74" i="73" s="1"/>
  <c r="D74" i="73"/>
  <c r="B74" i="73"/>
  <c r="M73" i="73"/>
  <c r="N73" i="73" s="1"/>
  <c r="K73" i="73"/>
  <c r="J73" i="73"/>
  <c r="D73" i="73"/>
  <c r="B73" i="73"/>
  <c r="N72" i="73"/>
  <c r="M72" i="73"/>
  <c r="K72" i="73"/>
  <c r="J72" i="73" s="1"/>
  <c r="D72" i="73"/>
  <c r="B72" i="73"/>
  <c r="M71" i="73"/>
  <c r="N71" i="73" s="1"/>
  <c r="K71" i="73"/>
  <c r="J71" i="73"/>
  <c r="D71" i="73"/>
  <c r="B71" i="73"/>
  <c r="N70" i="73"/>
  <c r="M70" i="73"/>
  <c r="K70" i="73"/>
  <c r="J70" i="73" s="1"/>
  <c r="D70" i="73"/>
  <c r="B70" i="73"/>
  <c r="M69" i="73"/>
  <c r="N69" i="73" s="1"/>
  <c r="K69" i="73"/>
  <c r="J69" i="73"/>
  <c r="F69" i="73"/>
  <c r="H75" i="73" s="1"/>
  <c r="D69" i="73"/>
  <c r="E69" i="73" s="1"/>
  <c r="B67" i="73" s="1"/>
  <c r="B69" i="73"/>
  <c r="M66" i="73"/>
  <c r="N66" i="73" s="1"/>
  <c r="K66" i="73"/>
  <c r="J66" i="73"/>
  <c r="D66" i="73"/>
  <c r="B66" i="73"/>
  <c r="N65" i="73"/>
  <c r="M65" i="73"/>
  <c r="K65" i="73"/>
  <c r="J65" i="73" s="1"/>
  <c r="D65" i="73"/>
  <c r="B65" i="73"/>
  <c r="M64" i="73"/>
  <c r="N64" i="73" s="1"/>
  <c r="K64" i="73"/>
  <c r="J64" i="73"/>
  <c r="D64" i="73"/>
  <c r="B64" i="73"/>
  <c r="N63" i="73"/>
  <c r="M63" i="73"/>
  <c r="K63" i="73"/>
  <c r="J63" i="73" s="1"/>
  <c r="D63" i="73"/>
  <c r="N62" i="73"/>
  <c r="M62" i="73"/>
  <c r="K62" i="73"/>
  <c r="J62" i="73" s="1"/>
  <c r="D62" i="73"/>
  <c r="B62" i="73"/>
  <c r="M61" i="73"/>
  <c r="N61" i="73" s="1"/>
  <c r="K61" i="73"/>
  <c r="J61" i="73"/>
  <c r="D61" i="73"/>
  <c r="M60" i="73"/>
  <c r="N60" i="73" s="1"/>
  <c r="K60" i="73"/>
  <c r="J60" i="73"/>
  <c r="D60" i="73"/>
  <c r="B60" i="73"/>
  <c r="N59" i="73"/>
  <c r="M59" i="73"/>
  <c r="K59" i="73"/>
  <c r="J59" i="73" s="1"/>
  <c r="D59" i="73"/>
  <c r="B59" i="73"/>
  <c r="M58" i="73"/>
  <c r="N58" i="73" s="1"/>
  <c r="K58" i="73"/>
  <c r="J58" i="73"/>
  <c r="F58" i="73"/>
  <c r="H65" i="73" s="1"/>
  <c r="D58" i="73"/>
  <c r="E58" i="73" s="1"/>
  <c r="B56" i="73" s="1"/>
  <c r="B58" i="73"/>
  <c r="M55" i="73"/>
  <c r="N55" i="73" s="1"/>
  <c r="K55" i="73"/>
  <c r="J55" i="73"/>
  <c r="D55" i="73"/>
  <c r="B55" i="73"/>
  <c r="N54" i="73"/>
  <c r="M54" i="73"/>
  <c r="K54" i="73"/>
  <c r="J54" i="73" s="1"/>
  <c r="D54" i="73"/>
  <c r="B54" i="73"/>
  <c r="M53" i="73"/>
  <c r="N53" i="73" s="1"/>
  <c r="K53" i="73"/>
  <c r="J53" i="73"/>
  <c r="D53" i="73"/>
  <c r="B53" i="73"/>
  <c r="N52" i="73"/>
  <c r="M52" i="73"/>
  <c r="K52" i="73"/>
  <c r="J52" i="73" s="1"/>
  <c r="D52" i="73"/>
  <c r="N51" i="73"/>
  <c r="M51" i="73"/>
  <c r="K51" i="73"/>
  <c r="J51" i="73" s="1"/>
  <c r="D51" i="73"/>
  <c r="B51" i="73"/>
  <c r="M50" i="73"/>
  <c r="N50" i="73" s="1"/>
  <c r="K50" i="73"/>
  <c r="J50" i="73"/>
  <c r="D50" i="73"/>
  <c r="M49" i="73"/>
  <c r="N49" i="73" s="1"/>
  <c r="K49" i="73"/>
  <c r="J49" i="73"/>
  <c r="D49" i="73"/>
  <c r="B49" i="73"/>
  <c r="N48" i="73"/>
  <c r="M48" i="73"/>
  <c r="K48" i="73"/>
  <c r="J48" i="73" s="1"/>
  <c r="D48" i="73"/>
  <c r="B48" i="73"/>
  <c r="M47" i="73"/>
  <c r="N47" i="73" s="1"/>
  <c r="K47" i="73"/>
  <c r="J47" i="73"/>
  <c r="F47" i="73"/>
  <c r="H54" i="73" s="1"/>
  <c r="D47" i="73"/>
  <c r="E47" i="73" s="1"/>
  <c r="B45" i="73" s="1"/>
  <c r="B47" i="73"/>
  <c r="H39" i="73"/>
  <c r="H38" i="73"/>
  <c r="H37" i="73"/>
  <c r="H36" i="73"/>
  <c r="H35" i="73"/>
  <c r="H34" i="73"/>
  <c r="H33" i="73"/>
  <c r="C24" i="73"/>
  <c r="J20" i="73"/>
  <c r="I20" i="73"/>
  <c r="C20" i="73" s="1"/>
  <c r="G20" i="73"/>
  <c r="M19" i="73"/>
  <c r="I19" i="73"/>
  <c r="C18" i="73"/>
  <c r="F15" i="73"/>
  <c r="E15" i="73"/>
  <c r="D15" i="73"/>
  <c r="C15" i="73"/>
  <c r="AJ12" i="73"/>
  <c r="AH12" i="73"/>
  <c r="AF12" i="73"/>
  <c r="AD12" i="73"/>
  <c r="AB12" i="73"/>
  <c r="Z12" i="73"/>
  <c r="Y12" i="73"/>
  <c r="C12" i="73"/>
  <c r="Y10" i="73"/>
  <c r="C10" i="73"/>
  <c r="C11"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A7" i="73"/>
  <c r="D5" i="73"/>
  <c r="I2" i="73"/>
  <c r="N12" i="73" s="1"/>
  <c r="G2" i="73"/>
  <c r="X7" i="73" s="1"/>
  <c r="M1" i="73"/>
  <c r="D1" i="73"/>
  <c r="F113" i="72"/>
  <c r="L108" i="72"/>
  <c r="H108" i="72"/>
  <c r="D108" i="72"/>
  <c r="L100" i="72"/>
  <c r="H100" i="72"/>
  <c r="D100" i="72"/>
  <c r="N99" i="72"/>
  <c r="N108" i="72" s="1"/>
  <c r="M99" i="72"/>
  <c r="L99" i="72"/>
  <c r="K99" i="72"/>
  <c r="J99" i="72"/>
  <c r="J108" i="72" s="1"/>
  <c r="I99" i="72"/>
  <c r="H99" i="72"/>
  <c r="G99" i="72"/>
  <c r="F99" i="72"/>
  <c r="F108" i="72" s="1"/>
  <c r="E99" i="72"/>
  <c r="D99" i="72"/>
  <c r="C99" i="72"/>
  <c r="M87" i="72"/>
  <c r="N87" i="72" s="1"/>
  <c r="K87" i="72"/>
  <c r="J87" i="72"/>
  <c r="D87" i="72"/>
  <c r="B87" i="72"/>
  <c r="N86" i="72"/>
  <c r="M86" i="72"/>
  <c r="K86" i="72"/>
  <c r="J86" i="72" s="1"/>
  <c r="D86" i="72"/>
  <c r="N85" i="72"/>
  <c r="M85" i="72"/>
  <c r="K85" i="72"/>
  <c r="J85" i="72" s="1"/>
  <c r="D85" i="72"/>
  <c r="B85" i="72"/>
  <c r="N84" i="72"/>
  <c r="M84" i="72"/>
  <c r="K84" i="72"/>
  <c r="J84" i="72" s="1"/>
  <c r="D84" i="72"/>
  <c r="B84" i="72"/>
  <c r="N83" i="72"/>
  <c r="M83" i="72"/>
  <c r="K83" i="72"/>
  <c r="J83" i="72" s="1"/>
  <c r="D83" i="72"/>
  <c r="B83" i="72"/>
  <c r="N82" i="72"/>
  <c r="M82" i="72"/>
  <c r="K82" i="72"/>
  <c r="J82" i="72" s="1"/>
  <c r="D82" i="72"/>
  <c r="B82" i="72"/>
  <c r="N81" i="72"/>
  <c r="M81" i="72"/>
  <c r="K81" i="72"/>
  <c r="J81" i="72" s="1"/>
  <c r="D81" i="72"/>
  <c r="B81" i="72"/>
  <c r="M80" i="72"/>
  <c r="N80" i="72" s="1"/>
  <c r="K80" i="72"/>
  <c r="J80" i="72"/>
  <c r="F80" i="72"/>
  <c r="H86" i="72" s="1"/>
  <c r="D80" i="72"/>
  <c r="E80" i="72" s="1"/>
  <c r="B78" i="72" s="1"/>
  <c r="B80" i="72"/>
  <c r="M77" i="72"/>
  <c r="N77" i="72" s="1"/>
  <c r="K77" i="72"/>
  <c r="J77" i="72"/>
  <c r="D77" i="72"/>
  <c r="M76" i="72"/>
  <c r="N76" i="72" s="1"/>
  <c r="K76" i="72"/>
  <c r="J76" i="72"/>
  <c r="D76" i="72"/>
  <c r="B76" i="72"/>
  <c r="N75" i="72"/>
  <c r="M75" i="72"/>
  <c r="K75" i="72"/>
  <c r="J75" i="72" s="1"/>
  <c r="D75" i="72"/>
  <c r="N74" i="72"/>
  <c r="M74" i="72"/>
  <c r="K74" i="72"/>
  <c r="J74" i="72" s="1"/>
  <c r="D74" i="72"/>
  <c r="B74" i="72"/>
  <c r="M73" i="72"/>
  <c r="N73" i="72" s="1"/>
  <c r="K73" i="72"/>
  <c r="J73" i="72"/>
  <c r="D73" i="72"/>
  <c r="B73" i="72"/>
  <c r="N72" i="72"/>
  <c r="M72" i="72"/>
  <c r="K72" i="72"/>
  <c r="J72" i="72" s="1"/>
  <c r="D72" i="72"/>
  <c r="B72" i="72"/>
  <c r="M71" i="72"/>
  <c r="N71" i="72" s="1"/>
  <c r="K71" i="72"/>
  <c r="J71" i="72"/>
  <c r="D71" i="72"/>
  <c r="B71" i="72"/>
  <c r="N70" i="72"/>
  <c r="M70" i="72"/>
  <c r="K70" i="72"/>
  <c r="J70" i="72" s="1"/>
  <c r="D70" i="72"/>
  <c r="B70" i="72"/>
  <c r="M69" i="72"/>
  <c r="N69" i="72" s="1"/>
  <c r="K69" i="72"/>
  <c r="J69" i="72"/>
  <c r="F69" i="72"/>
  <c r="H75" i="72" s="1"/>
  <c r="D69" i="72"/>
  <c r="E69" i="72" s="1"/>
  <c r="B67" i="72" s="1"/>
  <c r="B69" i="72"/>
  <c r="M66" i="72"/>
  <c r="N66" i="72" s="1"/>
  <c r="K66" i="72"/>
  <c r="J66" i="72"/>
  <c r="D66" i="72"/>
  <c r="B66" i="72"/>
  <c r="N65" i="72"/>
  <c r="M65" i="72"/>
  <c r="K65" i="72"/>
  <c r="J65" i="72" s="1"/>
  <c r="D65" i="72"/>
  <c r="B65" i="72"/>
  <c r="M64" i="72"/>
  <c r="N64" i="72" s="1"/>
  <c r="K64" i="72"/>
  <c r="J64" i="72"/>
  <c r="D64" i="72"/>
  <c r="B64" i="72"/>
  <c r="N63" i="72"/>
  <c r="M63" i="72"/>
  <c r="K63" i="72"/>
  <c r="J63" i="72" s="1"/>
  <c r="D63" i="72"/>
  <c r="N62" i="72"/>
  <c r="M62" i="72"/>
  <c r="K62" i="72"/>
  <c r="J62" i="72" s="1"/>
  <c r="D62" i="72"/>
  <c r="B62" i="72"/>
  <c r="M61" i="72"/>
  <c r="N61" i="72" s="1"/>
  <c r="K61" i="72"/>
  <c r="J61" i="72"/>
  <c r="D61" i="72"/>
  <c r="M60" i="72"/>
  <c r="N60" i="72" s="1"/>
  <c r="K60" i="72"/>
  <c r="J60" i="72"/>
  <c r="D60" i="72"/>
  <c r="B60" i="72"/>
  <c r="N59" i="72"/>
  <c r="M59" i="72"/>
  <c r="K59" i="72"/>
  <c r="J59" i="72" s="1"/>
  <c r="D59" i="72"/>
  <c r="B59" i="72"/>
  <c r="M58" i="72"/>
  <c r="N58" i="72" s="1"/>
  <c r="K58" i="72"/>
  <c r="J58" i="72"/>
  <c r="F58" i="72"/>
  <c r="H65" i="72" s="1"/>
  <c r="D58" i="72"/>
  <c r="E58" i="72" s="1"/>
  <c r="B56" i="72" s="1"/>
  <c r="B58" i="72"/>
  <c r="M55" i="72"/>
  <c r="N55" i="72" s="1"/>
  <c r="K55" i="72"/>
  <c r="J55" i="72"/>
  <c r="D55" i="72"/>
  <c r="B55" i="72"/>
  <c r="N54" i="72"/>
  <c r="M54" i="72"/>
  <c r="K54" i="72"/>
  <c r="J54" i="72" s="1"/>
  <c r="D54" i="72"/>
  <c r="B54" i="72"/>
  <c r="M53" i="72"/>
  <c r="N53" i="72" s="1"/>
  <c r="K53" i="72"/>
  <c r="J53" i="72"/>
  <c r="D53" i="72"/>
  <c r="B53" i="72"/>
  <c r="N52" i="72"/>
  <c r="M52" i="72"/>
  <c r="K52" i="72"/>
  <c r="J52" i="72" s="1"/>
  <c r="D52" i="72"/>
  <c r="N51" i="72"/>
  <c r="M51" i="72"/>
  <c r="K51" i="72"/>
  <c r="J51" i="72" s="1"/>
  <c r="D51" i="72"/>
  <c r="B51" i="72"/>
  <c r="M50" i="72"/>
  <c r="N50" i="72" s="1"/>
  <c r="K50" i="72"/>
  <c r="J50" i="72"/>
  <c r="D50" i="72"/>
  <c r="M49" i="72"/>
  <c r="N49" i="72" s="1"/>
  <c r="K49" i="72"/>
  <c r="J49" i="72"/>
  <c r="D49" i="72"/>
  <c r="B49" i="72"/>
  <c r="N48" i="72"/>
  <c r="M48" i="72"/>
  <c r="K48" i="72"/>
  <c r="J48" i="72" s="1"/>
  <c r="D48" i="72"/>
  <c r="B48" i="72"/>
  <c r="M47" i="72"/>
  <c r="N47" i="72" s="1"/>
  <c r="K47" i="72"/>
  <c r="J47" i="72"/>
  <c r="F47" i="72"/>
  <c r="H54" i="72" s="1"/>
  <c r="D47" i="72"/>
  <c r="E47" i="72" s="1"/>
  <c r="B45" i="72" s="1"/>
  <c r="B47" i="72"/>
  <c r="H39" i="72"/>
  <c r="H38" i="72"/>
  <c r="H37" i="72"/>
  <c r="H36" i="72"/>
  <c r="H35" i="72"/>
  <c r="H34" i="72"/>
  <c r="H33" i="72"/>
  <c r="C24" i="72"/>
  <c r="J20" i="72"/>
  <c r="I20" i="72"/>
  <c r="C20" i="72" s="1"/>
  <c r="G20" i="72"/>
  <c r="M19" i="72"/>
  <c r="I19" i="72"/>
  <c r="C18" i="72"/>
  <c r="F15" i="72"/>
  <c r="E15" i="72"/>
  <c r="D15" i="72"/>
  <c r="C15" i="72"/>
  <c r="AJ12" i="72"/>
  <c r="AH12" i="72"/>
  <c r="AF12" i="72"/>
  <c r="AD12" i="72"/>
  <c r="AB12" i="72"/>
  <c r="Z12" i="72"/>
  <c r="Y12" i="72"/>
  <c r="C12" i="72"/>
  <c r="Y10" i="72"/>
  <c r="C10" i="72"/>
  <c r="C11" i="72" s="1"/>
  <c r="AJ9" i="72"/>
  <c r="AJ10" i="72" s="1"/>
  <c r="AI9" i="72"/>
  <c r="AI10" i="72" s="1"/>
  <c r="AH9" i="72"/>
  <c r="AH10" i="72" s="1"/>
  <c r="AG9" i="72"/>
  <c r="AG10" i="72" s="1"/>
  <c r="AF9" i="72"/>
  <c r="AF10" i="72" s="1"/>
  <c r="AE9" i="72"/>
  <c r="AE10" i="72" s="1"/>
  <c r="AD9" i="72"/>
  <c r="AD10" i="72" s="1"/>
  <c r="AC9" i="72"/>
  <c r="AC10" i="72" s="1"/>
  <c r="AB9" i="72"/>
  <c r="AB10" i="72" s="1"/>
  <c r="AA9" i="72"/>
  <c r="AA10" i="72" s="1"/>
  <c r="Z9" i="72"/>
  <c r="Z10" i="72" s="1"/>
  <c r="C9" i="72"/>
  <c r="A7" i="72"/>
  <c r="D5" i="72"/>
  <c r="I2" i="72"/>
  <c r="N12" i="72" s="1"/>
  <c r="G2" i="72"/>
  <c r="X7" i="72" s="1"/>
  <c r="M1" i="72"/>
  <c r="D1" i="72"/>
  <c r="F113" i="71"/>
  <c r="H108" i="71"/>
  <c r="L100" i="71"/>
  <c r="D100" i="71"/>
  <c r="N99" i="71"/>
  <c r="N108" i="71" s="1"/>
  <c r="M99" i="71"/>
  <c r="L99" i="71"/>
  <c r="L108" i="71" s="1"/>
  <c r="K99" i="71"/>
  <c r="J99" i="71"/>
  <c r="J108" i="71" s="1"/>
  <c r="I99" i="71"/>
  <c r="H99" i="71"/>
  <c r="H100" i="71" s="1"/>
  <c r="G99" i="71"/>
  <c r="F99" i="71"/>
  <c r="F108" i="71" s="1"/>
  <c r="E99" i="71"/>
  <c r="D99" i="71"/>
  <c r="D108" i="71" s="1"/>
  <c r="C99" i="71"/>
  <c r="M87" i="71"/>
  <c r="N87" i="71" s="1"/>
  <c r="K87" i="71"/>
  <c r="J87" i="71"/>
  <c r="D87" i="71"/>
  <c r="B87" i="71"/>
  <c r="N86" i="71"/>
  <c r="M86" i="71"/>
  <c r="K86" i="71"/>
  <c r="J86" i="71" s="1"/>
  <c r="D86" i="71"/>
  <c r="N85" i="71"/>
  <c r="M85" i="71"/>
  <c r="K85" i="71"/>
  <c r="J85" i="71" s="1"/>
  <c r="D85" i="71"/>
  <c r="B85" i="71"/>
  <c r="N84" i="71"/>
  <c r="M84" i="71"/>
  <c r="K84" i="71"/>
  <c r="J84" i="71" s="1"/>
  <c r="D84" i="71"/>
  <c r="B84" i="71"/>
  <c r="N83" i="71"/>
  <c r="M83" i="71"/>
  <c r="K83" i="71"/>
  <c r="J83" i="71" s="1"/>
  <c r="D83" i="71"/>
  <c r="B83" i="71"/>
  <c r="N82" i="71"/>
  <c r="M82" i="71"/>
  <c r="K82" i="71"/>
  <c r="J82" i="71" s="1"/>
  <c r="D82" i="71"/>
  <c r="B82" i="71"/>
  <c r="N81" i="71"/>
  <c r="M81" i="71"/>
  <c r="K81" i="71"/>
  <c r="J81" i="71" s="1"/>
  <c r="D81" i="71"/>
  <c r="B81" i="71"/>
  <c r="N80" i="71"/>
  <c r="M80" i="71"/>
  <c r="K80" i="71"/>
  <c r="J80" i="71" s="1"/>
  <c r="F80" i="71"/>
  <c r="H86" i="71" s="1"/>
  <c r="D80" i="71"/>
  <c r="E80" i="71" s="1"/>
  <c r="B78" i="71" s="1"/>
  <c r="B80" i="71"/>
  <c r="D77" i="71"/>
  <c r="D76" i="71"/>
  <c r="B76" i="71"/>
  <c r="D74" i="71"/>
  <c r="B74" i="71"/>
  <c r="D73" i="71"/>
  <c r="B73" i="71"/>
  <c r="B72" i="71"/>
  <c r="B71" i="71"/>
  <c r="B70" i="71"/>
  <c r="D69" i="71"/>
  <c r="B69" i="71"/>
  <c r="M66" i="71"/>
  <c r="N66" i="71" s="1"/>
  <c r="K66" i="71"/>
  <c r="J66" i="71"/>
  <c r="D66" i="71"/>
  <c r="B66" i="71"/>
  <c r="N65" i="71"/>
  <c r="M65" i="71"/>
  <c r="K65" i="71"/>
  <c r="J65" i="71" s="1"/>
  <c r="D65" i="71"/>
  <c r="B65" i="71"/>
  <c r="M64" i="71"/>
  <c r="N64" i="71" s="1"/>
  <c r="K64" i="71"/>
  <c r="J64" i="71"/>
  <c r="D64" i="71"/>
  <c r="B64" i="71"/>
  <c r="N63" i="71"/>
  <c r="M63" i="71"/>
  <c r="K63" i="71"/>
  <c r="J63" i="71" s="1"/>
  <c r="D63" i="71"/>
  <c r="M62" i="71"/>
  <c r="N62" i="71" s="1"/>
  <c r="K62" i="71"/>
  <c r="J62" i="71" s="1"/>
  <c r="D62" i="71"/>
  <c r="B62" i="71"/>
  <c r="M61" i="71"/>
  <c r="N61" i="71" s="1"/>
  <c r="K61" i="71"/>
  <c r="J61" i="71"/>
  <c r="D61" i="71"/>
  <c r="M60" i="71"/>
  <c r="N60" i="71" s="1"/>
  <c r="K60" i="71"/>
  <c r="J60" i="71" s="1"/>
  <c r="D60" i="71"/>
  <c r="B60" i="71"/>
  <c r="N59" i="71"/>
  <c r="M59" i="71"/>
  <c r="K59" i="71"/>
  <c r="J59" i="71" s="1"/>
  <c r="D59" i="71"/>
  <c r="B59" i="71"/>
  <c r="M58" i="71"/>
  <c r="N58" i="71" s="1"/>
  <c r="K58" i="71"/>
  <c r="J58" i="71"/>
  <c r="F58" i="71"/>
  <c r="H65" i="71" s="1"/>
  <c r="D58" i="71"/>
  <c r="E58" i="71" s="1"/>
  <c r="B56" i="71" s="1"/>
  <c r="B58" i="71"/>
  <c r="M55" i="71"/>
  <c r="N55" i="71" s="1"/>
  <c r="K55" i="71"/>
  <c r="J55" i="71"/>
  <c r="D55" i="71"/>
  <c r="B55" i="71"/>
  <c r="N54" i="71"/>
  <c r="M54" i="71"/>
  <c r="K54" i="71"/>
  <c r="J54" i="71" s="1"/>
  <c r="D54" i="71"/>
  <c r="B54" i="71"/>
  <c r="M53" i="71"/>
  <c r="N53" i="71" s="1"/>
  <c r="K53" i="71"/>
  <c r="J53" i="71"/>
  <c r="D53" i="71"/>
  <c r="B53" i="71"/>
  <c r="N52" i="71"/>
  <c r="M52" i="71"/>
  <c r="K52" i="71"/>
  <c r="J52" i="71" s="1"/>
  <c r="D52" i="71"/>
  <c r="M51" i="71"/>
  <c r="N51" i="71" s="1"/>
  <c r="K51" i="71"/>
  <c r="J51" i="71" s="1"/>
  <c r="D51" i="71"/>
  <c r="B51" i="71"/>
  <c r="M50" i="71"/>
  <c r="N50" i="71" s="1"/>
  <c r="K50" i="71"/>
  <c r="J50" i="71"/>
  <c r="D50" i="71"/>
  <c r="M49" i="71"/>
  <c r="N49" i="71" s="1"/>
  <c r="K49" i="71"/>
  <c r="J49" i="71"/>
  <c r="D49" i="71"/>
  <c r="B49" i="71"/>
  <c r="N48" i="71"/>
  <c r="M48" i="71"/>
  <c r="K48" i="71"/>
  <c r="J48" i="71" s="1"/>
  <c r="D48" i="71"/>
  <c r="B48" i="71"/>
  <c r="M47" i="71"/>
  <c r="N47" i="71" s="1"/>
  <c r="K47" i="71"/>
  <c r="J47" i="71"/>
  <c r="D47" i="71"/>
  <c r="E47" i="71" s="1"/>
  <c r="B45" i="71" s="1"/>
  <c r="B47" i="71"/>
  <c r="H39" i="71"/>
  <c r="H38" i="71"/>
  <c r="H37" i="71"/>
  <c r="H36" i="71"/>
  <c r="H35" i="71"/>
  <c r="H34" i="71"/>
  <c r="H33" i="71"/>
  <c r="J20" i="71"/>
  <c r="I19" i="71"/>
  <c r="C18" i="71"/>
  <c r="F15" i="71"/>
  <c r="E15" i="71"/>
  <c r="D15" i="71"/>
  <c r="C15" i="71"/>
  <c r="AJ12" i="71"/>
  <c r="AH12" i="71"/>
  <c r="AF12" i="71"/>
  <c r="AD12" i="71"/>
  <c r="AB12" i="71"/>
  <c r="Z12" i="71"/>
  <c r="Y12" i="71"/>
  <c r="Y10" i="71"/>
  <c r="C10" i="71"/>
  <c r="C11" i="71" s="1"/>
  <c r="AJ9" i="71"/>
  <c r="AJ10" i="71" s="1"/>
  <c r="AI9" i="71"/>
  <c r="AI10" i="71" s="1"/>
  <c r="AH9" i="71"/>
  <c r="AH10" i="71" s="1"/>
  <c r="AG9" i="71"/>
  <c r="AG10" i="71" s="1"/>
  <c r="AF9" i="71"/>
  <c r="AF10" i="71" s="1"/>
  <c r="AE9" i="71"/>
  <c r="AE10" i="71" s="1"/>
  <c r="AD9" i="71"/>
  <c r="AD10" i="71" s="1"/>
  <c r="AC9" i="71"/>
  <c r="AC10" i="71" s="1"/>
  <c r="AB9" i="71"/>
  <c r="AB10" i="71" s="1"/>
  <c r="AA9" i="71"/>
  <c r="AA10" i="71" s="1"/>
  <c r="Z9" i="71"/>
  <c r="Z10" i="71" s="1"/>
  <c r="C9" i="71"/>
  <c r="A7" i="71"/>
  <c r="I2" i="71"/>
  <c r="N12" i="71" s="1"/>
  <c r="G2" i="71"/>
  <c r="X7" i="71" s="1"/>
  <c r="M1" i="71"/>
  <c r="F25" i="70"/>
  <c r="F24" i="70"/>
  <c r="F23" i="70"/>
  <c r="E22" i="70"/>
  <c r="E21" i="70"/>
  <c r="E19" i="70"/>
  <c r="F17" i="70"/>
  <c r="E16" i="70"/>
  <c r="F15" i="70"/>
  <c r="F14" i="70"/>
  <c r="K9" i="70"/>
  <c r="J9" i="70"/>
  <c r="I9" i="70"/>
  <c r="H9" i="70"/>
  <c r="G9" i="70"/>
  <c r="F9" i="70"/>
  <c r="E9" i="70"/>
  <c r="D9" i="70"/>
  <c r="C9" i="70"/>
  <c r="C6" i="70"/>
  <c r="F25" i="69"/>
  <c r="F24" i="69"/>
  <c r="F23" i="69"/>
  <c r="E22" i="69"/>
  <c r="E21" i="69"/>
  <c r="E19" i="69"/>
  <c r="F17" i="69"/>
  <c r="E16" i="69"/>
  <c r="F15" i="69"/>
  <c r="F14" i="69"/>
  <c r="K9" i="69"/>
  <c r="J9" i="69"/>
  <c r="I9" i="69"/>
  <c r="H9" i="69"/>
  <c r="G9" i="69"/>
  <c r="F9" i="69"/>
  <c r="E9" i="69"/>
  <c r="D9" i="69"/>
  <c r="C9" i="69"/>
  <c r="C6" i="69"/>
  <c r="F25" i="68"/>
  <c r="F24" i="68"/>
  <c r="F23" i="68"/>
  <c r="E22" i="68"/>
  <c r="E21" i="68"/>
  <c r="E19" i="68"/>
  <c r="F17" i="68"/>
  <c r="E16" i="68"/>
  <c r="F15" i="68"/>
  <c r="F14" i="68"/>
  <c r="K9" i="68"/>
  <c r="J9" i="68"/>
  <c r="I9" i="68"/>
  <c r="H9" i="68"/>
  <c r="G9" i="68"/>
  <c r="F9" i="68"/>
  <c r="E9" i="68"/>
  <c r="D24" i="75" l="1"/>
  <c r="D24" i="74"/>
  <c r="D24" i="76"/>
  <c r="D25" i="74"/>
  <c r="D25" i="75"/>
  <c r="D25" i="76"/>
  <c r="C12" i="71"/>
  <c r="H80" i="73"/>
  <c r="H80" i="71"/>
  <c r="J52" i="76"/>
  <c r="J52" i="75"/>
  <c r="J52" i="74"/>
  <c r="E11" i="73"/>
  <c r="E10" i="73"/>
  <c r="E9" i="73"/>
  <c r="E8" i="73"/>
  <c r="C7" i="73" s="1"/>
  <c r="N2" i="73"/>
  <c r="M3" i="73"/>
  <c r="N4" i="73"/>
  <c r="M5" i="73"/>
  <c r="M6" i="73"/>
  <c r="N7" i="73"/>
  <c r="N8" i="73"/>
  <c r="N9" i="73"/>
  <c r="N1" i="73"/>
  <c r="H113" i="73"/>
  <c r="F39" i="73"/>
  <c r="F38" i="73"/>
  <c r="F37" i="73"/>
  <c r="F36" i="73"/>
  <c r="F35" i="73"/>
  <c r="F34" i="73"/>
  <c r="F33" i="73"/>
  <c r="M2" i="73"/>
  <c r="N3" i="73"/>
  <c r="M4" i="73"/>
  <c r="N5" i="73"/>
  <c r="C6" i="73"/>
  <c r="N6" i="73"/>
  <c r="M7" i="73"/>
  <c r="M8" i="73"/>
  <c r="M9" i="73"/>
  <c r="N10" i="73"/>
  <c r="N11" i="73"/>
  <c r="M12" i="73"/>
  <c r="AA12" i="73"/>
  <c r="AC12" i="73"/>
  <c r="AE12" i="73"/>
  <c r="AG12" i="73"/>
  <c r="AI12" i="73"/>
  <c r="E17" i="73"/>
  <c r="H17" i="73"/>
  <c r="J17" i="73"/>
  <c r="M10" i="73"/>
  <c r="M11" i="73"/>
  <c r="C17" i="73"/>
  <c r="G17" i="73"/>
  <c r="I17" i="73"/>
  <c r="H47" i="73"/>
  <c r="H49" i="73"/>
  <c r="H50" i="73"/>
  <c r="H53" i="73"/>
  <c r="H55" i="73"/>
  <c r="H58" i="73"/>
  <c r="H60" i="73"/>
  <c r="H61" i="73"/>
  <c r="H64" i="73"/>
  <c r="H66" i="73"/>
  <c r="H69" i="73"/>
  <c r="H71" i="73"/>
  <c r="H73" i="73"/>
  <c r="H76" i="73"/>
  <c r="H77" i="73"/>
  <c r="H82" i="73"/>
  <c r="H84" i="73"/>
  <c r="H87" i="73"/>
  <c r="F100" i="73"/>
  <c r="J100" i="73"/>
  <c r="N100" i="73"/>
  <c r="H48" i="73"/>
  <c r="H51" i="73"/>
  <c r="H52" i="73"/>
  <c r="H59" i="73"/>
  <c r="H62" i="73"/>
  <c r="H63" i="73"/>
  <c r="H70" i="73"/>
  <c r="H72" i="73"/>
  <c r="H74" i="73"/>
  <c r="H81" i="73"/>
  <c r="H83" i="73"/>
  <c r="H85" i="73"/>
  <c r="C108" i="73"/>
  <c r="C100" i="73"/>
  <c r="E108" i="73"/>
  <c r="E100" i="73"/>
  <c r="G108" i="73"/>
  <c r="G100" i="73"/>
  <c r="I108" i="73"/>
  <c r="I100" i="73"/>
  <c r="K108" i="73"/>
  <c r="K100" i="73"/>
  <c r="M108" i="73"/>
  <c r="M100" i="73"/>
  <c r="E11" i="72"/>
  <c r="E10" i="72"/>
  <c r="E9" i="72"/>
  <c r="E8" i="72"/>
  <c r="N2" i="72"/>
  <c r="M3" i="72"/>
  <c r="N4" i="72"/>
  <c r="M5" i="72"/>
  <c r="M6" i="72"/>
  <c r="N7" i="72"/>
  <c r="N8" i="72"/>
  <c r="N9" i="72"/>
  <c r="N1" i="72"/>
  <c r="H113" i="72"/>
  <c r="F39" i="72"/>
  <c r="F38" i="72"/>
  <c r="F37" i="72"/>
  <c r="F36" i="72"/>
  <c r="F35" i="72"/>
  <c r="F34" i="72"/>
  <c r="F33" i="72"/>
  <c r="M2" i="72"/>
  <c r="N3" i="72"/>
  <c r="M4" i="72"/>
  <c r="N5" i="72"/>
  <c r="C6" i="72"/>
  <c r="N6" i="72"/>
  <c r="M7" i="72"/>
  <c r="M8" i="72"/>
  <c r="M9" i="72"/>
  <c r="N10" i="72"/>
  <c r="N11" i="72"/>
  <c r="M12" i="72"/>
  <c r="AA12" i="72"/>
  <c r="AC12" i="72"/>
  <c r="AE12" i="72"/>
  <c r="AG12" i="72"/>
  <c r="AI12" i="72"/>
  <c r="E17" i="72"/>
  <c r="H17" i="72"/>
  <c r="J17" i="72"/>
  <c r="M10" i="72"/>
  <c r="M11" i="72"/>
  <c r="C17" i="72"/>
  <c r="G17" i="72"/>
  <c r="I17" i="72"/>
  <c r="H47" i="72"/>
  <c r="H49" i="72"/>
  <c r="H50" i="72"/>
  <c r="H53" i="72"/>
  <c r="H55" i="72"/>
  <c r="H58" i="72"/>
  <c r="H60" i="72"/>
  <c r="H61" i="72"/>
  <c r="H64" i="72"/>
  <c r="H66" i="72"/>
  <c r="H69" i="72"/>
  <c r="H71" i="72"/>
  <c r="H73" i="72"/>
  <c r="H76" i="72"/>
  <c r="H77" i="72"/>
  <c r="H80" i="72"/>
  <c r="H82" i="72"/>
  <c r="H84" i="72"/>
  <c r="H87" i="72"/>
  <c r="F100" i="72"/>
  <c r="J100" i="72"/>
  <c r="N100" i="72"/>
  <c r="H48" i="72"/>
  <c r="H51" i="72"/>
  <c r="H52" i="72"/>
  <c r="H59" i="72"/>
  <c r="H62" i="72"/>
  <c r="H63" i="72"/>
  <c r="H70" i="72"/>
  <c r="H72" i="72"/>
  <c r="H74" i="72"/>
  <c r="H81" i="72"/>
  <c r="H83" i="72"/>
  <c r="H85" i="72"/>
  <c r="C108" i="72"/>
  <c r="C100" i="72"/>
  <c r="E108" i="72"/>
  <c r="E100" i="72"/>
  <c r="G108" i="72"/>
  <c r="G100" i="72"/>
  <c r="I108" i="72"/>
  <c r="I100" i="72"/>
  <c r="K108" i="72"/>
  <c r="K100" i="72"/>
  <c r="M108" i="72"/>
  <c r="M100" i="72"/>
  <c r="E11" i="71"/>
  <c r="E10" i="71"/>
  <c r="E9" i="71"/>
  <c r="E8" i="71"/>
  <c r="N2" i="71"/>
  <c r="M3" i="71"/>
  <c r="N4" i="71"/>
  <c r="M5" i="71"/>
  <c r="M6" i="71"/>
  <c r="N7" i="71"/>
  <c r="N8" i="71"/>
  <c r="F47" i="71" s="1"/>
  <c r="N9" i="71"/>
  <c r="N1" i="71"/>
  <c r="H113" i="71"/>
  <c r="F39" i="71"/>
  <c r="F38" i="71"/>
  <c r="F37" i="71"/>
  <c r="F36" i="71"/>
  <c r="F35" i="71"/>
  <c r="F34" i="71"/>
  <c r="F33" i="71"/>
  <c r="M2" i="71"/>
  <c r="N3" i="71"/>
  <c r="M4" i="71"/>
  <c r="N5" i="71"/>
  <c r="N6" i="71"/>
  <c r="M7" i="71"/>
  <c r="M8" i="71"/>
  <c r="M9" i="71"/>
  <c r="N10" i="71"/>
  <c r="N11" i="71"/>
  <c r="M12" i="71"/>
  <c r="AA12" i="71"/>
  <c r="AC12" i="71"/>
  <c r="AE12" i="71"/>
  <c r="AG12" i="71"/>
  <c r="AI12" i="71"/>
  <c r="E17" i="71"/>
  <c r="H17" i="71"/>
  <c r="J17" i="71"/>
  <c r="M10" i="71"/>
  <c r="M11" i="71"/>
  <c r="C17" i="71"/>
  <c r="G17" i="71"/>
  <c r="I17" i="71"/>
  <c r="H58" i="71"/>
  <c r="H60" i="71"/>
  <c r="H61" i="71"/>
  <c r="H64" i="71"/>
  <c r="H66" i="71"/>
  <c r="H82" i="71"/>
  <c r="H84" i="71"/>
  <c r="H87" i="71"/>
  <c r="F100" i="71"/>
  <c r="J100" i="71"/>
  <c r="N100" i="71"/>
  <c r="H59" i="71"/>
  <c r="H62" i="71"/>
  <c r="H63" i="71"/>
  <c r="H81" i="71"/>
  <c r="H83" i="71"/>
  <c r="H85" i="71"/>
  <c r="C108" i="71"/>
  <c r="C100" i="71"/>
  <c r="E108" i="71"/>
  <c r="E100" i="71"/>
  <c r="G108" i="71"/>
  <c r="G100" i="71"/>
  <c r="I108" i="71"/>
  <c r="I100" i="71"/>
  <c r="K108" i="71"/>
  <c r="K100" i="71"/>
  <c r="M108" i="71"/>
  <c r="M100" i="71"/>
  <c r="C24" i="70"/>
  <c r="C24" i="69"/>
  <c r="L3" i="59"/>
  <c r="K3" i="59"/>
  <c r="J3" i="59"/>
  <c r="AE3" i="59" s="1"/>
  <c r="I3" i="59"/>
  <c r="AH8" i="59"/>
  <c r="AG8" i="59"/>
  <c r="AE8" i="59"/>
  <c r="AF8" i="59" s="1"/>
  <c r="AD8" i="59"/>
  <c r="Q8" i="59"/>
  <c r="Q9" i="59"/>
  <c r="P8" i="59"/>
  <c r="P9" i="59"/>
  <c r="O8" i="59"/>
  <c r="O9" i="59"/>
  <c r="N8" i="59"/>
  <c r="X3" i="59" s="1"/>
  <c r="N9" i="59"/>
  <c r="AH9" i="59"/>
  <c r="AG9" i="59"/>
  <c r="AE9" i="59"/>
  <c r="AF9" i="59" s="1"/>
  <c r="AD9" i="59"/>
  <c r="Q10" i="59"/>
  <c r="P10" i="59"/>
  <c r="O10" i="59"/>
  <c r="N10" i="59"/>
  <c r="M19" i="46"/>
  <c r="J50" i="15"/>
  <c r="J51" i="15"/>
  <c r="D12" i="59"/>
  <c r="AH10" i="59"/>
  <c r="AG10" i="59"/>
  <c r="AE10" i="59"/>
  <c r="AF10" i="59" s="1"/>
  <c r="AD10" i="59"/>
  <c r="AE11" i="59"/>
  <c r="AF11" i="59" s="1"/>
  <c r="AG11" i="59"/>
  <c r="AH11" i="59"/>
  <c r="AD11" i="59"/>
  <c r="Q11" i="59"/>
  <c r="F11" i="59" s="1"/>
  <c r="P11" i="59"/>
  <c r="O11" i="59"/>
  <c r="N11" i="59"/>
  <c r="B11" i="59" s="1"/>
  <c r="N12" i="59"/>
  <c r="Q12" i="59"/>
  <c r="P12" i="59"/>
  <c r="O12" i="59"/>
  <c r="K59" i="15"/>
  <c r="P62" i="15"/>
  <c r="P75" i="15"/>
  <c r="Q74" i="44"/>
  <c r="Q61" i="44"/>
  <c r="Q60" i="44"/>
  <c r="Q53" i="44"/>
  <c r="J51" i="44"/>
  <c r="J52" i="44" s="1"/>
  <c r="M48" i="44"/>
  <c r="A16" i="55"/>
  <c r="B67" i="63" s="1"/>
  <c r="A15" i="55"/>
  <c r="A14" i="55"/>
  <c r="A11" i="55"/>
  <c r="A10" i="55"/>
  <c r="A9" i="55"/>
  <c r="A8" i="55"/>
  <c r="A6" i="54"/>
  <c r="A8" i="54"/>
  <c r="A7" i="54"/>
  <c r="A27" i="51"/>
  <c r="D5" i="46"/>
  <c r="Q13" i="59"/>
  <c r="O13" i="59"/>
  <c r="Y13" i="59" s="1"/>
  <c r="Z13" i="59" s="1"/>
  <c r="N14" i="59"/>
  <c r="O14" i="59"/>
  <c r="P14" i="59"/>
  <c r="Q14" i="59"/>
  <c r="N13" i="59"/>
  <c r="P13" i="59"/>
  <c r="K75" i="9"/>
  <c r="K6" i="4"/>
  <c r="O76" i="9" s="1"/>
  <c r="L76" i="9"/>
  <c r="B22" i="31"/>
  <c r="E15" i="66"/>
  <c r="F15" i="66"/>
  <c r="E16" i="66"/>
  <c r="F16" i="66"/>
  <c r="E17" i="66"/>
  <c r="F17" i="66"/>
  <c r="E18" i="66"/>
  <c r="F18" i="66"/>
  <c r="E19" i="66"/>
  <c r="F19" i="66"/>
  <c r="E20" i="66"/>
  <c r="F20" i="66"/>
  <c r="E21" i="66"/>
  <c r="F21" i="66"/>
  <c r="E22" i="66"/>
  <c r="F22" i="66"/>
  <c r="E23" i="66"/>
  <c r="F23" i="66"/>
  <c r="B3" i="66"/>
  <c r="E11" i="59"/>
  <c r="E10" i="59" s="1"/>
  <c r="E9" i="59" s="1"/>
  <c r="E8" i="59" s="1"/>
  <c r="E7" i="59" s="1"/>
  <c r="AD3" i="59"/>
  <c r="AG3" i="59"/>
  <c r="AH3"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10" i="59" s="1"/>
  <c r="C3" i="65"/>
  <c r="C1" i="65"/>
  <c r="N1" i="65" s="1"/>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49" i="50"/>
  <c r="B5" i="63"/>
  <c r="B40" i="50"/>
  <c r="B3" i="63"/>
  <c r="N4" i="63"/>
  <c r="B21" i="63"/>
  <c r="I19" i="46"/>
  <c r="Q15" i="59"/>
  <c r="F15" i="59" s="1"/>
  <c r="P15" i="59"/>
  <c r="O15" i="59"/>
  <c r="C15" i="59" s="1"/>
  <c r="N15" i="59"/>
  <c r="D76" i="59"/>
  <c r="F75" i="59"/>
  <c r="F74" i="59" s="1"/>
  <c r="F73" i="59" s="1"/>
  <c r="E75" i="59"/>
  <c r="E74" i="59" s="1"/>
  <c r="E73" i="59" s="1"/>
  <c r="C75" i="59"/>
  <c r="D75" i="59" s="1"/>
  <c r="B75" i="59"/>
  <c r="B74" i="59" s="1"/>
  <c r="B73" i="59" s="1"/>
  <c r="D72" i="59"/>
  <c r="F71" i="59"/>
  <c r="F70" i="59" s="1"/>
  <c r="F69" i="59" s="1"/>
  <c r="E71" i="59"/>
  <c r="E70" i="59" s="1"/>
  <c r="E69" i="59" s="1"/>
  <c r="C71" i="59"/>
  <c r="D71" i="59" s="1"/>
  <c r="B71" i="59"/>
  <c r="B70" i="59" s="1"/>
  <c r="B69" i="59" s="1"/>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s="1"/>
  <c r="E55" i="59"/>
  <c r="E54" i="59" s="1"/>
  <c r="C55" i="59"/>
  <c r="O55" i="59" s="1"/>
  <c r="B55" i="59"/>
  <c r="N55" i="59" s="1"/>
  <c r="B54" i="59"/>
  <c r="B53" i="59" s="1"/>
  <c r="N52"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B30" i="59" s="1"/>
  <c r="B31" i="59" s="1"/>
  <c r="S31" i="59" s="1"/>
  <c r="D28" i="59"/>
  <c r="Q27" i="59"/>
  <c r="P27" i="59"/>
  <c r="O27" i="59"/>
  <c r="N27" i="59"/>
  <c r="Q26" i="59"/>
  <c r="AB26" i="59" s="1"/>
  <c r="P26" i="59"/>
  <c r="O26" i="59"/>
  <c r="Y26" i="59" s="1"/>
  <c r="Z26" i="59" s="1"/>
  <c r="N26" i="59"/>
  <c r="X26" i="59" s="1"/>
  <c r="Q25" i="59"/>
  <c r="P25" i="59"/>
  <c r="AA25" i="59" s="1"/>
  <c r="O25" i="59"/>
  <c r="N25" i="59"/>
  <c r="X25" i="59" s="1"/>
  <c r="Q24" i="59"/>
  <c r="P24" i="59"/>
  <c r="AA24" i="59" s="1"/>
  <c r="O24" i="59"/>
  <c r="C25" i="59" s="1"/>
  <c r="C26" i="59" s="1"/>
  <c r="N24" i="59"/>
  <c r="B25" i="59" s="1"/>
  <c r="B26" i="59" s="1"/>
  <c r="B27" i="59" s="1"/>
  <c r="S27" i="59" s="1"/>
  <c r="D24" i="59"/>
  <c r="Q23" i="59"/>
  <c r="P23" i="59"/>
  <c r="O23" i="59"/>
  <c r="N23" i="59"/>
  <c r="Q22" i="59"/>
  <c r="P22" i="59"/>
  <c r="O22" i="59"/>
  <c r="N22" i="59"/>
  <c r="Q21" i="59"/>
  <c r="P21" i="59"/>
  <c r="O21" i="59"/>
  <c r="N21" i="59"/>
  <c r="Q20" i="59"/>
  <c r="P20" i="59"/>
  <c r="O20" i="59"/>
  <c r="N20" i="59"/>
  <c r="D20" i="59"/>
  <c r="Q19" i="59"/>
  <c r="P19" i="59"/>
  <c r="O19" i="59"/>
  <c r="N19" i="59"/>
  <c r="Q18" i="59"/>
  <c r="P18" i="59"/>
  <c r="O18" i="59"/>
  <c r="N18" i="59"/>
  <c r="Q17" i="59"/>
  <c r="P17" i="59"/>
  <c r="O17" i="59"/>
  <c r="N17" i="59"/>
  <c r="Q16" i="59"/>
  <c r="P16" i="59"/>
  <c r="O16" i="59"/>
  <c r="C17" i="59" s="1"/>
  <c r="N16" i="59"/>
  <c r="B17" i="59" s="1"/>
  <c r="B18" i="59" s="1"/>
  <c r="B19" i="59" s="1"/>
  <c r="S19" i="59" s="1"/>
  <c r="D16" i="59"/>
  <c r="X15" i="59"/>
  <c r="AB12" i="59"/>
  <c r="S55" i="59"/>
  <c r="AA26" i="59"/>
  <c r="N54" i="59"/>
  <c r="T55" i="59"/>
  <c r="D55" i="59"/>
  <c r="P55" i="59"/>
  <c r="U55" i="59"/>
  <c r="Q55" i="59"/>
  <c r="C58" i="59"/>
  <c r="E58" i="59"/>
  <c r="E57" i="59" s="1"/>
  <c r="D59" i="59"/>
  <c r="C62" i="59"/>
  <c r="C61" i="59" s="1"/>
  <c r="D61" i="59" s="1"/>
  <c r="E62" i="59"/>
  <c r="E61" i="59" s="1"/>
  <c r="D63" i="59"/>
  <c r="C66" i="59"/>
  <c r="E66" i="59"/>
  <c r="E65" i="59" s="1"/>
  <c r="D67" i="59"/>
  <c r="C70" i="59"/>
  <c r="C69" i="59" s="1"/>
  <c r="D69" i="59" s="1"/>
  <c r="C74" i="59"/>
  <c r="D74" i="59" s="1"/>
  <c r="U16" i="4"/>
  <c r="S16" i="4"/>
  <c r="Q16" i="4"/>
  <c r="O16" i="4"/>
  <c r="M16" i="4"/>
  <c r="K16" i="4"/>
  <c r="C73" i="59"/>
  <c r="D73" i="59" s="1"/>
  <c r="D66" i="59"/>
  <c r="C65" i="59"/>
  <c r="D65" i="59" s="1"/>
  <c r="D58" i="59"/>
  <c r="C57" i="59"/>
  <c r="D57" i="59" s="1"/>
  <c r="D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c r="C9" i="46"/>
  <c r="E32" i="6"/>
  <c r="E21" i="6"/>
  <c r="K8" i="1"/>
  <c r="M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F19" i="6" s="1"/>
  <c r="E19" i="6" s="1"/>
  <c r="BR13" i="3"/>
  <c r="C6" i="12"/>
  <c r="B24" i="1"/>
  <c r="E77" i="9"/>
  <c r="O75" i="9" s="1"/>
  <c r="L75" i="9"/>
  <c r="F77" i="9"/>
  <c r="P75" i="9"/>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E20" i="6" s="1"/>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J31" i="35"/>
  <c r="H31" i="35"/>
  <c r="F31" i="35"/>
  <c r="D87" i="35"/>
  <c r="E87" i="35"/>
  <c r="F87" i="35" s="1"/>
  <c r="G87" i="35"/>
  <c r="H87" i="35" s="1"/>
  <c r="I87" i="35" s="1"/>
  <c r="J87" i="35" s="1"/>
  <c r="K87" i="35"/>
  <c r="L87" i="35" s="1"/>
  <c r="M87" i="35" s="1"/>
  <c r="H34" i="37"/>
  <c r="AB34" i="37"/>
  <c r="D101" i="37"/>
  <c r="F34" i="37"/>
  <c r="D99" i="37"/>
  <c r="E99" i="37"/>
  <c r="H42" i="34"/>
  <c r="J42" i="34"/>
  <c r="F42" i="34"/>
  <c r="J38" i="34"/>
  <c r="D114" i="34"/>
  <c r="F38" i="34"/>
  <c r="D112" i="34"/>
  <c r="E112" i="34"/>
  <c r="F112" i="34" s="1"/>
  <c r="G112" i="34"/>
  <c r="H112" i="34" s="1"/>
  <c r="I112" i="34" s="1"/>
  <c r="J112" i="34" s="1"/>
  <c r="K112" i="34"/>
  <c r="L112" i="34" s="1"/>
  <c r="M112" i="34" s="1"/>
  <c r="F40" i="33"/>
  <c r="J41" i="33"/>
  <c r="AC41" i="33" s="1"/>
  <c r="D113" i="33"/>
  <c r="E113" i="33" s="1"/>
  <c r="F113" i="33" s="1"/>
  <c r="F37" i="33"/>
  <c r="AA37" i="33"/>
  <c r="D111" i="33"/>
  <c r="E111" i="33"/>
  <c r="F111" i="33" s="1"/>
  <c r="G111" i="33" s="1"/>
  <c r="H111" i="33" s="1"/>
  <c r="I111" i="33"/>
  <c r="J111" i="33" s="1"/>
  <c r="K111" i="33" s="1"/>
  <c r="L111" i="33" s="1"/>
  <c r="M111" i="33" s="1"/>
  <c r="S515" i="31"/>
  <c r="S517" i="31"/>
  <c r="S519" i="31"/>
  <c r="S521" i="31"/>
  <c r="S523" i="31"/>
  <c r="F41" i="21"/>
  <c r="S41" i="21" s="1"/>
  <c r="J41" i="21"/>
  <c r="AC41" i="21"/>
  <c r="H41" i="21"/>
  <c r="U41" i="21"/>
  <c r="D83" i="39"/>
  <c r="E83" i="39"/>
  <c r="F83" i="39" s="1"/>
  <c r="G83" i="39" s="1"/>
  <c r="H83" i="39" s="1"/>
  <c r="I83" i="39"/>
  <c r="J83" i="39" s="1"/>
  <c r="K83" i="39" s="1"/>
  <c r="L83" i="39" s="1"/>
  <c r="M83" i="39" s="1"/>
  <c r="D78" i="40"/>
  <c r="F13" i="40"/>
  <c r="S13" i="40" s="1"/>
  <c r="B122" i="40"/>
  <c r="F42" i="40" s="1"/>
  <c r="AA42" i="40"/>
  <c r="B120" i="40"/>
  <c r="B118" i="40"/>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F98" i="40" s="1"/>
  <c r="B97" i="40"/>
  <c r="D94" i="40"/>
  <c r="D92" i="40"/>
  <c r="D90" i="40"/>
  <c r="H21" i="40"/>
  <c r="AB21" i="40" s="1"/>
  <c r="D88" i="40"/>
  <c r="E88" i="40" s="1"/>
  <c r="F88" i="40" s="1"/>
  <c r="G88" i="40" s="1"/>
  <c r="D86" i="40"/>
  <c r="E86" i="40" s="1"/>
  <c r="J17" i="40"/>
  <c r="W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F33" i="39" s="1"/>
  <c r="AA33" i="39" s="1"/>
  <c r="D99" i="39"/>
  <c r="E99" i="39"/>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72" i="39" s="1"/>
  <c r="C20" i="36"/>
  <c r="C20" i="35"/>
  <c r="C16" i="36"/>
  <c r="C16" i="35"/>
  <c r="C14" i="36"/>
  <c r="C14" i="35"/>
  <c r="B80" i="37"/>
  <c r="H25" i="37"/>
  <c r="B110" i="37"/>
  <c r="J39" i="37" s="1"/>
  <c r="AC39" i="37"/>
  <c r="B108" i="37"/>
  <c r="C23" i="37"/>
  <c r="C19" i="37"/>
  <c r="C17" i="37"/>
  <c r="C15" i="37"/>
  <c r="B112" i="37"/>
  <c r="D107" i="37"/>
  <c r="E107" i="37"/>
  <c r="D105" i="37"/>
  <c r="E105" i="37"/>
  <c r="H36" i="37"/>
  <c r="D103" i="37"/>
  <c r="J35" i="37"/>
  <c r="AC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S30" i="37" s="1"/>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AC12" i="36" s="1"/>
  <c r="B55" i="36"/>
  <c r="F54" i="36"/>
  <c r="G54" i="36" s="1"/>
  <c r="H54" i="36" s="1"/>
  <c r="I54" i="36" s="1"/>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B74" i="33"/>
  <c r="B72" i="33"/>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U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C7" i="34"/>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H28" i="33" s="1"/>
  <c r="AB28" i="33" s="1"/>
  <c r="B90" i="33"/>
  <c r="H27" i="33"/>
  <c r="D87" i="33"/>
  <c r="E87" i="33" s="1"/>
  <c r="D85" i="33"/>
  <c r="E85" i="33" s="1"/>
  <c r="F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c r="M102" i="21"/>
  <c r="D102" i="21"/>
  <c r="E102" i="21"/>
  <c r="F102" i="21"/>
  <c r="G102" i="21"/>
  <c r="H102" i="21"/>
  <c r="I102" i="21"/>
  <c r="J102" i="21"/>
  <c r="K102" i="21"/>
  <c r="L102" i="21"/>
  <c r="C102" i="21"/>
  <c r="C63" i="21"/>
  <c r="G18" i="20"/>
  <c r="B87" i="46"/>
  <c r="C25" i="40"/>
  <c r="G16" i="20"/>
  <c r="B81" i="46" s="1"/>
  <c r="G15" i="20"/>
  <c r="C24" i="20"/>
  <c r="B72" i="46" s="1"/>
  <c r="C21" i="20"/>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c r="I123" i="21" s="1"/>
  <c r="J123" i="21" s="1"/>
  <c r="K123" i="21" s="1"/>
  <c r="L123" i="21" s="1"/>
  <c r="M123" i="21" s="1"/>
  <c r="H42" i="21"/>
  <c r="AB42" i="21" s="1"/>
  <c r="D119" i="21"/>
  <c r="E119" i="21" s="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J13" i="3"/>
  <c r="BJ5" i="3" s="1"/>
  <c r="BK13" i="3"/>
  <c r="BM13" i="3"/>
  <c r="BM5" i="3" s="1"/>
  <c r="F29" i="6" s="1"/>
  <c r="BN13" i="3"/>
  <c r="BO13" i="3"/>
  <c r="BP13" i="3"/>
  <c r="BS13" i="3"/>
  <c r="BT13" i="3"/>
  <c r="BB570" i="3"/>
  <c r="BC570" i="3"/>
  <c r="BD570" i="3"/>
  <c r="BE570" i="3"/>
  <c r="BA570" i="3" s="1"/>
  <c r="AZ570" i="3" s="1"/>
  <c r="BF570" i="3"/>
  <c r="BG570" i="3"/>
  <c r="BG5" i="3" s="1"/>
  <c r="BH570" i="3"/>
  <c r="BI570" i="3"/>
  <c r="BJ570" i="3"/>
  <c r="BK570" i="3"/>
  <c r="BM570" i="3"/>
  <c r="BN570" i="3"/>
  <c r="BN5" i="3" s="1"/>
  <c r="BO570" i="3"/>
  <c r="BP570" i="3"/>
  <c r="BQ570" i="3"/>
  <c r="BR570" i="3"/>
  <c r="BR5" i="3" s="1"/>
  <c r="BS570" i="3"/>
  <c r="BT570" i="3"/>
  <c r="BT5" i="3" s="1"/>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F39" i="21"/>
  <c r="J40" i="21"/>
  <c r="H35" i="21"/>
  <c r="AB35" i="21" s="1"/>
  <c r="J8" i="21"/>
  <c r="H8" i="21"/>
  <c r="U8" i="21" s="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J12" i="21"/>
  <c r="H12" i="21"/>
  <c r="U12" i="21" s="1"/>
  <c r="J26" i="21"/>
  <c r="W26" i="21" s="1"/>
  <c r="F26" i="21"/>
  <c r="AB41" i="21"/>
  <c r="AA41" i="21"/>
  <c r="W41" i="21"/>
  <c r="S10" i="39"/>
  <c r="U30" i="37"/>
  <c r="E103" i="37"/>
  <c r="F103" i="37" s="1"/>
  <c r="F39" i="37"/>
  <c r="W39" i="37"/>
  <c r="F29" i="36"/>
  <c r="AA29" i="36"/>
  <c r="F16" i="36"/>
  <c r="AA16" i="36"/>
  <c r="U22" i="36"/>
  <c r="W23" i="36"/>
  <c r="W22" i="36"/>
  <c r="U26" i="36"/>
  <c r="AC31" i="36"/>
  <c r="J33" i="36"/>
  <c r="W33" i="36" s="1"/>
  <c r="AC27" i="35"/>
  <c r="U31" i="35"/>
  <c r="S34" i="35"/>
  <c r="W36" i="35"/>
  <c r="S31" i="35"/>
  <c r="W31" i="35"/>
  <c r="U34" i="35"/>
  <c r="F36" i="34"/>
  <c r="W9" i="34"/>
  <c r="S34" i="34"/>
  <c r="W39" i="34"/>
  <c r="H39" i="33"/>
  <c r="AB39" i="33"/>
  <c r="U33" i="33"/>
  <c r="W38" i="33"/>
  <c r="S40" i="33"/>
  <c r="S33" i="33"/>
  <c r="W33" i="33"/>
  <c r="U38" i="33"/>
  <c r="S8" i="21"/>
  <c r="H39" i="37"/>
  <c r="AB27" i="35"/>
  <c r="S10" i="40"/>
  <c r="W10" i="40"/>
  <c r="S11" i="40"/>
  <c r="U11" i="40"/>
  <c r="S36" i="40"/>
  <c r="U36" i="40"/>
  <c r="S40" i="39"/>
  <c r="S36" i="39"/>
  <c r="F11" i="21"/>
  <c r="S11" i="21"/>
  <c r="AA38" i="21"/>
  <c r="AB36" i="21"/>
  <c r="AC35" i="21"/>
  <c r="C23" i="39"/>
  <c r="U36" i="39"/>
  <c r="S42" i="39"/>
  <c r="H32" i="33"/>
  <c r="AB32" i="33"/>
  <c r="H11" i="21"/>
  <c r="U11" i="21"/>
  <c r="J11" i="21"/>
  <c r="W11" i="21"/>
  <c r="F100" i="40"/>
  <c r="F86" i="40"/>
  <c r="G86" i="40" s="1"/>
  <c r="AA12" i="33"/>
  <c r="J27" i="36"/>
  <c r="W27" i="36"/>
  <c r="J34" i="36"/>
  <c r="W34" i="36"/>
  <c r="J30" i="35"/>
  <c r="W30" i="35"/>
  <c r="F22" i="35"/>
  <c r="AA22" i="35"/>
  <c r="H10" i="35"/>
  <c r="U10" i="35"/>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J28" i="34"/>
  <c r="W28" i="34" s="1"/>
  <c r="S38" i="33"/>
  <c r="F36" i="33"/>
  <c r="F19" i="33"/>
  <c r="S19" i="33" s="1"/>
  <c r="J19" i="33"/>
  <c r="AC19" i="33" s="1"/>
  <c r="S10" i="21"/>
  <c r="W40" i="33"/>
  <c r="F125" i="21"/>
  <c r="G125" i="21"/>
  <c r="AB30" i="36"/>
  <c r="AC34" i="36"/>
  <c r="S22" i="35"/>
  <c r="H29" i="35"/>
  <c r="U34" i="37"/>
  <c r="S34" i="37"/>
  <c r="AA34" i="37"/>
  <c r="AB42" i="34"/>
  <c r="AB40" i="34"/>
  <c r="W36" i="34"/>
  <c r="J19" i="34"/>
  <c r="AC19" i="34"/>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W14" i="21" s="1"/>
  <c r="F14" i="21"/>
  <c r="AA14" i="21"/>
  <c r="H14" i="21"/>
  <c r="U14" i="21"/>
  <c r="H28" i="21"/>
  <c r="AB28" i="21"/>
  <c r="F28" i="21"/>
  <c r="J28" i="21"/>
  <c r="AC28" i="21" s="1"/>
  <c r="H30" i="21"/>
  <c r="F30" i="21"/>
  <c r="J30" i="21"/>
  <c r="AC30" i="21" s="1"/>
  <c r="J44" i="21"/>
  <c r="AC44" i="21"/>
  <c r="H44" i="21"/>
  <c r="U44" i="21"/>
  <c r="F44" i="21"/>
  <c r="AA44" i="21"/>
  <c r="H46" i="21"/>
  <c r="AB46" i="21"/>
  <c r="J46" i="21"/>
  <c r="W46" i="21"/>
  <c r="F46" i="21"/>
  <c r="AA46" i="21"/>
  <c r="F28" i="33"/>
  <c r="AA28" i="33" s="1"/>
  <c r="J28" i="33"/>
  <c r="F33" i="35"/>
  <c r="S33" i="35" s="1"/>
  <c r="J33" i="35"/>
  <c r="F30" i="35"/>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45" i="33"/>
  <c r="W45" i="33" s="1"/>
  <c r="F45" i="33"/>
  <c r="F11" i="35"/>
  <c r="H28" i="36"/>
  <c r="U28" i="36" s="1"/>
  <c r="H32" i="36"/>
  <c r="AB32" i="36" s="1"/>
  <c r="J32" i="36"/>
  <c r="AC32" i="36" s="1"/>
  <c r="J11" i="36"/>
  <c r="W11" i="36"/>
  <c r="E89" i="37"/>
  <c r="F89" i="37"/>
  <c r="G89" i="37" s="1"/>
  <c r="H89" i="37"/>
  <c r="I89" i="37" s="1"/>
  <c r="J89" i="37" s="1"/>
  <c r="K89" i="37" s="1"/>
  <c r="L89" i="37" s="1"/>
  <c r="M89" i="37" s="1"/>
  <c r="J29" i="37"/>
  <c r="F29" i="37"/>
  <c r="AA29" i="37" s="1"/>
  <c r="F105" i="37"/>
  <c r="G105" i="37" s="1"/>
  <c r="AB36" i="37"/>
  <c r="F107" i="37"/>
  <c r="J37" i="37"/>
  <c r="AC37" i="37"/>
  <c r="H37" i="37"/>
  <c r="U37" i="37"/>
  <c r="F40" i="37"/>
  <c r="H14" i="33"/>
  <c r="U14" i="33" s="1"/>
  <c r="F14" i="33"/>
  <c r="J14" i="33"/>
  <c r="H30" i="33"/>
  <c r="F30" i="33"/>
  <c r="J30" i="33"/>
  <c r="AC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S46" i="21"/>
  <c r="U46" i="21"/>
  <c r="W30" i="21"/>
  <c r="S28" i="21"/>
  <c r="AA28" i="21"/>
  <c r="AB14" i="21"/>
  <c r="W42" i="21"/>
  <c r="W31" i="34"/>
  <c r="S46" i="33"/>
  <c r="U36" i="37"/>
  <c r="AB45" i="33"/>
  <c r="AA27" i="33"/>
  <c r="S45" i="21"/>
  <c r="U28" i="21"/>
  <c r="AB44" i="21"/>
  <c r="S19" i="21"/>
  <c r="G529" i="3"/>
  <c r="G521" i="3"/>
  <c r="G513" i="3"/>
  <c r="G499" i="3"/>
  <c r="G493" i="3"/>
  <c r="G485" i="3"/>
  <c r="G17" i="3"/>
  <c r="G565" i="3"/>
  <c r="G561" i="3"/>
  <c r="G557" i="3"/>
  <c r="G549" i="3"/>
  <c r="G545" i="3"/>
  <c r="G539" i="3"/>
  <c r="BL569" i="3"/>
  <c r="BL561" i="3"/>
  <c r="AZ561" i="3" s="1"/>
  <c r="BL557" i="3"/>
  <c r="BL553" i="3"/>
  <c r="BL545" i="3"/>
  <c r="BL535" i="3"/>
  <c r="BL519" i="3"/>
  <c r="BL511" i="3"/>
  <c r="BL501" i="3"/>
  <c r="BL491" i="3"/>
  <c r="BL483" i="3"/>
  <c r="G16" i="3"/>
  <c r="BL563" i="3"/>
  <c r="BL559" i="3"/>
  <c r="AZ559" i="3"/>
  <c r="BL555" i="3"/>
  <c r="BL551" i="3"/>
  <c r="BL533" i="3"/>
  <c r="G518" i="3"/>
  <c r="G514" i="3"/>
  <c r="G510" i="3"/>
  <c r="BL503" i="3"/>
  <c r="BL495" i="3"/>
  <c r="BL485" i="3"/>
  <c r="G18" i="3"/>
  <c r="BA569" i="3"/>
  <c r="AZ569" i="3" s="1"/>
  <c r="BA565" i="3"/>
  <c r="BA561" i="3"/>
  <c r="BA559" i="3"/>
  <c r="BA557" i="3"/>
  <c r="AZ557" i="3" s="1"/>
  <c r="BA555" i="3"/>
  <c r="AZ555" i="3" s="1"/>
  <c r="BA551" i="3"/>
  <c r="AZ551" i="3" s="1"/>
  <c r="BA545" i="3"/>
  <c r="AZ545" i="3" s="1"/>
  <c r="BA543" i="3"/>
  <c r="BA541" i="3"/>
  <c r="BA531" i="3"/>
  <c r="BA521" i="3"/>
  <c r="BA509" i="3"/>
  <c r="BA501" i="3"/>
  <c r="AZ501" i="3" s="1"/>
  <c r="BA493" i="3"/>
  <c r="AZ493" i="3"/>
  <c r="BA19" i="3"/>
  <c r="BA566" i="3"/>
  <c r="BA562" i="3"/>
  <c r="BA560" i="3"/>
  <c r="AZ560" i="3" s="1"/>
  <c r="BA558" i="3"/>
  <c r="BA556" i="3"/>
  <c r="AZ556" i="3" s="1"/>
  <c r="BA550" i="3"/>
  <c r="BA546" i="3"/>
  <c r="BA544" i="3"/>
  <c r="BA540" i="3"/>
  <c r="BA536" i="3"/>
  <c r="BA532" i="3"/>
  <c r="BA528" i="3"/>
  <c r="BA524" i="3"/>
  <c r="AZ524" i="3" s="1"/>
  <c r="BA520" i="3"/>
  <c r="BA512" i="3"/>
  <c r="BA502" i="3"/>
  <c r="AZ502" i="3" s="1"/>
  <c r="BA498" i="3"/>
  <c r="BA492" i="3"/>
  <c r="BA484" i="3"/>
  <c r="BA20" i="3"/>
  <c r="G566" i="3"/>
  <c r="G562" i="3"/>
  <c r="G560" i="3"/>
  <c r="G558" i="3"/>
  <c r="G556"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c r="G544" i="3"/>
  <c r="G538" i="3"/>
  <c r="G530" i="3"/>
  <c r="G522" i="3"/>
  <c r="BQ540" i="3"/>
  <c r="BL540" i="3"/>
  <c r="BQ538" i="3"/>
  <c r="BL538" i="3"/>
  <c r="BQ536" i="3"/>
  <c r="BQ534" i="3"/>
  <c r="BQ532" i="3"/>
  <c r="BQ530" i="3"/>
  <c r="BL530" i="3" s="1"/>
  <c r="AZ530" i="3" s="1"/>
  <c r="BQ528" i="3"/>
  <c r="BQ526" i="3"/>
  <c r="BQ524" i="3"/>
  <c r="BL524" i="3" s="1"/>
  <c r="BQ522" i="3"/>
  <c r="BL522" i="3" s="1"/>
  <c r="BQ520" i="3"/>
  <c r="BL520" i="3"/>
  <c r="AZ520" i="3" s="1"/>
  <c r="BQ518" i="3"/>
  <c r="BQ516" i="3"/>
  <c r="BQ514" i="3"/>
  <c r="BL514" i="3" s="1"/>
  <c r="BQ512" i="3"/>
  <c r="BL512" i="3" s="1"/>
  <c r="BQ510" i="3"/>
  <c r="BL510" i="3"/>
  <c r="BQ508" i="3"/>
  <c r="BL508" i="3"/>
  <c r="AC506" i="3"/>
  <c r="G506" i="3"/>
  <c r="BQ506" i="3"/>
  <c r="G502" i="3"/>
  <c r="BQ504" i="3"/>
  <c r="BQ502" i="3"/>
  <c r="BL502" i="3"/>
  <c r="BQ500" i="3"/>
  <c r="BL500" i="3"/>
  <c r="BQ498" i="3"/>
  <c r="BQ496" i="3"/>
  <c r="AC494" i="3"/>
  <c r="BQ494" i="3"/>
  <c r="BL494" i="3" s="1"/>
  <c r="BL493" i="3"/>
  <c r="G492" i="3"/>
  <c r="G484" i="3"/>
  <c r="BQ492" i="3"/>
  <c r="BL492" i="3" s="1"/>
  <c r="AZ492" i="3" s="1"/>
  <c r="BQ490" i="3"/>
  <c r="BL490" i="3" s="1"/>
  <c r="BQ488" i="3"/>
  <c r="BL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s="1"/>
  <c r="H43" i="33"/>
  <c r="U43" i="33" s="1"/>
  <c r="H17" i="37"/>
  <c r="F23" i="37"/>
  <c r="F79" i="37"/>
  <c r="G79" i="37" s="1"/>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AC8" i="37"/>
  <c r="S25" i="37"/>
  <c r="AC36" i="34"/>
  <c r="AB8" i="34"/>
  <c r="AC37" i="33"/>
  <c r="AA13" i="33"/>
  <c r="AC45" i="33"/>
  <c r="U19" i="21"/>
  <c r="AC33" i="21"/>
  <c r="F43" i="33"/>
  <c r="AA43" i="33"/>
  <c r="S10" i="35"/>
  <c r="AB44" i="33"/>
  <c r="G107" i="37"/>
  <c r="H107" i="37" s="1"/>
  <c r="I107" i="37" s="1"/>
  <c r="J107" i="37" s="1"/>
  <c r="K107" i="37" s="1"/>
  <c r="L107" i="37" s="1"/>
  <c r="M107" i="37" s="1"/>
  <c r="F37" i="21"/>
  <c r="S37" i="21" s="1"/>
  <c r="J37" i="21"/>
  <c r="W37" i="21" s="1"/>
  <c r="H19" i="34"/>
  <c r="AB19" i="34" s="1"/>
  <c r="J10" i="37"/>
  <c r="F36" i="35"/>
  <c r="J9" i="37"/>
  <c r="H9" i="37"/>
  <c r="F9" i="37"/>
  <c r="F11" i="37"/>
  <c r="S11" i="37" s="1"/>
  <c r="J12" i="37"/>
  <c r="AC12" i="37" s="1"/>
  <c r="H12" i="37"/>
  <c r="F12" i="37"/>
  <c r="AA12" i="37" s="1"/>
  <c r="H15" i="37"/>
  <c r="E94" i="37"/>
  <c r="F94" i="37" s="1"/>
  <c r="F31" i="37"/>
  <c r="S31" i="37"/>
  <c r="G94" i="37"/>
  <c r="H94" i="37" s="1"/>
  <c r="I94" i="37" s="1"/>
  <c r="J94" i="37" s="1"/>
  <c r="K94" i="37" s="1"/>
  <c r="L94" i="37" s="1"/>
  <c r="M94" i="37" s="1"/>
  <c r="H31" i="37"/>
  <c r="AB31" i="37"/>
  <c r="J15" i="37"/>
  <c r="W15" i="37"/>
  <c r="AB10" i="37"/>
  <c r="J11" i="37"/>
  <c r="W11" i="37"/>
  <c r="U31" i="37"/>
  <c r="E90" i="40"/>
  <c r="F90" i="40" s="1"/>
  <c r="F21" i="40"/>
  <c r="S21" i="40"/>
  <c r="W36" i="40"/>
  <c r="U40" i="39"/>
  <c r="J21" i="40"/>
  <c r="G90" i="40"/>
  <c r="S27" i="31"/>
  <c r="AZ558" i="3"/>
  <c r="G483" i="3"/>
  <c r="G515" i="3"/>
  <c r="G501" i="3"/>
  <c r="BA15" i="3"/>
  <c r="BL17" i="3"/>
  <c r="AZ17" i="3" s="1"/>
  <c r="BL15" i="3"/>
  <c r="BA14" i="3"/>
  <c r="AZ14" i="3" s="1"/>
  <c r="J57" i="39"/>
  <c r="H13" i="40"/>
  <c r="H12" i="48"/>
  <c r="I4" i="4"/>
  <c r="K141" i="21"/>
  <c r="K143" i="21"/>
  <c r="K144" i="21"/>
  <c r="I59" i="40"/>
  <c r="C59" i="40" s="1"/>
  <c r="I60" i="40"/>
  <c r="C60" i="40" s="1"/>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7" i="46"/>
  <c r="F35" i="46"/>
  <c r="H16" i="48"/>
  <c r="H9" i="48"/>
  <c r="H8" i="48"/>
  <c r="C12" i="46"/>
  <c r="AB16" i="35"/>
  <c r="AA43" i="21"/>
  <c r="U43" i="21"/>
  <c r="AA13" i="40"/>
  <c r="E78" i="40"/>
  <c r="F78" i="40"/>
  <c r="G78" i="40" s="1"/>
  <c r="H78" i="40"/>
  <c r="I78" i="40" s="1"/>
  <c r="J78" i="40" s="1"/>
  <c r="K78" i="40" s="1"/>
  <c r="L78" i="40" s="1"/>
  <c r="M78" i="40" s="1"/>
  <c r="BH5" i="3"/>
  <c r="R16" i="4"/>
  <c r="P16" i="4"/>
  <c r="D3" i="35"/>
  <c r="G4" i="4"/>
  <c r="S37" i="34"/>
  <c r="J16" i="35"/>
  <c r="U42" i="21"/>
  <c r="AC26" i="36"/>
  <c r="H13" i="39"/>
  <c r="AB13" i="39" s="1"/>
  <c r="F13" i="39"/>
  <c r="S13" i="39" s="1"/>
  <c r="J13" i="39"/>
  <c r="AC13" i="39"/>
  <c r="H11" i="37"/>
  <c r="W37" i="37"/>
  <c r="AA36" i="37"/>
  <c r="S42" i="33"/>
  <c r="U32" i="33"/>
  <c r="AC29" i="33"/>
  <c r="AC11" i="36"/>
  <c r="AB45" i="34"/>
  <c r="AC14" i="37"/>
  <c r="W44" i="33"/>
  <c r="W30" i="33"/>
  <c r="U28" i="33"/>
  <c r="J33" i="34"/>
  <c r="AB36" i="34"/>
  <c r="J40" i="34"/>
  <c r="W40" i="34"/>
  <c r="F16" i="35"/>
  <c r="AA16" i="35"/>
  <c r="S24" i="36"/>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c r="AB12" i="21"/>
  <c r="H32" i="21"/>
  <c r="U32" i="21"/>
  <c r="AA33" i="21"/>
  <c r="S33" i="21"/>
  <c r="U39" i="21"/>
  <c r="J32" i="21"/>
  <c r="AC32" i="21"/>
  <c r="AC5" i="3"/>
  <c r="F17" i="21"/>
  <c r="S17" i="21"/>
  <c r="H17" i="21"/>
  <c r="AB17" i="21"/>
  <c r="J17" i="21"/>
  <c r="AC17" i="21"/>
  <c r="H37" i="21"/>
  <c r="U37" i="21"/>
  <c r="F40" i="21"/>
  <c r="S40" i="21"/>
  <c r="H40" i="21"/>
  <c r="AB40"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J13" i="33"/>
  <c r="W13" i="33" s="1"/>
  <c r="H13" i="33"/>
  <c r="H29" i="33"/>
  <c r="F29" i="33"/>
  <c r="J12" i="34"/>
  <c r="AC12" i="34" s="1"/>
  <c r="H12" i="34"/>
  <c r="AB12" i="34" s="1"/>
  <c r="F12" i="34"/>
  <c r="J14" i="34"/>
  <c r="F14" i="34"/>
  <c r="H14" i="34"/>
  <c r="AB14" i="34" s="1"/>
  <c r="H30" i="34"/>
  <c r="AB30" i="34" s="1"/>
  <c r="F30" i="34"/>
  <c r="J30" i="34"/>
  <c r="W30" i="34" s="1"/>
  <c r="H32" i="34"/>
  <c r="F32" i="34"/>
  <c r="J32" i="34"/>
  <c r="W32" i="34" s="1"/>
  <c r="H46" i="34"/>
  <c r="F46" i="34"/>
  <c r="AA46" i="34" s="1"/>
  <c r="J46" i="34"/>
  <c r="AC46" i="34" s="1"/>
  <c r="H11" i="35"/>
  <c r="AB11" i="35" s="1"/>
  <c r="J11" i="35"/>
  <c r="AC11" i="35"/>
  <c r="H32" i="37"/>
  <c r="AB32" i="37" s="1"/>
  <c r="F19" i="39"/>
  <c r="S19" i="39" s="1"/>
  <c r="H19" i="39"/>
  <c r="AB19" i="39" s="1"/>
  <c r="J19" i="39"/>
  <c r="W19" i="39"/>
  <c r="F43" i="39"/>
  <c r="H43" i="39"/>
  <c r="U43" i="39" s="1"/>
  <c r="J43" i="39"/>
  <c r="W43" i="39" s="1"/>
  <c r="F99" i="37"/>
  <c r="AC27" i="37"/>
  <c r="S45" i="34"/>
  <c r="U31" i="34"/>
  <c r="W27" i="33"/>
  <c r="AC45" i="21"/>
  <c r="S28" i="33"/>
  <c r="S14" i="21"/>
  <c r="AA44" i="34"/>
  <c r="AB29" i="35"/>
  <c r="U29" i="35"/>
  <c r="AB43" i="34"/>
  <c r="AC34" i="37"/>
  <c r="S35" i="37"/>
  <c r="AA35" i="37"/>
  <c r="AB10" i="35"/>
  <c r="AA32" i="21"/>
  <c r="S32" i="21"/>
  <c r="U38" i="21"/>
  <c r="AB34" i="21"/>
  <c r="BL570" i="3"/>
  <c r="F42" i="21"/>
  <c r="AA42" i="21"/>
  <c r="AB40" i="33"/>
  <c r="U40" i="33"/>
  <c r="S35" i="34"/>
  <c r="H27" i="34"/>
  <c r="AB8" i="35"/>
  <c r="U8" i="35"/>
  <c r="S9" i="35"/>
  <c r="J14" i="35"/>
  <c r="AC14" i="35"/>
  <c r="F14" i="35"/>
  <c r="H14" i="35"/>
  <c r="E80" i="35"/>
  <c r="F80" i="35" s="1"/>
  <c r="E94" i="35"/>
  <c r="F94" i="35"/>
  <c r="G94" i="35" s="1"/>
  <c r="H94" i="35"/>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27" i="36"/>
  <c r="AB27" i="36"/>
  <c r="AA31" i="36"/>
  <c r="AC25" i="37"/>
  <c r="AC26" i="37"/>
  <c r="W26" i="37"/>
  <c r="AB29" i="37"/>
  <c r="AA30" i="37"/>
  <c r="AC31" i="37"/>
  <c r="W31" i="37"/>
  <c r="AB14" i="37"/>
  <c r="F17" i="39"/>
  <c r="H17" i="39"/>
  <c r="U17" i="39" s="1"/>
  <c r="J17" i="39"/>
  <c r="F21" i="39"/>
  <c r="H21" i="39"/>
  <c r="U21" i="39" s="1"/>
  <c r="J21" i="39"/>
  <c r="W21" i="39"/>
  <c r="H33" i="39"/>
  <c r="F44" i="39"/>
  <c r="S44" i="39"/>
  <c r="H44" i="39"/>
  <c r="U44" i="39"/>
  <c r="J44" i="39"/>
  <c r="W44" i="39"/>
  <c r="E128" i="39"/>
  <c r="F128" i="39"/>
  <c r="G128" i="39" s="1"/>
  <c r="H128" i="39"/>
  <c r="I128" i="39" s="1"/>
  <c r="J128" i="39" s="1"/>
  <c r="K128" i="39" s="1"/>
  <c r="L128" i="39" s="1"/>
  <c r="M128" i="39" s="1"/>
  <c r="F46" i="39"/>
  <c r="H46" i="39"/>
  <c r="J46" i="39"/>
  <c r="W46" i="39" s="1"/>
  <c r="F29" i="39"/>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A568" i="3"/>
  <c r="BL567" i="3"/>
  <c r="BL566" i="3"/>
  <c r="AZ566" i="3"/>
  <c r="BL565" i="3"/>
  <c r="AZ565" i="3"/>
  <c r="BA564" i="3"/>
  <c r="AZ564" i="3"/>
  <c r="BL549" i="3"/>
  <c r="BA549" i="3"/>
  <c r="BL548" i="3"/>
  <c r="BA548" i="3"/>
  <c r="AZ548" i="3" s="1"/>
  <c r="BL547" i="3"/>
  <c r="BA547" i="3"/>
  <c r="AZ547" i="3" s="1"/>
  <c r="BL539" i="3"/>
  <c r="BA539" i="3"/>
  <c r="AZ539" i="3" s="1"/>
  <c r="BA538" i="3"/>
  <c r="BL537" i="3"/>
  <c r="AZ537" i="3" s="1"/>
  <c r="BA537" i="3"/>
  <c r="BL536" i="3"/>
  <c r="AZ536" i="3" s="1"/>
  <c r="BA535" i="3"/>
  <c r="BA534" i="3"/>
  <c r="BA533" i="3"/>
  <c r="BL531" i="3"/>
  <c r="BA530" i="3"/>
  <c r="BL529" i="3"/>
  <c r="AZ529" i="3" s="1"/>
  <c r="BA529" i="3"/>
  <c r="BL528" i="3"/>
  <c r="AZ528" i="3" s="1"/>
  <c r="BA527" i="3"/>
  <c r="BA526" i="3"/>
  <c r="BA525" i="3"/>
  <c r="BL523" i="3"/>
  <c r="BA523" i="3"/>
  <c r="AZ523" i="3"/>
  <c r="BA522" i="3"/>
  <c r="AZ522" i="3" s="1"/>
  <c r="BL521" i="3"/>
  <c r="AZ521" i="3" s="1"/>
  <c r="BA519" i="3"/>
  <c r="AZ519" i="3" s="1"/>
  <c r="BL518" i="3"/>
  <c r="BA517" i="3"/>
  <c r="BL515" i="3"/>
  <c r="AZ515" i="3" s="1"/>
  <c r="BA515" i="3"/>
  <c r="BA514" i="3"/>
  <c r="AZ514" i="3" s="1"/>
  <c r="BL513" i="3"/>
  <c r="BA513" i="3"/>
  <c r="AZ513" i="3"/>
  <c r="AZ512" i="3"/>
  <c r="BA511" i="3"/>
  <c r="AZ511" i="3"/>
  <c r="BA507" i="3"/>
  <c r="BL506" i="3"/>
  <c r="BA504" i="3"/>
  <c r="BA503" i="3"/>
  <c r="AZ503" i="3"/>
  <c r="BA500" i="3"/>
  <c r="AZ500" i="3"/>
  <c r="BA499" i="3"/>
  <c r="BL498" i="3"/>
  <c r="BL497" i="3"/>
  <c r="BL496" i="3"/>
  <c r="BA495" i="3"/>
  <c r="AZ495" i="3"/>
  <c r="BA494" i="3"/>
  <c r="AZ494" i="3" s="1"/>
  <c r="G494" i="3"/>
  <c r="BA491" i="3"/>
  <c r="AZ491" i="3"/>
  <c r="BA490" i="3"/>
  <c r="BL489" i="3"/>
  <c r="BL486" i="3"/>
  <c r="BA486" i="3"/>
  <c r="AZ486" i="3" s="1"/>
  <c r="BA485" i="3"/>
  <c r="AZ485" i="3"/>
  <c r="BA483" i="3"/>
  <c r="AZ483" i="3"/>
  <c r="BA482" i="3"/>
  <c r="AZ482" i="3"/>
  <c r="BL19" i="3"/>
  <c r="BA18" i="3"/>
  <c r="AZ18" i="3" s="1"/>
  <c r="F114" i="34"/>
  <c r="G114" i="34" s="1"/>
  <c r="H114" i="34"/>
  <c r="I114" i="34" s="1"/>
  <c r="J114" i="34" s="1"/>
  <c r="K114" i="34" s="1"/>
  <c r="L114" i="34" s="1"/>
  <c r="M114" i="34" s="1"/>
  <c r="H38" i="34"/>
  <c r="U38" i="34" s="1"/>
  <c r="H30" i="40"/>
  <c r="AB30" i="40" s="1"/>
  <c r="G100" i="40"/>
  <c r="J30" i="40"/>
  <c r="AC30" i="40"/>
  <c r="F38" i="40"/>
  <c r="AA38" i="40"/>
  <c r="AC12" i="21"/>
  <c r="W12" i="21"/>
  <c r="AB33" i="21"/>
  <c r="S35" i="21"/>
  <c r="AB10" i="21"/>
  <c r="S34" i="21"/>
  <c r="AB8" i="33"/>
  <c r="U8" i="33"/>
  <c r="E106" i="33"/>
  <c r="H34" i="33"/>
  <c r="F34" i="33"/>
  <c r="E121" i="33"/>
  <c r="F41" i="33"/>
  <c r="S41" i="33"/>
  <c r="W34" i="34"/>
  <c r="AA39" i="34"/>
  <c r="S39" i="34"/>
  <c r="S43" i="34"/>
  <c r="E78" i="34"/>
  <c r="F78" i="34" s="1"/>
  <c r="F15" i="34"/>
  <c r="AC28" i="35"/>
  <c r="W28" i="35"/>
  <c r="J20" i="35"/>
  <c r="AC20" i="35" s="1"/>
  <c r="E72" i="35"/>
  <c r="F72" i="35" s="1"/>
  <c r="G72" i="35"/>
  <c r="H22" i="35"/>
  <c r="AB22" i="35"/>
  <c r="H23" i="35"/>
  <c r="F23" i="35"/>
  <c r="AB36" i="35"/>
  <c r="U36" i="35"/>
  <c r="W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H35" i="40"/>
  <c r="F35" i="40"/>
  <c r="J35" i="40"/>
  <c r="AC35" i="40" s="1"/>
  <c r="J38" i="39"/>
  <c r="H38" i="39"/>
  <c r="J16" i="40"/>
  <c r="W16" i="40" s="1"/>
  <c r="J14" i="40"/>
  <c r="H42" i="40"/>
  <c r="U42" i="40" s="1"/>
  <c r="H34" i="40"/>
  <c r="U34" i="40"/>
  <c r="AZ391" i="3"/>
  <c r="AZ399" i="3"/>
  <c r="AZ403" i="3"/>
  <c r="AZ407" i="3"/>
  <c r="AZ415" i="3"/>
  <c r="AZ423" i="3"/>
  <c r="AZ431" i="3"/>
  <c r="AZ439" i="3"/>
  <c r="AZ454" i="3"/>
  <c r="B41" i="1"/>
  <c r="J42" i="40"/>
  <c r="AC42"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F27" i="43"/>
  <c r="F72" i="9"/>
  <c r="W35" i="40"/>
  <c r="AB32" i="40"/>
  <c r="AC47" i="39"/>
  <c r="S47" i="39"/>
  <c r="AB25" i="39"/>
  <c r="U37" i="34"/>
  <c r="AC41" i="40"/>
  <c r="W41" i="40"/>
  <c r="U41" i="40"/>
  <c r="J23" i="40"/>
  <c r="AC23" i="40"/>
  <c r="F23" i="40"/>
  <c r="AC15" i="40"/>
  <c r="S23" i="39"/>
  <c r="AB16" i="39"/>
  <c r="W14" i="39"/>
  <c r="U23" i="35"/>
  <c r="AB23" i="35"/>
  <c r="H20" i="35"/>
  <c r="U20" i="35" s="1"/>
  <c r="F20" i="35"/>
  <c r="S20" i="35"/>
  <c r="H15" i="34"/>
  <c r="AB15" i="34"/>
  <c r="G78" i="34"/>
  <c r="J15" i="34"/>
  <c r="H41" i="33"/>
  <c r="U41" i="33" s="1"/>
  <c r="F121" i="33"/>
  <c r="G121" i="33" s="1"/>
  <c r="H121" i="33"/>
  <c r="I121" i="33" s="1"/>
  <c r="J121" i="33" s="1"/>
  <c r="K121" i="33" s="1"/>
  <c r="L121" i="33" s="1"/>
  <c r="M121" i="33" s="1"/>
  <c r="F30" i="40"/>
  <c r="H100" i="40"/>
  <c r="I100" i="40" s="1"/>
  <c r="J100" i="40" s="1"/>
  <c r="K100" i="40" s="1"/>
  <c r="L100" i="40" s="1"/>
  <c r="M100" i="40" s="1"/>
  <c r="AB38" i="34"/>
  <c r="AZ549" i="3"/>
  <c r="AB37" i="39"/>
  <c r="AA29" i="35"/>
  <c r="J29" i="39"/>
  <c r="AC29" i="39" s="1"/>
  <c r="AB21" i="39"/>
  <c r="AA11" i="36"/>
  <c r="AA14" i="35"/>
  <c r="S14" i="35"/>
  <c r="G99" i="37"/>
  <c r="F33" i="37"/>
  <c r="AA33" i="37" s="1"/>
  <c r="U19" i="39"/>
  <c r="AC30" i="34"/>
  <c r="W12" i="34"/>
  <c r="AC13" i="33"/>
  <c r="U17" i="34"/>
  <c r="AA11" i="34"/>
  <c r="H15" i="33"/>
  <c r="U15" i="33" s="1"/>
  <c r="AA11" i="33"/>
  <c r="AA40" i="21"/>
  <c r="U17" i="21"/>
  <c r="AA13" i="39"/>
  <c r="U16" i="40"/>
  <c r="W34" i="40"/>
  <c r="AB34" i="40"/>
  <c r="AC16" i="40"/>
  <c r="H25" i="40"/>
  <c r="F94" i="40"/>
  <c r="G94" i="40" s="1"/>
  <c r="U47" i="39"/>
  <c r="W15" i="39"/>
  <c r="J37" i="34"/>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A37" i="39"/>
  <c r="W29" i="35"/>
  <c r="W39" i="39"/>
  <c r="AA39" i="39"/>
  <c r="S39" i="39"/>
  <c r="U34" i="39"/>
  <c r="AB29" i="39"/>
  <c r="AB44" i="39"/>
  <c r="U11" i="36"/>
  <c r="G80" i="35"/>
  <c r="H80" i="35" s="1"/>
  <c r="I80" i="35"/>
  <c r="J80" i="35" s="1"/>
  <c r="K80" i="35" s="1"/>
  <c r="L80" i="35" s="1"/>
  <c r="M80" i="35" s="1"/>
  <c r="W14" i="35"/>
  <c r="F90" i="34"/>
  <c r="G90" i="34" s="1"/>
  <c r="H90" i="34" s="1"/>
  <c r="I90" i="34" s="1"/>
  <c r="J90" i="34" s="1"/>
  <c r="K90" i="34" s="1"/>
  <c r="L90" i="34" s="1"/>
  <c r="M90" i="34" s="1"/>
  <c r="F27" i="34"/>
  <c r="AA43" i="39"/>
  <c r="S43" i="39"/>
  <c r="AA19" i="39"/>
  <c r="H96" i="37"/>
  <c r="I96" i="37" s="1"/>
  <c r="J96" i="37"/>
  <c r="K96" i="37" s="1"/>
  <c r="L96" i="37" s="1"/>
  <c r="M96" i="37" s="1"/>
  <c r="F32" i="37"/>
  <c r="S46" i="34"/>
  <c r="U12" i="34"/>
  <c r="G80" i="34"/>
  <c r="F17" i="34"/>
  <c r="AA17" i="34"/>
  <c r="J17" i="34"/>
  <c r="AC17" i="34"/>
  <c r="H11" i="34"/>
  <c r="AB11" i="34"/>
  <c r="J35" i="33"/>
  <c r="W35" i="33"/>
  <c r="AC15" i="33"/>
  <c r="H11" i="33"/>
  <c r="U11" i="33"/>
  <c r="H10" i="33"/>
  <c r="U10" i="33"/>
  <c r="I66" i="33"/>
  <c r="J10" i="33"/>
  <c r="AC10" i="33" s="1"/>
  <c r="U40" i="21"/>
  <c r="U13" i="39"/>
  <c r="AC13" i="40"/>
  <c r="J11" i="34"/>
  <c r="W11" i="34"/>
  <c r="S17" i="34"/>
  <c r="F25" i="40"/>
  <c r="AA25" i="40"/>
  <c r="J11" i="33"/>
  <c r="W11" i="33"/>
  <c r="H33" i="37"/>
  <c r="AB33" i="37"/>
  <c r="W15" i="34"/>
  <c r="AC15" i="34"/>
  <c r="AB20" i="35"/>
  <c r="W23" i="40"/>
  <c r="D73" i="9"/>
  <c r="N73" i="9" s="1"/>
  <c r="AP11" i="1"/>
  <c r="B11" i="1"/>
  <c r="E11" i="1" s="1"/>
  <c r="K11" i="1"/>
  <c r="M11" i="1" s="1"/>
  <c r="O11" i="1" s="1"/>
  <c r="B9" i="1"/>
  <c r="E9" i="1"/>
  <c r="K9" i="1"/>
  <c r="M9" i="1" s="1"/>
  <c r="O9" i="1" s="1"/>
  <c r="B7" i="1"/>
  <c r="E7" i="1" s="1"/>
  <c r="C20" i="43"/>
  <c r="F6" i="1"/>
  <c r="G11" i="1"/>
  <c r="F70" i="9"/>
  <c r="M20" i="44"/>
  <c r="F30" i="44"/>
  <c r="AC25" i="36"/>
  <c r="S23" i="36"/>
  <c r="S8" i="36"/>
  <c r="AA26" i="36"/>
  <c r="AA28" i="36"/>
  <c r="U25" i="36"/>
  <c r="H20" i="36"/>
  <c r="F68" i="36"/>
  <c r="G68" i="36" s="1"/>
  <c r="J20" i="36"/>
  <c r="AC20" i="36" s="1"/>
  <c r="F20" i="36"/>
  <c r="S20" i="36" s="1"/>
  <c r="F62" i="36"/>
  <c r="G62" i="36" s="1"/>
  <c r="J14" i="36"/>
  <c r="AC14" i="36" s="1"/>
  <c r="H14" i="36"/>
  <c r="F14" i="36"/>
  <c r="AA14" i="36" s="1"/>
  <c r="W20" i="36"/>
  <c r="U27" i="36"/>
  <c r="U32" i="36"/>
  <c r="AB12" i="36"/>
  <c r="AA27" i="36"/>
  <c r="S16" i="36"/>
  <c r="S29" i="36"/>
  <c r="U22" i="35"/>
  <c r="AA13" i="35"/>
  <c r="AC9" i="35"/>
  <c r="S8" i="35"/>
  <c r="U33" i="35"/>
  <c r="AA20" i="35"/>
  <c r="S16" i="35"/>
  <c r="AC10" i="35"/>
  <c r="U9" i="35"/>
  <c r="W13" i="35"/>
  <c r="AC18" i="35"/>
  <c r="W18" i="35"/>
  <c r="U18" i="35"/>
  <c r="AB18" i="35"/>
  <c r="AB30" i="35"/>
  <c r="S27" i="35"/>
  <c r="S28" i="35"/>
  <c r="W12" i="37"/>
  <c r="S17" i="37"/>
  <c r="AB37" i="37"/>
  <c r="AA31" i="37"/>
  <c r="S33" i="37"/>
  <c r="U32" i="37"/>
  <c r="J33" i="37"/>
  <c r="W33" i="37" s="1"/>
  <c r="H99" i="37"/>
  <c r="I99" i="37" s="1"/>
  <c r="J99" i="37"/>
  <c r="K99" i="37" s="1"/>
  <c r="L99" i="37" s="1"/>
  <c r="M99" i="37" s="1"/>
  <c r="S29" i="37"/>
  <c r="J19" i="37"/>
  <c r="AC19" i="37"/>
  <c r="G75" i="37"/>
  <c r="F19" i="37"/>
  <c r="H19" i="37"/>
  <c r="AB19" i="37" s="1"/>
  <c r="J17" i="37"/>
  <c r="S15" i="37"/>
  <c r="AC21" i="37"/>
  <c r="W21" i="37"/>
  <c r="AC11" i="37"/>
  <c r="W32" i="37"/>
  <c r="U35" i="37"/>
  <c r="AB21" i="37"/>
  <c r="U21" i="37"/>
  <c r="S37" i="37"/>
  <c r="S10" i="37"/>
  <c r="W46" i="34"/>
  <c r="AC45" i="34"/>
  <c r="AA40" i="34"/>
  <c r="U30" i="34"/>
  <c r="AB33" i="34"/>
  <c r="AC35" i="34"/>
  <c r="AA33" i="34"/>
  <c r="U44" i="34"/>
  <c r="U34" i="34"/>
  <c r="U28" i="34"/>
  <c r="J25" i="34"/>
  <c r="W25" i="34" s="1"/>
  <c r="H25" i="34"/>
  <c r="F25" i="34"/>
  <c r="AA25" i="34" s="1"/>
  <c r="J23" i="34"/>
  <c r="F86" i="34"/>
  <c r="G86" i="34" s="1"/>
  <c r="F23" i="34"/>
  <c r="AA23" i="34" s="1"/>
  <c r="H23" i="34"/>
  <c r="W17" i="34"/>
  <c r="AC11" i="34"/>
  <c r="U11" i="34"/>
  <c r="U10" i="34"/>
  <c r="AC40" i="34"/>
  <c r="W44" i="34"/>
  <c r="W19" i="34"/>
  <c r="W29" i="34"/>
  <c r="AC21" i="34"/>
  <c r="W21" i="34"/>
  <c r="U15" i="34"/>
  <c r="AB21" i="34"/>
  <c r="U21" i="34"/>
  <c r="U19" i="34"/>
  <c r="AB41" i="34"/>
  <c r="S13" i="34"/>
  <c r="AA41" i="34"/>
  <c r="S9" i="34"/>
  <c r="S10" i="34"/>
  <c r="U39" i="33"/>
  <c r="U37" i="33"/>
  <c r="S35" i="33"/>
  <c r="AC12" i="33"/>
  <c r="AB11" i="33"/>
  <c r="AC35" i="33"/>
  <c r="W43" i="33"/>
  <c r="U46" i="33"/>
  <c r="W39" i="33"/>
  <c r="U35" i="33"/>
  <c r="H25" i="33"/>
  <c r="J25" i="33"/>
  <c r="F87" i="33"/>
  <c r="G87" i="33" s="1"/>
  <c r="H87" i="33"/>
  <c r="I87" i="33" s="1"/>
  <c r="J87" i="33" s="1"/>
  <c r="K87" i="33" s="1"/>
  <c r="L87" i="33" s="1"/>
  <c r="M87" i="33" s="1"/>
  <c r="F25" i="33"/>
  <c r="AA25" i="33" s="1"/>
  <c r="G85" i="33"/>
  <c r="J23" i="33"/>
  <c r="F23" i="33"/>
  <c r="S23" i="33" s="1"/>
  <c r="H23" i="33"/>
  <c r="U19" i="33"/>
  <c r="F79" i="33"/>
  <c r="G79" i="33"/>
  <c r="F17" i="33"/>
  <c r="H17" i="33"/>
  <c r="U17" i="33" s="1"/>
  <c r="J17" i="33"/>
  <c r="AB15" i="33"/>
  <c r="AC11" i="33"/>
  <c r="S10" i="33"/>
  <c r="AC21" i="33"/>
  <c r="W21" i="33"/>
  <c r="AB10" i="33"/>
  <c r="AB21" i="33"/>
  <c r="U21" i="33"/>
  <c r="AA21" i="33"/>
  <c r="S21" i="33"/>
  <c r="AA44" i="33"/>
  <c r="S44" i="21"/>
  <c r="W39" i="21"/>
  <c r="AC34" i="21"/>
  <c r="W32" i="21"/>
  <c r="U35" i="21"/>
  <c r="S42" i="21"/>
  <c r="AB37" i="21"/>
  <c r="AB32" i="21"/>
  <c r="AC46" i="21"/>
  <c r="AC26" i="21"/>
  <c r="G85" i="21"/>
  <c r="J23" i="21"/>
  <c r="W23" i="21"/>
  <c r="F23" i="21"/>
  <c r="H23" i="21"/>
  <c r="U23" i="21" s="1"/>
  <c r="AA17" i="21"/>
  <c r="W17" i="21"/>
  <c r="F15" i="21"/>
  <c r="S15" i="21"/>
  <c r="F77" i="21"/>
  <c r="G77" i="21"/>
  <c r="J15" i="21"/>
  <c r="H15" i="21"/>
  <c r="U15" i="21" s="1"/>
  <c r="AC11" i="21"/>
  <c r="AB11" i="21"/>
  <c r="W13" i="21"/>
  <c r="AA11" i="21"/>
  <c r="AC23" i="21"/>
  <c r="AC21" i="21"/>
  <c r="W21" i="21"/>
  <c r="W44" i="21"/>
  <c r="AC19" i="21"/>
  <c r="W10" i="21"/>
  <c r="AC38" i="21"/>
  <c r="AB21" i="21"/>
  <c r="U21" i="21"/>
  <c r="AB29" i="21"/>
  <c r="AA31" i="21"/>
  <c r="U33" i="40"/>
  <c r="U15" i="40"/>
  <c r="S14" i="40"/>
  <c r="S15"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G98" i="40"/>
  <c r="H98" i="40" s="1"/>
  <c r="I98" i="40" s="1"/>
  <c r="J98" i="40" s="1"/>
  <c r="K98" i="40" s="1"/>
  <c r="L98" i="40" s="1"/>
  <c r="M98" i="40" s="1"/>
  <c r="S25" i="40"/>
  <c r="F19" i="40"/>
  <c r="S19" i="40" s="1"/>
  <c r="H19" i="40"/>
  <c r="J19" i="40"/>
  <c r="AC19" i="40" s="1"/>
  <c r="F17" i="40"/>
  <c r="AA17" i="40"/>
  <c r="H17" i="40"/>
  <c r="AB17" i="40"/>
  <c r="U10" i="40"/>
  <c r="U27" i="40"/>
  <c r="AB27" i="40"/>
  <c r="AC44" i="39"/>
  <c r="W13" i="39"/>
  <c r="S11" i="39"/>
  <c r="AB45" i="39"/>
  <c r="S27" i="39"/>
  <c r="AC19" i="39"/>
  <c r="W29" i="39"/>
  <c r="AC21" i="39"/>
  <c r="S14" i="39"/>
  <c r="AB15" i="39"/>
  <c r="U11" i="39"/>
  <c r="U41" i="39"/>
  <c r="U23" i="39"/>
  <c r="U31" i="39"/>
  <c r="AB31" i="39"/>
  <c r="S25" i="39"/>
  <c r="S38" i="39"/>
  <c r="D96" i="9"/>
  <c r="A18" i="64"/>
  <c r="B74" i="63" s="1"/>
  <c r="C53" i="10"/>
  <c r="A25" i="64" s="1"/>
  <c r="A18" i="51"/>
  <c r="B14" i="63" s="1"/>
  <c r="BA16" i="3"/>
  <c r="BA17" i="3"/>
  <c r="C24" i="12"/>
  <c r="F3" i="35"/>
  <c r="K1" i="43"/>
  <c r="K1" i="12"/>
  <c r="G1" i="44"/>
  <c r="AZ15" i="3"/>
  <c r="BO5" i="3"/>
  <c r="BL18" i="3"/>
  <c r="BS5" i="3"/>
  <c r="BL16" i="3"/>
  <c r="G28" i="12"/>
  <c r="G22" i="43"/>
  <c r="G26" i="12"/>
  <c r="D24" i="44"/>
  <c r="D26" i="44"/>
  <c r="G27" i="12"/>
  <c r="G23" i="43"/>
  <c r="G21" i="43"/>
  <c r="H55" i="46"/>
  <c r="E11" i="46"/>
  <c r="E10" i="46"/>
  <c r="N8" i="46"/>
  <c r="N4" i="46"/>
  <c r="N1" i="46"/>
  <c r="M9" i="46"/>
  <c r="M2" i="46"/>
  <c r="N11" i="46"/>
  <c r="N9" i="46"/>
  <c r="F69" i="46"/>
  <c r="M4" i="46"/>
  <c r="M12" i="46"/>
  <c r="M8" i="46"/>
  <c r="M3" i="46"/>
  <c r="M5" i="46"/>
  <c r="H6" i="48"/>
  <c r="E9" i="46"/>
  <c r="H15" i="48"/>
  <c r="H5" i="48"/>
  <c r="H14" i="48"/>
  <c r="F36" i="46"/>
  <c r="J17" i="46"/>
  <c r="F39" i="46"/>
  <c r="H13" i="48"/>
  <c r="H11" i="48"/>
  <c r="E8" i="46"/>
  <c r="C7" i="46"/>
  <c r="D71" i="46"/>
  <c r="D84" i="46"/>
  <c r="E80" i="46" s="1"/>
  <c r="B78" i="46"/>
  <c r="D69" i="46"/>
  <c r="E69" i="46"/>
  <c r="B67" i="46" s="1"/>
  <c r="E47" i="46"/>
  <c r="E58" i="46"/>
  <c r="A4" i="64"/>
  <c r="A4" i="51"/>
  <c r="C51" i="10"/>
  <c r="H71" i="46"/>
  <c r="H75" i="46"/>
  <c r="H76" i="46"/>
  <c r="I100" i="46"/>
  <c r="B56" i="46"/>
  <c r="C24" i="46"/>
  <c r="N100" i="46"/>
  <c r="H100" i="46"/>
  <c r="F108" i="46"/>
  <c r="H80" i="46"/>
  <c r="B45" i="46"/>
  <c r="E100" i="46"/>
  <c r="G100" i="46"/>
  <c r="H84" i="46"/>
  <c r="H65" i="46"/>
  <c r="C100" i="46"/>
  <c r="J100" i="46"/>
  <c r="M100" i="46"/>
  <c r="AA12" i="36"/>
  <c r="U12" i="35"/>
  <c r="AB12" i="35"/>
  <c r="W11" i="35"/>
  <c r="S14" i="37"/>
  <c r="U13" i="37"/>
  <c r="S13" i="21"/>
  <c r="C24" i="9"/>
  <c r="C25" i="9"/>
  <c r="AP7" i="1"/>
  <c r="G7" i="1"/>
  <c r="AP9" i="1"/>
  <c r="G9" i="1"/>
  <c r="AP8" i="1"/>
  <c r="G8" i="1"/>
  <c r="I20" i="46"/>
  <c r="C20" i="46" s="1"/>
  <c r="B6" i="63"/>
  <c r="L5" i="54"/>
  <c r="B39" i="63" s="1"/>
  <c r="K5" i="54"/>
  <c r="B38" i="63" s="1"/>
  <c r="T41" i="4"/>
  <c r="C46" i="36"/>
  <c r="C59" i="34"/>
  <c r="C48" i="35"/>
  <c r="D48" i="35"/>
  <c r="C52" i="37"/>
  <c r="D52" i="37"/>
  <c r="E52" i="37" s="1"/>
  <c r="F52" i="37" s="1"/>
  <c r="G52" i="37" s="1"/>
  <c r="H52" i="37" s="1"/>
  <c r="I52" i="37" s="1"/>
  <c r="J52" i="37" s="1"/>
  <c r="K52" i="37" s="1"/>
  <c r="L52" i="37" s="1"/>
  <c r="M52" i="37" s="1"/>
  <c r="N52" i="37" s="1"/>
  <c r="O52" i="37" s="1"/>
  <c r="D70" i="39"/>
  <c r="D72" i="39" s="1"/>
  <c r="O19" i="46"/>
  <c r="H77" i="46"/>
  <c r="H73" i="46"/>
  <c r="H69" i="46"/>
  <c r="H74" i="46"/>
  <c r="H86" i="46"/>
  <c r="H59" i="46"/>
  <c r="H10" i="48"/>
  <c r="H87" i="46"/>
  <c r="H83" i="46"/>
  <c r="K10" i="1"/>
  <c r="M10" i="1" s="1"/>
  <c r="O10" i="1" s="1"/>
  <c r="S11" i="1"/>
  <c r="R11" i="1"/>
  <c r="S13" i="1"/>
  <c r="R13" i="1"/>
  <c r="B6" i="1"/>
  <c r="E6" i="1" s="1"/>
  <c r="B10" i="1"/>
  <c r="E10" i="1" s="1"/>
  <c r="S10" i="1"/>
  <c r="B8" i="1"/>
  <c r="E8" i="1" s="1"/>
  <c r="B12" i="1"/>
  <c r="E12" i="1" s="1"/>
  <c r="S12" i="1"/>
  <c r="G1" i="15"/>
  <c r="F66" i="36"/>
  <c r="H18" i="36"/>
  <c r="U18" i="36" s="1"/>
  <c r="S25" i="36"/>
  <c r="AA34" i="36"/>
  <c r="U23" i="36"/>
  <c r="AC27" i="36"/>
  <c r="W28" i="36"/>
  <c r="AA22" i="36"/>
  <c r="U10" i="36"/>
  <c r="W29" i="36"/>
  <c r="W8" i="36"/>
  <c r="AC30" i="35"/>
  <c r="U24" i="35"/>
  <c r="W32" i="35"/>
  <c r="S24" i="35"/>
  <c r="AA33" i="35"/>
  <c r="U32" i="35"/>
  <c r="S32" i="35"/>
  <c r="W35" i="37"/>
  <c r="AC33" i="37"/>
  <c r="U33" i="37"/>
  <c r="AC15" i="37"/>
  <c r="AA13" i="37"/>
  <c r="S12" i="37"/>
  <c r="W38" i="37"/>
  <c r="W36" i="37"/>
  <c r="U26" i="37"/>
  <c r="W13" i="37"/>
  <c r="U38" i="37"/>
  <c r="AA31" i="34"/>
  <c r="AB35" i="34"/>
  <c r="W47" i="34"/>
  <c r="AB29" i="34"/>
  <c r="AB47" i="34"/>
  <c r="AB13" i="34"/>
  <c r="AC13" i="34"/>
  <c r="S47" i="34"/>
  <c r="AA29" i="34"/>
  <c r="S19" i="34"/>
  <c r="AA19" i="33"/>
  <c r="S43" i="33"/>
  <c r="AB42" i="33"/>
  <c r="AB12" i="33"/>
  <c r="S15" i="33"/>
  <c r="AB25" i="21"/>
  <c r="AB45" i="21"/>
  <c r="W25" i="21"/>
  <c r="AA25" i="21"/>
  <c r="AC37" i="21"/>
  <c r="AA29" i="21"/>
  <c r="U27" i="21"/>
  <c r="W31" i="21"/>
  <c r="S27" i="21"/>
  <c r="AA15" i="21"/>
  <c r="AC27" i="21"/>
  <c r="W29" i="21"/>
  <c r="G96" i="40"/>
  <c r="J27" i="40"/>
  <c r="W37" i="40"/>
  <c r="S17" i="40"/>
  <c r="W30" i="40"/>
  <c r="S34" i="40"/>
  <c r="U17" i="40"/>
  <c r="U38" i="40"/>
  <c r="S42" i="40"/>
  <c r="G105" i="39"/>
  <c r="J31" i="39"/>
  <c r="S45" i="39"/>
  <c r="W41" i="39"/>
  <c r="AB43" i="39"/>
  <c r="AC46" i="39"/>
  <c r="S34" i="39"/>
  <c r="W42" i="39"/>
  <c r="W36" i="39"/>
  <c r="W23" i="39"/>
  <c r="AC37" i="39"/>
  <c r="U14" i="39"/>
  <c r="W16" i="39"/>
  <c r="S15" i="39"/>
  <c r="W25" i="39"/>
  <c r="W45" i="39"/>
  <c r="S41" i="39"/>
  <c r="AA44" i="39"/>
  <c r="W34" i="39"/>
  <c r="W10" i="39"/>
  <c r="W11" i="39"/>
  <c r="U42" i="39"/>
  <c r="W40" i="39"/>
  <c r="S32" i="40"/>
  <c r="C27" i="39"/>
  <c r="C19" i="40"/>
  <c r="C17" i="39"/>
  <c r="C19" i="39"/>
  <c r="C21" i="39"/>
  <c r="C23" i="40"/>
  <c r="B51" i="46"/>
  <c r="B55" i="46"/>
  <c r="B59" i="46"/>
  <c r="B62" i="46"/>
  <c r="B66" i="46"/>
  <c r="B64" i="46"/>
  <c r="D24" i="15"/>
  <c r="G6" i="1"/>
  <c r="S14" i="36"/>
  <c r="W14" i="36"/>
  <c r="U14" i="36"/>
  <c r="AB14" i="36"/>
  <c r="AB18" i="36"/>
  <c r="W19" i="37"/>
  <c r="U19" i="37"/>
  <c r="AC17" i="37"/>
  <c r="W17" i="37"/>
  <c r="U25" i="34"/>
  <c r="AB25" i="34"/>
  <c r="AC25" i="34"/>
  <c r="U23" i="34"/>
  <c r="AB23" i="34"/>
  <c r="S23" i="34"/>
  <c r="AC23" i="34"/>
  <c r="W23" i="34"/>
  <c r="S25" i="33"/>
  <c r="U23" i="33"/>
  <c r="AB23" i="33"/>
  <c r="W23" i="33"/>
  <c r="AC23" i="33"/>
  <c r="W17" i="33"/>
  <c r="AC17" i="33"/>
  <c r="AA17" i="33"/>
  <c r="S17" i="33"/>
  <c r="AB17" i="33"/>
  <c r="AA23" i="21"/>
  <c r="S23" i="21"/>
  <c r="AB15" i="21"/>
  <c r="W15" i="21"/>
  <c r="AC15" i="21"/>
  <c r="AB39" i="40"/>
  <c r="U39" i="40"/>
  <c r="AC39" i="40"/>
  <c r="AA39" i="40"/>
  <c r="S39" i="40"/>
  <c r="U37" i="40"/>
  <c r="AB37" i="40"/>
  <c r="AA37" i="40"/>
  <c r="U29" i="40"/>
  <c r="AB29" i="40"/>
  <c r="AC29" i="40"/>
  <c r="AA29" i="40"/>
  <c r="AA19" i="40"/>
  <c r="AB19" i="40"/>
  <c r="U19" i="40"/>
  <c r="AC27" i="40"/>
  <c r="W27" i="40"/>
  <c r="W31" i="39"/>
  <c r="AC31" i="39"/>
  <c r="H70" i="46"/>
  <c r="H72" i="46"/>
  <c r="A9" i="64"/>
  <c r="A9" i="51"/>
  <c r="B9" i="63" s="1"/>
  <c r="A25" i="51"/>
  <c r="B18" i="63" s="1"/>
  <c r="E4" i="4"/>
  <c r="B21" i="55" s="1"/>
  <c r="B72" i="63" s="1"/>
  <c r="G66" i="36"/>
  <c r="J18" i="36"/>
  <c r="AC18" i="36" s="1"/>
  <c r="AE8" i="1"/>
  <c r="AE7" i="1"/>
  <c r="AG7" i="1" s="1"/>
  <c r="W18" i="36"/>
  <c r="L20" i="6"/>
  <c r="L19" i="6"/>
  <c r="S8" i="1"/>
  <c r="S9" i="1"/>
  <c r="R9" i="1"/>
  <c r="R8" i="1"/>
  <c r="C45" i="9"/>
  <c r="O40" i="9" s="1"/>
  <c r="C44" i="9"/>
  <c r="G14" i="66"/>
  <c r="B6" i="66" s="1"/>
  <c r="N69" i="9"/>
  <c r="M86" i="9" s="1"/>
  <c r="N86" i="9" s="1"/>
  <c r="O39" i="9"/>
  <c r="R6" i="54" s="1"/>
  <c r="K29" i="9"/>
  <c r="K30" i="9" s="1"/>
  <c r="B50" i="63"/>
  <c r="N76" i="9"/>
  <c r="C46" i="9"/>
  <c r="K33" i="9" s="1"/>
  <c r="K34" i="9" s="1"/>
  <c r="O41" i="9"/>
  <c r="R8" i="54" s="1"/>
  <c r="B54" i="63" s="1"/>
  <c r="F43" i="44"/>
  <c r="F10" i="44"/>
  <c r="F40" i="44"/>
  <c r="F12" i="67"/>
  <c r="E9" i="67"/>
  <c r="B8" i="67"/>
  <c r="B14" i="67"/>
  <c r="M8" i="15"/>
  <c r="F26" i="15"/>
  <c r="M26" i="44"/>
  <c r="B10" i="67"/>
  <c r="M24" i="44"/>
  <c r="E14" i="67"/>
  <c r="B12" i="67"/>
  <c r="M22" i="15"/>
  <c r="F40" i="15"/>
  <c r="F11" i="67"/>
  <c r="M30" i="44"/>
  <c r="E10" i="67"/>
  <c r="F6" i="15"/>
  <c r="M25" i="44"/>
  <c r="F15" i="44"/>
  <c r="F9" i="67"/>
  <c r="F11" i="44"/>
  <c r="M11" i="44"/>
  <c r="B9" i="67"/>
  <c r="E12" i="67"/>
  <c r="M29" i="44"/>
  <c r="F42" i="15"/>
  <c r="M10" i="44"/>
  <c r="F14" i="67"/>
  <c r="F8" i="67"/>
  <c r="E11" i="67"/>
  <c r="F28" i="44"/>
  <c r="J15" i="15"/>
  <c r="F10" i="67"/>
  <c r="F37" i="15"/>
  <c r="B11" i="67"/>
  <c r="M23" i="15"/>
  <c r="M28" i="44"/>
  <c r="F45" i="44"/>
  <c r="L48" i="44"/>
  <c r="M24" i="15"/>
  <c r="E13" i="67"/>
  <c r="F8" i="44"/>
  <c r="M8" i="44"/>
  <c r="L49" i="44"/>
  <c r="F18" i="44"/>
  <c r="F38" i="44"/>
  <c r="F39" i="44"/>
  <c r="J17" i="44"/>
  <c r="E8" i="67"/>
  <c r="F13" i="67"/>
  <c r="B13" i="67"/>
  <c r="I4" i="6" l="1"/>
  <c r="H54" i="71"/>
  <c r="H47" i="71"/>
  <c r="H50" i="71"/>
  <c r="H55" i="71"/>
  <c r="H48" i="71"/>
  <c r="H52" i="71"/>
  <c r="H49" i="71"/>
  <c r="H53" i="71"/>
  <c r="H51" i="71"/>
  <c r="C18" i="59"/>
  <c r="D17" i="59"/>
  <c r="C54" i="59"/>
  <c r="AA16" i="59"/>
  <c r="X17" i="59"/>
  <c r="AA18" i="59"/>
  <c r="X19" i="59"/>
  <c r="Y20" i="59"/>
  <c r="Z20" i="59" s="1"/>
  <c r="AB20" i="59"/>
  <c r="Y21" i="59"/>
  <c r="Z21" i="59" s="1"/>
  <c r="AB21" i="59"/>
  <c r="Y22" i="59"/>
  <c r="Z22" i="59" s="1"/>
  <c r="AB22" i="59"/>
  <c r="Y23" i="59"/>
  <c r="Z23" i="59" s="1"/>
  <c r="AB23" i="59"/>
  <c r="U11" i="59"/>
  <c r="D37" i="59"/>
  <c r="C38" i="59"/>
  <c r="C39" i="59" s="1"/>
  <c r="T39" i="59" s="1"/>
  <c r="V7" i="59"/>
  <c r="E6" i="59"/>
  <c r="E5" i="59" s="1"/>
  <c r="D70" i="59"/>
  <c r="D25" i="59"/>
  <c r="AB14" i="59"/>
  <c r="Y15" i="59"/>
  <c r="Z15" i="59" s="1"/>
  <c r="AA14" i="59"/>
  <c r="X13" i="59"/>
  <c r="AA20" i="59"/>
  <c r="D11" i="59"/>
  <c r="D18" i="59"/>
  <c r="C19" i="59"/>
  <c r="D26" i="59"/>
  <c r="C27" i="59"/>
  <c r="P54" i="59"/>
  <c r="E53" i="59"/>
  <c r="C34" i="59"/>
  <c r="D34" i="59" s="1"/>
  <c r="D33" i="59"/>
  <c r="D45" i="59"/>
  <c r="C46" i="59"/>
  <c r="B10" i="59"/>
  <c r="B9" i="59" s="1"/>
  <c r="S11" i="59"/>
  <c r="D38" i="59"/>
  <c r="N53" i="59"/>
  <c r="E17" i="59"/>
  <c r="E18" i="59" s="1"/>
  <c r="E19" i="59" s="1"/>
  <c r="U19" i="59" s="1"/>
  <c r="AB13" i="59"/>
  <c r="AB15" i="59"/>
  <c r="Y14" i="59"/>
  <c r="Z14" i="59" s="1"/>
  <c r="Y12" i="59"/>
  <c r="Z12" i="59" s="1"/>
  <c r="AA12" i="59"/>
  <c r="X14" i="59"/>
  <c r="X12" i="59"/>
  <c r="Y16" i="59"/>
  <c r="Z16" i="59" s="1"/>
  <c r="AB16" i="59"/>
  <c r="Y17" i="59"/>
  <c r="Z17" i="59" s="1"/>
  <c r="AB17" i="59"/>
  <c r="Y18" i="59"/>
  <c r="Z18" i="59" s="1"/>
  <c r="AB18" i="59"/>
  <c r="Y19" i="59"/>
  <c r="Z19" i="59" s="1"/>
  <c r="AB19" i="59"/>
  <c r="X20" i="59"/>
  <c r="E21" i="59"/>
  <c r="E22" i="59" s="1"/>
  <c r="E23" i="59" s="1"/>
  <c r="U23" i="59" s="1"/>
  <c r="F21" i="59"/>
  <c r="F22" i="59" s="1"/>
  <c r="F23" i="59" s="1"/>
  <c r="V23" i="59" s="1"/>
  <c r="X21" i="59"/>
  <c r="AA21" i="59"/>
  <c r="X22" i="59"/>
  <c r="AA22" i="59"/>
  <c r="X23" i="59"/>
  <c r="AA23" i="59"/>
  <c r="X24" i="59"/>
  <c r="Y24" i="59"/>
  <c r="Z24" i="59" s="1"/>
  <c r="AB24" i="59"/>
  <c r="Y25" i="59"/>
  <c r="Z25" i="59" s="1"/>
  <c r="AB25" i="59"/>
  <c r="F54" i="59"/>
  <c r="F10" i="59"/>
  <c r="F9" i="59" s="1"/>
  <c r="AB3" i="59"/>
  <c r="Y3" i="59"/>
  <c r="Z3" i="59" s="1"/>
  <c r="F8" i="59"/>
  <c r="F7" i="59" s="1"/>
  <c r="F6" i="59" s="1"/>
  <c r="F5" i="59" s="1"/>
  <c r="B8" i="59"/>
  <c r="B7" i="59" s="1"/>
  <c r="AF3" i="59"/>
  <c r="P25" i="46" s="1"/>
  <c r="B73" i="39" s="1"/>
  <c r="E70" i="39"/>
  <c r="F70" i="39" s="1"/>
  <c r="D9" i="68"/>
  <c r="D10" i="68" s="1"/>
  <c r="K7" i="1"/>
  <c r="Q16" i="1" s="1"/>
  <c r="F33" i="70" s="1"/>
  <c r="G3" i="46"/>
  <c r="C9" i="68"/>
  <c r="C10" i="68" s="1"/>
  <c r="K6" i="1"/>
  <c r="F69" i="71"/>
  <c r="H75" i="71" s="1"/>
  <c r="G75" i="71" s="1"/>
  <c r="C6" i="71"/>
  <c r="D5" i="71" s="1"/>
  <c r="D18" i="9"/>
  <c r="M44" i="9" s="1"/>
  <c r="M43" i="9"/>
  <c r="F36" i="76"/>
  <c r="F36" i="75"/>
  <c r="M22" i="75"/>
  <c r="F36" i="74"/>
  <c r="M22" i="74"/>
  <c r="M22" i="76"/>
  <c r="C2" i="65"/>
  <c r="G28" i="70"/>
  <c r="G27" i="70"/>
  <c r="G28" i="69"/>
  <c r="G26" i="69"/>
  <c r="G27" i="68"/>
  <c r="G26" i="70"/>
  <c r="G27" i="69"/>
  <c r="G28" i="68"/>
  <c r="G26" i="68"/>
  <c r="F30" i="76"/>
  <c r="M20" i="76"/>
  <c r="F34" i="75"/>
  <c r="F30" i="74"/>
  <c r="M20" i="74"/>
  <c r="F34" i="76"/>
  <c r="F30" i="75"/>
  <c r="M20" i="75"/>
  <c r="F34" i="74"/>
  <c r="F29" i="70"/>
  <c r="F29" i="69"/>
  <c r="F29" i="68"/>
  <c r="C92" i="9"/>
  <c r="H54" i="46"/>
  <c r="H52" i="46"/>
  <c r="H85" i="46"/>
  <c r="H82" i="46"/>
  <c r="E17" i="46"/>
  <c r="I17" i="46"/>
  <c r="C17" i="46"/>
  <c r="F34" i="46"/>
  <c r="F38" i="46"/>
  <c r="C6" i="46"/>
  <c r="H51" i="46"/>
  <c r="H50" i="46"/>
  <c r="H53" i="46"/>
  <c r="H48" i="46"/>
  <c r="H47" i="46"/>
  <c r="F37" i="46"/>
  <c r="F33" i="46"/>
  <c r="H113" i="46"/>
  <c r="G17" i="46"/>
  <c r="B11" i="52"/>
  <c r="E7" i="52"/>
  <c r="B22" i="52"/>
  <c r="E4" i="52"/>
  <c r="B5" i="52"/>
  <c r="B14" i="52"/>
  <c r="E16" i="52"/>
  <c r="E8" i="52"/>
  <c r="B13" i="52"/>
  <c r="E21" i="52"/>
  <c r="E6" i="52"/>
  <c r="AP6" i="1"/>
  <c r="I20" i="71"/>
  <c r="K1" i="70"/>
  <c r="G1" i="76"/>
  <c r="G1" i="75"/>
  <c r="G1" i="74"/>
  <c r="K1" i="69"/>
  <c r="K1" i="68"/>
  <c r="L27" i="6"/>
  <c r="P10" i="1"/>
  <c r="G3" i="73"/>
  <c r="L16" i="4"/>
  <c r="N16" i="4"/>
  <c r="E5" i="52"/>
  <c r="B6" i="52"/>
  <c r="B16" i="52"/>
  <c r="B23" i="52"/>
  <c r="E10" i="52"/>
  <c r="E9" i="52"/>
  <c r="B8" i="52"/>
  <c r="B4" i="52"/>
  <c r="B9" i="52"/>
  <c r="B10" i="52"/>
  <c r="B7" i="52"/>
  <c r="E11" i="52"/>
  <c r="C67" i="40"/>
  <c r="D65" i="40"/>
  <c r="C30" i="76"/>
  <c r="C30" i="74"/>
  <c r="C30" i="75"/>
  <c r="C25" i="69"/>
  <c r="C27" i="43"/>
  <c r="C25" i="70"/>
  <c r="C29" i="70"/>
  <c r="C29" i="69"/>
  <c r="C25" i="12"/>
  <c r="C30" i="44"/>
  <c r="E72" i="39"/>
  <c r="G19" i="72"/>
  <c r="G19" i="71"/>
  <c r="G19" i="73"/>
  <c r="I14" i="66"/>
  <c r="B8" i="66" s="1"/>
  <c r="M83" i="9"/>
  <c r="N83" i="9" s="1"/>
  <c r="N89" i="9" s="1"/>
  <c r="O89" i="9" s="1"/>
  <c r="M85" i="9"/>
  <c r="N85" i="9" s="1"/>
  <c r="M87" i="9"/>
  <c r="N87" i="9" s="1"/>
  <c r="M88" i="9"/>
  <c r="N88" i="9" s="1"/>
  <c r="M84" i="9"/>
  <c r="N84" i="9" s="1"/>
  <c r="C16" i="73"/>
  <c r="C5" i="73" s="1"/>
  <c r="C16" i="72"/>
  <c r="C7" i="72"/>
  <c r="C5" i="72"/>
  <c r="C7" i="71"/>
  <c r="C5" i="71"/>
  <c r="Q73" i="44"/>
  <c r="F64" i="15"/>
  <c r="F67" i="15"/>
  <c r="L60" i="44"/>
  <c r="L59" i="44"/>
  <c r="C27" i="15"/>
  <c r="C29" i="44"/>
  <c r="J58" i="44"/>
  <c r="J56" i="44" s="1"/>
  <c r="J59" i="44" s="1"/>
  <c r="Q52" i="44" s="1"/>
  <c r="J61" i="44"/>
  <c r="Q50" i="44" s="1"/>
  <c r="L57" i="44"/>
  <c r="I55" i="44"/>
  <c r="J60" i="44"/>
  <c r="K31" i="9"/>
  <c r="K32" i="9" s="1"/>
  <c r="R7" i="54"/>
  <c r="B52" i="63" s="1"/>
  <c r="G70" i="39"/>
  <c r="F72" i="39"/>
  <c r="H14" i="66"/>
  <c r="B7" i="66" s="1"/>
  <c r="G28" i="6"/>
  <c r="J58" i="21"/>
  <c r="K58" i="21" s="1"/>
  <c r="L58" i="21" s="1"/>
  <c r="M58" i="21" s="1"/>
  <c r="N58" i="21" s="1"/>
  <c r="O58" i="21" s="1"/>
  <c r="R22" i="31"/>
  <c r="B21" i="31" s="1"/>
  <c r="B20" i="31"/>
  <c r="H7" i="37"/>
  <c r="F7" i="37"/>
  <c r="D46" i="36"/>
  <c r="E46" i="36" s="1"/>
  <c r="F46" i="36" s="1"/>
  <c r="G46" i="36" s="1"/>
  <c r="H46" i="36" s="1"/>
  <c r="I46" i="36" s="1"/>
  <c r="J46" i="36" s="1"/>
  <c r="K46" i="36" s="1"/>
  <c r="L46" i="36" s="1"/>
  <c r="M46" i="36" s="1"/>
  <c r="N46" i="36" s="1"/>
  <c r="O46" i="36" s="1"/>
  <c r="A17" i="64"/>
  <c r="A17" i="51"/>
  <c r="B13" i="63" s="1"/>
  <c r="AA19" i="37"/>
  <c r="S19" i="37"/>
  <c r="S27" i="34"/>
  <c r="AA27" i="34"/>
  <c r="H58" i="46"/>
  <c r="H62" i="46"/>
  <c r="H66" i="46"/>
  <c r="H63" i="46"/>
  <c r="H64" i="46"/>
  <c r="W38" i="39"/>
  <c r="AC38" i="39"/>
  <c r="AA35" i="40"/>
  <c r="S35" i="40"/>
  <c r="AC33" i="40"/>
  <c r="W33" i="40"/>
  <c r="AC32" i="40"/>
  <c r="W32" i="40"/>
  <c r="AB36" i="33"/>
  <c r="U36" i="33"/>
  <c r="AA23" i="35"/>
  <c r="S23" i="35"/>
  <c r="AB39" i="39"/>
  <c r="U39" i="39"/>
  <c r="U33" i="39"/>
  <c r="AB33" i="39"/>
  <c r="AB32" i="34"/>
  <c r="U32" i="34"/>
  <c r="W14" i="34"/>
  <c r="AC14" i="34"/>
  <c r="AA29" i="33"/>
  <c r="S29" i="33"/>
  <c r="U13" i="33"/>
  <c r="AB13" i="33"/>
  <c r="AA32" i="33"/>
  <c r="S32" i="33"/>
  <c r="U9" i="37"/>
  <c r="AB9" i="37"/>
  <c r="S36" i="35"/>
  <c r="AA36" i="35"/>
  <c r="W23" i="37"/>
  <c r="AC23" i="37"/>
  <c r="AZ542" i="3"/>
  <c r="AZ546" i="3"/>
  <c r="S45" i="33"/>
  <c r="AA45" i="33"/>
  <c r="W28" i="33"/>
  <c r="AC28" i="33"/>
  <c r="S30" i="21"/>
  <c r="AA30" i="21"/>
  <c r="BQ5" i="3"/>
  <c r="F28" i="6" s="1"/>
  <c r="AC10" i="34"/>
  <c r="W10" i="34"/>
  <c r="AA26" i="21"/>
  <c r="S26" i="21"/>
  <c r="W40" i="21"/>
  <c r="AC40" i="21"/>
  <c r="H5" i="3"/>
  <c r="G13" i="3"/>
  <c r="F9" i="21"/>
  <c r="H9" i="21"/>
  <c r="J26" i="33"/>
  <c r="F26" i="33"/>
  <c r="H26" i="33"/>
  <c r="AC8" i="34"/>
  <c r="W8" i="34"/>
  <c r="F31" i="33"/>
  <c r="J31" i="33"/>
  <c r="H31" i="33"/>
  <c r="J25" i="35"/>
  <c r="F25" i="35"/>
  <c r="H25" i="35"/>
  <c r="J35" i="35"/>
  <c r="F35" i="35"/>
  <c r="H35" i="35"/>
  <c r="F34" i="15"/>
  <c r="F36" i="44"/>
  <c r="M20" i="15"/>
  <c r="H7" i="21"/>
  <c r="F7" i="21"/>
  <c r="J7" i="37"/>
  <c r="A3" i="55"/>
  <c r="B56" i="63" s="1"/>
  <c r="W19" i="40"/>
  <c r="AB23" i="21"/>
  <c r="AA23" i="33"/>
  <c r="S25" i="34"/>
  <c r="AA20" i="36"/>
  <c r="AB14" i="33"/>
  <c r="S26" i="37"/>
  <c r="W22" i="35"/>
  <c r="H60" i="46"/>
  <c r="D59" i="34"/>
  <c r="AZ16" i="3"/>
  <c r="AC17" i="40"/>
  <c r="W28" i="21"/>
  <c r="AA37" i="21"/>
  <c r="W10" i="33"/>
  <c r="AB25" i="33"/>
  <c r="U25" i="33"/>
  <c r="AB41" i="33"/>
  <c r="AC32" i="34"/>
  <c r="AA11" i="37"/>
  <c r="U8" i="37"/>
  <c r="W20" i="35"/>
  <c r="U20" i="36"/>
  <c r="AB20" i="36"/>
  <c r="M22" i="44"/>
  <c r="P9" i="1"/>
  <c r="P11" i="1"/>
  <c r="AC36" i="33"/>
  <c r="U14" i="34"/>
  <c r="U11" i="35"/>
  <c r="AC43" i="39"/>
  <c r="S33" i="39"/>
  <c r="U30" i="40"/>
  <c r="AC37" i="34"/>
  <c r="W37" i="34"/>
  <c r="AB25" i="40"/>
  <c r="U25" i="40"/>
  <c r="AB42" i="40"/>
  <c r="AB17" i="39"/>
  <c r="AA30" i="40"/>
  <c r="S30" i="40"/>
  <c r="W27" i="39"/>
  <c r="S23" i="40"/>
  <c r="AA23" i="40"/>
  <c r="F34" i="44"/>
  <c r="F66" i="9"/>
  <c r="P72" i="9" s="1"/>
  <c r="F71" i="9"/>
  <c r="F32" i="15"/>
  <c r="F59" i="15" s="1"/>
  <c r="F29" i="12"/>
  <c r="C29" i="12" s="1"/>
  <c r="D86" i="9"/>
  <c r="F31" i="43"/>
  <c r="C31" i="43" s="1"/>
  <c r="F28" i="15"/>
  <c r="C28" i="15" s="1"/>
  <c r="M18" i="15"/>
  <c r="W14" i="40"/>
  <c r="AC14" i="40"/>
  <c r="U38" i="39"/>
  <c r="AB38" i="39"/>
  <c r="AB35" i="40"/>
  <c r="U35" i="40"/>
  <c r="AA33" i="40"/>
  <c r="S33" i="40"/>
  <c r="U34" i="33"/>
  <c r="AB34" i="33"/>
  <c r="AC36" i="21"/>
  <c r="AB8" i="21"/>
  <c r="AZ490" i="3"/>
  <c r="AZ533" i="3"/>
  <c r="AZ535" i="3"/>
  <c r="AZ538" i="3"/>
  <c r="S46" i="39"/>
  <c r="AA46" i="39"/>
  <c r="J33" i="39"/>
  <c r="W17" i="39"/>
  <c r="AC17" i="39"/>
  <c r="AA17" i="39"/>
  <c r="S17" i="39"/>
  <c r="AC30" i="37"/>
  <c r="AB27" i="34"/>
  <c r="U27" i="34"/>
  <c r="BE5" i="3"/>
  <c r="W19" i="33"/>
  <c r="AB46" i="34"/>
  <c r="U46" i="34"/>
  <c r="AA32" i="34"/>
  <c r="S32" i="34"/>
  <c r="S14" i="34"/>
  <c r="AA14" i="34"/>
  <c r="S12" i="34"/>
  <c r="AA12" i="34"/>
  <c r="AB29" i="33"/>
  <c r="U29" i="33"/>
  <c r="AC32" i="33"/>
  <c r="W32" i="33"/>
  <c r="U26" i="21"/>
  <c r="AB16" i="36"/>
  <c r="U16" i="36"/>
  <c r="AC33" i="34"/>
  <c r="W33" i="34"/>
  <c r="W32" i="36"/>
  <c r="W16" i="35"/>
  <c r="AC16" i="35"/>
  <c r="AZ370" i="3"/>
  <c r="AZ356" i="3"/>
  <c r="AZ324" i="3"/>
  <c r="AZ381" i="3"/>
  <c r="AZ358" i="3"/>
  <c r="AZ355" i="3"/>
  <c r="U13" i="40"/>
  <c r="AB13" i="40"/>
  <c r="AC21" i="40"/>
  <c r="W21" i="40"/>
  <c r="S9" i="37"/>
  <c r="AA9" i="37"/>
  <c r="W9" i="37"/>
  <c r="AC9" i="37"/>
  <c r="W10" i="37"/>
  <c r="AC10" i="37"/>
  <c r="S39" i="33"/>
  <c r="U17" i="37"/>
  <c r="AB17" i="37"/>
  <c r="AC28" i="34"/>
  <c r="AZ498" i="3"/>
  <c r="AZ550" i="3"/>
  <c r="AZ19" i="3"/>
  <c r="AZ531" i="3"/>
  <c r="AC14" i="21"/>
  <c r="AB30" i="33"/>
  <c r="U30" i="33"/>
  <c r="AA14" i="33"/>
  <c r="S14" i="33"/>
  <c r="AA40" i="37"/>
  <c r="S40" i="37"/>
  <c r="W29" i="37"/>
  <c r="AC29" i="37"/>
  <c r="S11" i="35"/>
  <c r="AA11" i="35"/>
  <c r="AA30" i="35"/>
  <c r="S30" i="35"/>
  <c r="U30" i="21"/>
  <c r="AB30" i="21"/>
  <c r="U9" i="34"/>
  <c r="U29" i="36"/>
  <c r="AB39" i="37"/>
  <c r="U39" i="37"/>
  <c r="S36" i="34"/>
  <c r="AA36" i="34"/>
  <c r="W24" i="35"/>
  <c r="S39" i="37"/>
  <c r="AA39" i="37"/>
  <c r="J9" i="21"/>
  <c r="AA39" i="21"/>
  <c r="S39" i="21"/>
  <c r="BI5" i="3"/>
  <c r="BA13" i="3"/>
  <c r="AC43" i="21"/>
  <c r="W43" i="21"/>
  <c r="B70" i="46"/>
  <c r="B48" i="46"/>
  <c r="B73" i="46"/>
  <c r="C29" i="39"/>
  <c r="B53" i="46"/>
  <c r="B80" i="46"/>
  <c r="C17" i="40"/>
  <c r="D58" i="33"/>
  <c r="U27" i="33"/>
  <c r="AB27" i="33"/>
  <c r="AC34" i="35"/>
  <c r="W34" i="35"/>
  <c r="H13" i="36"/>
  <c r="J13" i="36"/>
  <c r="F13" i="36"/>
  <c r="U27" i="37"/>
  <c r="AB27" i="37"/>
  <c r="F28" i="37"/>
  <c r="J28" i="37"/>
  <c r="H28" i="37"/>
  <c r="H40" i="37"/>
  <c r="J40" i="37"/>
  <c r="U25" i="37"/>
  <c r="AB25" i="37"/>
  <c r="F40" i="40"/>
  <c r="H40" i="40"/>
  <c r="J40" i="40"/>
  <c r="C79" i="35"/>
  <c r="F26" i="35" s="1"/>
  <c r="BL568" i="3"/>
  <c r="AZ568" i="3" s="1"/>
  <c r="BA567" i="3"/>
  <c r="AZ567" i="3" s="1"/>
  <c r="BA563" i="3"/>
  <c r="AZ563" i="3" s="1"/>
  <c r="BL554" i="3"/>
  <c r="BA554" i="3"/>
  <c r="AZ554" i="3" s="1"/>
  <c r="BA553" i="3"/>
  <c r="AZ553" i="3" s="1"/>
  <c r="BA552" i="3"/>
  <c r="AZ552" i="3" s="1"/>
  <c r="BL541" i="3"/>
  <c r="AZ541" i="3" s="1"/>
  <c r="BL534" i="3"/>
  <c r="AZ534" i="3" s="1"/>
  <c r="BL532" i="3"/>
  <c r="AZ532" i="3" s="1"/>
  <c r="BL527" i="3"/>
  <c r="AZ527" i="3" s="1"/>
  <c r="BL526" i="3"/>
  <c r="AZ526" i="3" s="1"/>
  <c r="BL525" i="3"/>
  <c r="BA518" i="3"/>
  <c r="AZ518" i="3" s="1"/>
  <c r="BL517" i="3"/>
  <c r="AZ517" i="3" s="1"/>
  <c r="BL516" i="3"/>
  <c r="BA516" i="3"/>
  <c r="AZ516" i="3" s="1"/>
  <c r="BA510" i="3"/>
  <c r="AZ510" i="3" s="1"/>
  <c r="BL509" i="3"/>
  <c r="AZ509" i="3" s="1"/>
  <c r="BA508" i="3"/>
  <c r="AZ508" i="3" s="1"/>
  <c r="BL507" i="3"/>
  <c r="AZ507" i="3" s="1"/>
  <c r="BA506" i="3"/>
  <c r="AZ506" i="3" s="1"/>
  <c r="BL505" i="3"/>
  <c r="BA505" i="3"/>
  <c r="BL504" i="3"/>
  <c r="AZ504" i="3" s="1"/>
  <c r="BL499" i="3"/>
  <c r="BA497" i="3"/>
  <c r="AZ497" i="3" s="1"/>
  <c r="BP5" i="3"/>
  <c r="G29" i="6" s="1"/>
  <c r="E29" i="6" s="1"/>
  <c r="K15" i="1" s="1"/>
  <c r="BK5" i="3"/>
  <c r="BA496" i="3"/>
  <c r="AZ496" i="3" s="1"/>
  <c r="BC5" i="3"/>
  <c r="BA489" i="3"/>
  <c r="AZ489" i="3" s="1"/>
  <c r="BA488" i="3"/>
  <c r="AZ488" i="3" s="1"/>
  <c r="BL487" i="3"/>
  <c r="BA487" i="3"/>
  <c r="AZ487" i="3" s="1"/>
  <c r="BL481" i="3"/>
  <c r="BA481" i="3"/>
  <c r="AZ481" i="3" s="1"/>
  <c r="BL20" i="3"/>
  <c r="AZ20" i="3" s="1"/>
  <c r="BD5" i="3"/>
  <c r="BB5" i="3"/>
  <c r="E48" i="35"/>
  <c r="W25" i="33"/>
  <c r="AC25" i="33"/>
  <c r="S32" i="37"/>
  <c r="AA32" i="37"/>
  <c r="AC34" i="33"/>
  <c r="W34" i="33"/>
  <c r="S34" i="33"/>
  <c r="AA34" i="33"/>
  <c r="AZ499" i="3"/>
  <c r="AZ525" i="3"/>
  <c r="AA29" i="39"/>
  <c r="S29" i="39"/>
  <c r="U46" i="39"/>
  <c r="AB46" i="39"/>
  <c r="S21" i="39"/>
  <c r="AA21" i="39"/>
  <c r="U14" i="35"/>
  <c r="AB14" i="35"/>
  <c r="S30" i="34"/>
  <c r="AA30" i="34"/>
  <c r="AB11" i="37"/>
  <c r="U11" i="37"/>
  <c r="U15" i="37"/>
  <c r="AB15" i="37"/>
  <c r="AB12" i="37"/>
  <c r="U12" i="37"/>
  <c r="S23" i="37"/>
  <c r="AA23" i="37"/>
  <c r="AZ484" i="3"/>
  <c r="AZ540" i="3"/>
  <c r="S30" i="33"/>
  <c r="AA30" i="33"/>
  <c r="AC14" i="33"/>
  <c r="W14" i="33"/>
  <c r="W33" i="35"/>
  <c r="AC33" i="35"/>
  <c r="S36" i="33"/>
  <c r="AA36" i="33"/>
  <c r="AC8" i="21"/>
  <c r="W8" i="21"/>
  <c r="S36" i="21"/>
  <c r="AA36" i="21"/>
  <c r="BA572" i="3"/>
  <c r="AZ572" i="3" s="1"/>
  <c r="BL571" i="3"/>
  <c r="AZ571" i="3" s="1"/>
  <c r="BL13" i="3"/>
  <c r="AA8" i="34"/>
  <c r="S8" i="34"/>
  <c r="W10" i="36"/>
  <c r="AC10" i="36"/>
  <c r="S32" i="36"/>
  <c r="AA32" i="36"/>
  <c r="H33" i="36"/>
  <c r="F33" i="36"/>
  <c r="J9" i="33"/>
  <c r="H9" i="33"/>
  <c r="F9" i="33"/>
  <c r="J9" i="36"/>
  <c r="H9" i="36"/>
  <c r="F9" i="36"/>
  <c r="J24" i="36"/>
  <c r="H24" i="36"/>
  <c r="G540" i="3"/>
  <c r="G516" i="3"/>
  <c r="G504" i="3"/>
  <c r="G496" i="3"/>
  <c r="AZ393" i="3"/>
  <c r="AZ396" i="3"/>
  <c r="AZ409" i="3"/>
  <c r="AZ412" i="3"/>
  <c r="AZ419" i="3"/>
  <c r="AZ425" i="3"/>
  <c r="AZ429" i="3"/>
  <c r="O8" i="1"/>
  <c r="P8" i="1" s="1"/>
  <c r="AZ404" i="3"/>
  <c r="AZ416" i="3"/>
  <c r="AZ447" i="3"/>
  <c r="AZ451" i="3"/>
  <c r="AZ465" i="3"/>
  <c r="AZ470" i="3"/>
  <c r="AZ211" i="3"/>
  <c r="AZ216" i="3"/>
  <c r="AZ227" i="3"/>
  <c r="AZ232" i="3"/>
  <c r="AZ243" i="3"/>
  <c r="AZ248" i="3"/>
  <c r="AZ259" i="3"/>
  <c r="AZ264" i="3"/>
  <c r="AZ271" i="3"/>
  <c r="AZ275" i="3"/>
  <c r="AZ287" i="3"/>
  <c r="AZ291" i="3"/>
  <c r="AZ113" i="3"/>
  <c r="AZ116" i="3"/>
  <c r="AZ129" i="3"/>
  <c r="AZ132" i="3"/>
  <c r="A30" i="51"/>
  <c r="B22" i="63" s="1"/>
  <c r="A30" i="64"/>
  <c r="AZ133" i="3"/>
  <c r="AZ136" i="3"/>
  <c r="AZ149" i="3"/>
  <c r="AZ160" i="3"/>
  <c r="AZ163" i="3"/>
  <c r="AZ176" i="3"/>
  <c r="AZ182" i="3"/>
  <c r="AZ190" i="3"/>
  <c r="AZ198" i="3"/>
  <c r="AZ29" i="3"/>
  <c r="AZ33" i="3"/>
  <c r="AZ36" i="3"/>
  <c r="AZ38" i="3"/>
  <c r="AZ42" i="3"/>
  <c r="AZ54" i="3"/>
  <c r="AZ58" i="3"/>
  <c r="AZ76" i="3"/>
  <c r="AZ80" i="3"/>
  <c r="AZ89" i="3"/>
  <c r="AZ100" i="3"/>
  <c r="AZ105" i="3"/>
  <c r="D100" i="46"/>
  <c r="D23" i="15"/>
  <c r="D29" i="59"/>
  <c r="C30" i="59"/>
  <c r="C42" i="59"/>
  <c r="D41" i="59"/>
  <c r="C50" i="59"/>
  <c r="D49" i="59"/>
  <c r="B54" i="46"/>
  <c r="C27" i="40"/>
  <c r="S27" i="40"/>
  <c r="S21" i="34"/>
  <c r="S18" i="35"/>
  <c r="AA15" i="59"/>
  <c r="AA13" i="59"/>
  <c r="AA3" i="59"/>
  <c r="X16" i="59"/>
  <c r="F17" i="59"/>
  <c r="F18" i="59" s="1"/>
  <c r="F19" i="59" s="1"/>
  <c r="V19" i="59" s="1"/>
  <c r="AA17" i="59"/>
  <c r="X18" i="59"/>
  <c r="AA19" i="59"/>
  <c r="B21" i="59"/>
  <c r="B22" i="59" s="1"/>
  <c r="B23" i="59" s="1"/>
  <c r="S23" i="59" s="1"/>
  <c r="C21" i="59"/>
  <c r="E25" i="59"/>
  <c r="E26" i="59" s="1"/>
  <c r="E27" i="59" s="1"/>
  <c r="F25" i="59"/>
  <c r="F26" i="59" s="1"/>
  <c r="F27" i="59" s="1"/>
  <c r="V27" i="59" s="1"/>
  <c r="D15" i="59"/>
  <c r="T15" i="59"/>
  <c r="C14" i="59"/>
  <c r="F14" i="59"/>
  <c r="F13" i="59" s="1"/>
  <c r="V15" i="59"/>
  <c r="C9" i="59"/>
  <c r="D10" i="59"/>
  <c r="J54" i="44"/>
  <c r="Y9" i="59"/>
  <c r="Z9" i="59" s="1"/>
  <c r="AB9" i="59"/>
  <c r="X9" i="59"/>
  <c r="X10" i="59"/>
  <c r="X11" i="59"/>
  <c r="B15" i="59"/>
  <c r="AA11" i="59"/>
  <c r="E15" i="59"/>
  <c r="A28" i="64"/>
  <c r="AA12" i="46"/>
  <c r="AE12" i="46"/>
  <c r="AI12" i="46"/>
  <c r="H1" i="65"/>
  <c r="T11" i="59"/>
  <c r="AA9" i="59"/>
  <c r="V11" i="59"/>
  <c r="K76" i="9"/>
  <c r="K77" i="9" s="1"/>
  <c r="K79" i="9" s="1"/>
  <c r="K81" i="9" s="1"/>
  <c r="Y11" i="59"/>
  <c r="Z11" i="59" s="1"/>
  <c r="AB11" i="59"/>
  <c r="Y10" i="59"/>
  <c r="Z10" i="59" s="1"/>
  <c r="AA10" i="59"/>
  <c r="AB10" i="59"/>
  <c r="F16" i="15"/>
  <c r="J17" i="75"/>
  <c r="F18" i="75"/>
  <c r="F43" i="74"/>
  <c r="F46" i="76"/>
  <c r="F43" i="15"/>
  <c r="M11" i="76"/>
  <c r="F13" i="15"/>
  <c r="F9" i="74"/>
  <c r="M11" i="75"/>
  <c r="F38" i="75"/>
  <c r="N6" i="65"/>
  <c r="M28" i="75"/>
  <c r="L49" i="75"/>
  <c r="L48" i="74"/>
  <c r="F45" i="74"/>
  <c r="M28" i="15"/>
  <c r="F15" i="76"/>
  <c r="M8" i="75"/>
  <c r="F39" i="76"/>
  <c r="M25" i="75"/>
  <c r="N5" i="65"/>
  <c r="F7" i="15"/>
  <c r="L48" i="75"/>
  <c r="F15" i="74"/>
  <c r="F8" i="75"/>
  <c r="F40" i="74"/>
  <c r="F11" i="76"/>
  <c r="M27" i="15"/>
  <c r="M31" i="74"/>
  <c r="M6" i="15"/>
  <c r="M9" i="15"/>
  <c r="F10" i="74"/>
  <c r="M19" i="44"/>
  <c r="F38" i="76"/>
  <c r="M24" i="74"/>
  <c r="F28" i="74"/>
  <c r="F18" i="76"/>
  <c r="M8" i="76"/>
  <c r="M31" i="75"/>
  <c r="F45" i="75"/>
  <c r="F8" i="76"/>
  <c r="N4" i="65"/>
  <c r="M10" i="76"/>
  <c r="L49" i="74"/>
  <c r="M29" i="15"/>
  <c r="F28" i="76"/>
  <c r="M29" i="75"/>
  <c r="M10" i="74"/>
  <c r="M31" i="76"/>
  <c r="F36" i="15"/>
  <c r="M31" i="44"/>
  <c r="N7" i="65"/>
  <c r="M26" i="74"/>
  <c r="M24" i="76"/>
  <c r="F28" i="75"/>
  <c r="M8" i="74"/>
  <c r="M26" i="75"/>
  <c r="L49" i="76"/>
  <c r="M30" i="75"/>
  <c r="J36" i="15"/>
  <c r="F18" i="74"/>
  <c r="L48" i="76"/>
  <c r="J17" i="76"/>
  <c r="F43" i="75"/>
  <c r="F10" i="76"/>
  <c r="F41" i="15"/>
  <c r="F33" i="44"/>
  <c r="F9" i="76"/>
  <c r="F45" i="76"/>
  <c r="M25" i="76"/>
  <c r="F39" i="74"/>
  <c r="M25" i="74"/>
  <c r="M30" i="74"/>
  <c r="F10" i="75"/>
  <c r="F8" i="74"/>
  <c r="F8" i="15"/>
  <c r="M24" i="75"/>
  <c r="M26" i="76"/>
  <c r="M26" i="15"/>
  <c r="F38" i="15"/>
  <c r="J17" i="74"/>
  <c r="F43" i="76"/>
  <c r="F39" i="75"/>
  <c r="L47" i="15"/>
  <c r="M28" i="76"/>
  <c r="D21" i="68"/>
  <c r="N3" i="65"/>
  <c r="F40" i="76"/>
  <c r="M11" i="74"/>
  <c r="F15" i="75"/>
  <c r="F40" i="75"/>
  <c r="M29" i="76"/>
  <c r="F11" i="74"/>
  <c r="M28" i="74"/>
  <c r="L48" i="15"/>
  <c r="F9" i="44"/>
  <c r="F38" i="74"/>
  <c r="F46" i="75"/>
  <c r="M30" i="76"/>
  <c r="F9" i="15"/>
  <c r="F11" i="75"/>
  <c r="F9" i="75"/>
  <c r="M10" i="75"/>
  <c r="AP16" i="1" l="1"/>
  <c r="F22" i="11" s="1"/>
  <c r="H77" i="71"/>
  <c r="G77" i="71" s="1"/>
  <c r="H70" i="71"/>
  <c r="G70" i="71" s="1"/>
  <c r="M70" i="71" s="1"/>
  <c r="K70" i="71"/>
  <c r="J70" i="71" s="1"/>
  <c r="M77" i="71"/>
  <c r="N77" i="71" s="1"/>
  <c r="K77" i="71"/>
  <c r="J77" i="71" s="1"/>
  <c r="K75" i="71"/>
  <c r="J75" i="71" s="1"/>
  <c r="D75" i="71" s="1"/>
  <c r="M75" i="71"/>
  <c r="N75" i="71" s="1"/>
  <c r="F7" i="36"/>
  <c r="P23" i="46"/>
  <c r="D39" i="59"/>
  <c r="C53" i="59"/>
  <c r="D54" i="59"/>
  <c r="O54" i="59"/>
  <c r="B6" i="59"/>
  <c r="B5" i="59" s="1"/>
  <c r="S7" i="59"/>
  <c r="Q54" i="59"/>
  <c r="F53" i="59"/>
  <c r="D46" i="59"/>
  <c r="C47" i="59"/>
  <c r="P52" i="59"/>
  <c r="P53" i="59"/>
  <c r="T27" i="59"/>
  <c r="D27" i="59"/>
  <c r="T19" i="59"/>
  <c r="D19" i="59"/>
  <c r="U27" i="59"/>
  <c r="M19" i="71"/>
  <c r="P22" i="46"/>
  <c r="P24" i="46"/>
  <c r="B68" i="40" s="1"/>
  <c r="P21" i="46"/>
  <c r="J7" i="36"/>
  <c r="F70" i="15"/>
  <c r="M7" i="1"/>
  <c r="O7" i="1" s="1"/>
  <c r="P7" i="1" s="1"/>
  <c r="H16" i="1"/>
  <c r="AB11" i="46"/>
  <c r="AB13" i="46" s="1"/>
  <c r="AC11" i="46"/>
  <c r="AC13" i="46" s="1"/>
  <c r="D101" i="46"/>
  <c r="AJ11" i="46"/>
  <c r="AJ13" i="46" s="1"/>
  <c r="H101" i="46"/>
  <c r="G22" i="46"/>
  <c r="G16" i="1"/>
  <c r="H12" i="40" s="1"/>
  <c r="G3" i="72"/>
  <c r="K101" i="72" s="1"/>
  <c r="C6" i="68"/>
  <c r="C8" i="44"/>
  <c r="M9" i="44"/>
  <c r="J8" i="44" s="1"/>
  <c r="M6" i="1"/>
  <c r="J12" i="40"/>
  <c r="H69" i="71"/>
  <c r="G69" i="71" s="1"/>
  <c r="H71" i="71"/>
  <c r="G71" i="71" s="1"/>
  <c r="H72" i="71"/>
  <c r="G72" i="71" s="1"/>
  <c r="H73" i="71"/>
  <c r="G73" i="71" s="1"/>
  <c r="H74" i="71"/>
  <c r="G74" i="71" s="1"/>
  <c r="H76" i="71"/>
  <c r="G76" i="71" s="1"/>
  <c r="I101" i="46"/>
  <c r="I102" i="46" s="1"/>
  <c r="M101" i="46"/>
  <c r="E22" i="46"/>
  <c r="Y11" i="46"/>
  <c r="Y13" i="46" s="1"/>
  <c r="E8" i="6"/>
  <c r="D16" i="79" s="1"/>
  <c r="D23" i="79" s="1"/>
  <c r="E5" i="6"/>
  <c r="AG11" i="46"/>
  <c r="AG13" i="46" s="1"/>
  <c r="AF11" i="46"/>
  <c r="AF13" i="46" s="1"/>
  <c r="C21" i="68"/>
  <c r="J12" i="39"/>
  <c r="C4" i="4"/>
  <c r="B20" i="55" s="1"/>
  <c r="B70" i="63" s="1"/>
  <c r="C16" i="46"/>
  <c r="C5" i="46" s="1"/>
  <c r="M9" i="74"/>
  <c r="J8" i="74" s="1"/>
  <c r="C8" i="74"/>
  <c r="Q73" i="74"/>
  <c r="C29" i="74"/>
  <c r="L60" i="74"/>
  <c r="Q76" i="74" s="1"/>
  <c r="L59" i="74"/>
  <c r="Q62" i="74" s="1"/>
  <c r="L57" i="74"/>
  <c r="J58" i="74"/>
  <c r="J56" i="74" s="1"/>
  <c r="J59" i="74" s="1"/>
  <c r="Q52" i="74" s="1"/>
  <c r="J54" i="74"/>
  <c r="Q54" i="74" s="1"/>
  <c r="I55" i="74"/>
  <c r="M9" i="76"/>
  <c r="J8" i="76" s="1"/>
  <c r="Q73" i="76"/>
  <c r="I55" i="76"/>
  <c r="J54" i="76"/>
  <c r="Q54" i="76" s="1"/>
  <c r="J61" i="76"/>
  <c r="Q50" i="76" s="1"/>
  <c r="L57" i="76"/>
  <c r="J60" i="76"/>
  <c r="J58" i="76"/>
  <c r="J56" i="76" s="1"/>
  <c r="J59" i="76" s="1"/>
  <c r="Q52" i="76" s="1"/>
  <c r="C8" i="76"/>
  <c r="C29" i="76"/>
  <c r="L60" i="76"/>
  <c r="Q76" i="76" s="1"/>
  <c r="L59" i="76"/>
  <c r="Q75" i="76" s="1"/>
  <c r="L57" i="75"/>
  <c r="J54" i="75"/>
  <c r="Q54" i="75" s="1"/>
  <c r="I55" i="75"/>
  <c r="J61" i="75"/>
  <c r="Q50" i="75" s="1"/>
  <c r="J58" i="75"/>
  <c r="J56" i="75" s="1"/>
  <c r="J59" i="75" s="1"/>
  <c r="Q52" i="75" s="1"/>
  <c r="J60" i="75"/>
  <c r="C29" i="75"/>
  <c r="M9" i="75"/>
  <c r="J8" i="75" s="1"/>
  <c r="C8" i="75"/>
  <c r="L59" i="75"/>
  <c r="Q75" i="75" s="1"/>
  <c r="L60" i="75"/>
  <c r="Q63" i="75" s="1"/>
  <c r="Q73" i="75"/>
  <c r="F33" i="12"/>
  <c r="C34" i="12" s="1"/>
  <c r="D33" i="12" s="1"/>
  <c r="F33" i="69"/>
  <c r="C34" i="69" s="1"/>
  <c r="D33" i="69" s="1"/>
  <c r="C34" i="70"/>
  <c r="D33" i="70" s="1"/>
  <c r="F18" i="11"/>
  <c r="C18" i="11" s="1"/>
  <c r="F24" i="43"/>
  <c r="C26" i="43" s="1"/>
  <c r="D24" i="43" s="1"/>
  <c r="E58" i="39"/>
  <c r="B113" i="72"/>
  <c r="G101" i="72"/>
  <c r="H101" i="72"/>
  <c r="N101" i="72"/>
  <c r="Z11" i="72"/>
  <c r="Z13" i="72" s="1"/>
  <c r="AH11" i="72"/>
  <c r="AH13" i="72" s="1"/>
  <c r="Y11" i="72"/>
  <c r="Y13" i="72" s="1"/>
  <c r="AG11" i="72"/>
  <c r="AG13" i="72" s="1"/>
  <c r="M101" i="72"/>
  <c r="E101" i="72"/>
  <c r="D101" i="72"/>
  <c r="J101" i="72"/>
  <c r="AB11" i="72"/>
  <c r="AB13" i="72" s="1"/>
  <c r="AJ11" i="72"/>
  <c r="AJ13" i="72" s="1"/>
  <c r="AA11" i="72"/>
  <c r="AA13" i="72" s="1"/>
  <c r="AI11" i="72"/>
  <c r="AI13" i="72" s="1"/>
  <c r="AE11" i="46"/>
  <c r="AE13" i="46" s="1"/>
  <c r="AI11" i="46"/>
  <c r="AI13" i="46" s="1"/>
  <c r="C23" i="46"/>
  <c r="C21" i="46" s="1"/>
  <c r="AH11" i="46"/>
  <c r="AH13" i="46" s="1"/>
  <c r="Z11" i="46"/>
  <c r="Z13" i="46" s="1"/>
  <c r="F101" i="46"/>
  <c r="K101" i="46"/>
  <c r="E101" i="46"/>
  <c r="L101" i="46"/>
  <c r="B113" i="46"/>
  <c r="G101" i="46"/>
  <c r="H22" i="46"/>
  <c r="AA11" i="46"/>
  <c r="AA13" i="46" s="1"/>
  <c r="AD11" i="46"/>
  <c r="AD13" i="46" s="1"/>
  <c r="N101" i="46"/>
  <c r="F22" i="46"/>
  <c r="J101" i="46"/>
  <c r="J22" i="46"/>
  <c r="Z7" i="46"/>
  <c r="N104" i="45"/>
  <c r="C101" i="46"/>
  <c r="B113" i="73"/>
  <c r="K101" i="73"/>
  <c r="G101" i="73"/>
  <c r="C101" i="73"/>
  <c r="H101" i="73"/>
  <c r="H22" i="73"/>
  <c r="N101" i="73"/>
  <c r="F101" i="73"/>
  <c r="Z11" i="73"/>
  <c r="Z13" i="73" s="1"/>
  <c r="AD11" i="73"/>
  <c r="AD13" i="73" s="1"/>
  <c r="AH11" i="73"/>
  <c r="AH13" i="73" s="1"/>
  <c r="J22" i="73"/>
  <c r="Y11" i="73"/>
  <c r="Y13" i="73" s="1"/>
  <c r="AC11" i="73"/>
  <c r="AC13" i="73" s="1"/>
  <c r="AG11" i="73"/>
  <c r="AG13" i="73" s="1"/>
  <c r="C23" i="73"/>
  <c r="C21" i="73" s="1"/>
  <c r="M101" i="73"/>
  <c r="I101" i="73"/>
  <c r="E101" i="73"/>
  <c r="L101" i="73"/>
  <c r="D101" i="73"/>
  <c r="F22" i="73"/>
  <c r="J101" i="73"/>
  <c r="Z7" i="73"/>
  <c r="AB11" i="73"/>
  <c r="AB13" i="73" s="1"/>
  <c r="AF11" i="73"/>
  <c r="AF13" i="73" s="1"/>
  <c r="AJ11" i="73"/>
  <c r="AJ13" i="73" s="1"/>
  <c r="E22" i="73"/>
  <c r="AA11" i="73"/>
  <c r="AA13" i="73" s="1"/>
  <c r="AE11" i="73"/>
  <c r="AE13" i="73" s="1"/>
  <c r="AI11" i="73"/>
  <c r="AI13" i="73" s="1"/>
  <c r="G22" i="73"/>
  <c r="K17" i="4"/>
  <c r="A22" i="51" s="1"/>
  <c r="B16" i="63" s="1"/>
  <c r="H7" i="36"/>
  <c r="P21" i="71"/>
  <c r="O19" i="71"/>
  <c r="P24" i="71"/>
  <c r="P22" i="71"/>
  <c r="P23" i="71"/>
  <c r="P25" i="71"/>
  <c r="D67" i="40"/>
  <c r="E65" i="40"/>
  <c r="P21" i="73"/>
  <c r="O19" i="73"/>
  <c r="P23" i="73"/>
  <c r="P25" i="73"/>
  <c r="P24" i="73"/>
  <c r="P22" i="73"/>
  <c r="P21" i="72"/>
  <c r="P23" i="72"/>
  <c r="P25" i="72"/>
  <c r="O19" i="72"/>
  <c r="P24" i="72"/>
  <c r="P22" i="72"/>
  <c r="C4" i="65"/>
  <c r="B39" i="1" s="1"/>
  <c r="F68" i="15"/>
  <c r="L58" i="15"/>
  <c r="L59" i="15"/>
  <c r="F63" i="15"/>
  <c r="F65" i="15"/>
  <c r="F50" i="15"/>
  <c r="C6" i="15"/>
  <c r="M7" i="15"/>
  <c r="F49" i="15"/>
  <c r="Q72" i="15"/>
  <c r="I54" i="15"/>
  <c r="L56" i="15"/>
  <c r="J57" i="15"/>
  <c r="J55" i="15" s="1"/>
  <c r="J58" i="15" s="1"/>
  <c r="Q51" i="15" s="1"/>
  <c r="J53" i="15"/>
  <c r="AA26" i="35"/>
  <c r="S26" i="35"/>
  <c r="U15" i="59"/>
  <c r="E14" i="59"/>
  <c r="E13" i="59" s="1"/>
  <c r="S15" i="59"/>
  <c r="B14" i="59"/>
  <c r="B13" i="59" s="1"/>
  <c r="F1" i="44"/>
  <c r="Q54" i="44"/>
  <c r="D14" i="59"/>
  <c r="C13" i="59"/>
  <c r="D13" i="59" s="1"/>
  <c r="C22" i="59"/>
  <c r="D21" i="59"/>
  <c r="C31" i="59"/>
  <c r="D30" i="59"/>
  <c r="U24" i="36"/>
  <c r="AB24" i="36"/>
  <c r="AA9" i="36"/>
  <c r="S9" i="36"/>
  <c r="AC9" i="36"/>
  <c r="W9" i="36"/>
  <c r="AB9" i="33"/>
  <c r="U9" i="33"/>
  <c r="S33" i="36"/>
  <c r="AA33" i="36"/>
  <c r="BL5" i="3"/>
  <c r="E12" i="6"/>
  <c r="E10" i="6"/>
  <c r="E11" i="6"/>
  <c r="E15" i="6"/>
  <c r="E13" i="6"/>
  <c r="E14" i="6"/>
  <c r="AZ505" i="3"/>
  <c r="AC40" i="40"/>
  <c r="W40" i="40"/>
  <c r="AA40" i="40"/>
  <c r="S40" i="40"/>
  <c r="U40" i="37"/>
  <c r="AB40" i="37"/>
  <c r="W28" i="37"/>
  <c r="AC28" i="37"/>
  <c r="AA13" i="36"/>
  <c r="S13" i="36"/>
  <c r="AB13" i="36"/>
  <c r="U13" i="36"/>
  <c r="I109" i="46"/>
  <c r="I104" i="46"/>
  <c r="M104" i="46"/>
  <c r="M103" i="46"/>
  <c r="M105" i="46"/>
  <c r="M102" i="46"/>
  <c r="M106" i="46"/>
  <c r="M107" i="46"/>
  <c r="M109" i="46"/>
  <c r="AC7" i="37"/>
  <c r="V42" i="37" s="1"/>
  <c r="I42" i="37" s="1"/>
  <c r="W7" i="37"/>
  <c r="U7" i="21"/>
  <c r="AB7" i="21"/>
  <c r="T48" i="21" s="1"/>
  <c r="G48" i="21" s="1"/>
  <c r="F61" i="15"/>
  <c r="S35" i="35"/>
  <c r="AA35" i="35"/>
  <c r="U25" i="35"/>
  <c r="AB25" i="35"/>
  <c r="AC25" i="35"/>
  <c r="W25" i="35"/>
  <c r="AC31" i="33"/>
  <c r="W31" i="33"/>
  <c r="AB26" i="33"/>
  <c r="U26" i="33"/>
  <c r="AC26" i="33"/>
  <c r="W26" i="33"/>
  <c r="S9" i="21"/>
  <c r="AA9" i="21"/>
  <c r="U7" i="36"/>
  <c r="AB7" i="36"/>
  <c r="T36" i="36" s="1"/>
  <c r="G36" i="36" s="1"/>
  <c r="AA7" i="37"/>
  <c r="R42" i="37" s="1"/>
  <c r="S7" i="37"/>
  <c r="G30" i="6"/>
  <c r="G31" i="6" s="1"/>
  <c r="AC12" i="40"/>
  <c r="W12" i="40"/>
  <c r="Q76" i="44"/>
  <c r="Q63" i="44"/>
  <c r="D9" i="59"/>
  <c r="C8" i="59"/>
  <c r="C7" i="59" s="1"/>
  <c r="C51" i="59"/>
  <c r="D50" i="59"/>
  <c r="C43" i="59"/>
  <c r="D42" i="59"/>
  <c r="AC24" i="36"/>
  <c r="W24" i="36"/>
  <c r="AB9" i="36"/>
  <c r="U9" i="36"/>
  <c r="S9" i="33"/>
  <c r="AA9" i="33"/>
  <c r="W9" i="33"/>
  <c r="AC9" i="33"/>
  <c r="AB33" i="36"/>
  <c r="U33" i="36"/>
  <c r="F48" i="35"/>
  <c r="H26" i="35"/>
  <c r="J26" i="35"/>
  <c r="AB40" i="40"/>
  <c r="U40" i="40"/>
  <c r="W40" i="37"/>
  <c r="AC40" i="37"/>
  <c r="U28" i="37"/>
  <c r="AB28" i="37"/>
  <c r="S28" i="37"/>
  <c r="AA28" i="37"/>
  <c r="AC13" i="36"/>
  <c r="W13" i="36"/>
  <c r="E58" i="33"/>
  <c r="F58" i="33" s="1"/>
  <c r="G58" i="33" s="1"/>
  <c r="H58" i="33" s="1"/>
  <c r="I58" i="33" s="1"/>
  <c r="J58" i="33" s="1"/>
  <c r="K58" i="33" s="1"/>
  <c r="L58" i="33" s="1"/>
  <c r="M58" i="33" s="1"/>
  <c r="N58" i="33" s="1"/>
  <c r="O58" i="33" s="1"/>
  <c r="BA5" i="3"/>
  <c r="E27" i="6" s="1"/>
  <c r="AZ13" i="3"/>
  <c r="AZ5" i="3" s="1"/>
  <c r="AC9" i="21"/>
  <c r="W9" i="21"/>
  <c r="AC33" i="39"/>
  <c r="W33" i="39"/>
  <c r="D102" i="46"/>
  <c r="D104" i="46"/>
  <c r="D109" i="46"/>
  <c r="D103" i="46"/>
  <c r="D106" i="46"/>
  <c r="D107" i="46"/>
  <c r="D105" i="46"/>
  <c r="H104" i="46"/>
  <c r="H105" i="46"/>
  <c r="H106" i="46"/>
  <c r="H109" i="46"/>
  <c r="H107" i="46"/>
  <c r="H102" i="46"/>
  <c r="H103" i="46"/>
  <c r="E59" i="34"/>
  <c r="S7" i="36"/>
  <c r="AA7" i="36"/>
  <c r="R36" i="36" s="1"/>
  <c r="S7" i="21"/>
  <c r="AA7" i="21"/>
  <c r="R48" i="21" s="1"/>
  <c r="AB35" i="35"/>
  <c r="U35" i="35"/>
  <c r="W35" i="35"/>
  <c r="AC35" i="35"/>
  <c r="S25" i="35"/>
  <c r="AA25" i="35"/>
  <c r="AB31" i="33"/>
  <c r="U31" i="33"/>
  <c r="AA31" i="33"/>
  <c r="S31" i="33"/>
  <c r="S26" i="33"/>
  <c r="AA26" i="33"/>
  <c r="AB9" i="21"/>
  <c r="U9" i="21"/>
  <c r="G5" i="3"/>
  <c r="B3" i="3" s="1"/>
  <c r="I3" i="6" s="1"/>
  <c r="E28" i="6"/>
  <c r="F30" i="6"/>
  <c r="AC7" i="36"/>
  <c r="V36" i="36" s="1"/>
  <c r="I36" i="36" s="1"/>
  <c r="W7" i="36"/>
  <c r="U7" i="37"/>
  <c r="AB7" i="37"/>
  <c r="T42" i="37" s="1"/>
  <c r="G42" i="37" s="1"/>
  <c r="J7" i="21"/>
  <c r="AC12" i="39"/>
  <c r="W12" i="39"/>
  <c r="AB12" i="40"/>
  <c r="U12" i="40"/>
  <c r="H70" i="39"/>
  <c r="G72" i="39"/>
  <c r="Q75" i="44"/>
  <c r="Q62" i="44"/>
  <c r="C18" i="75"/>
  <c r="C18" i="76"/>
  <c r="F33" i="76"/>
  <c r="J5" i="65"/>
  <c r="J7" i="65"/>
  <c r="M19" i="74"/>
  <c r="C16" i="15"/>
  <c r="J6" i="65"/>
  <c r="I5" i="65"/>
  <c r="I6" i="65"/>
  <c r="I4" i="65"/>
  <c r="J4" i="65"/>
  <c r="F33" i="75"/>
  <c r="M19" i="76"/>
  <c r="M19" i="75"/>
  <c r="I7" i="65"/>
  <c r="F31" i="15"/>
  <c r="M17" i="15"/>
  <c r="C18" i="44"/>
  <c r="F58" i="15"/>
  <c r="F33" i="74"/>
  <c r="J3" i="65"/>
  <c r="I3" i="65"/>
  <c r="C18" i="74"/>
  <c r="F33" i="68"/>
  <c r="I105" i="46" l="1"/>
  <c r="E22" i="72"/>
  <c r="AE11" i="72"/>
  <c r="AE13" i="72" s="1"/>
  <c r="G22" i="72"/>
  <c r="AF11" i="72"/>
  <c r="AF13" i="72" s="1"/>
  <c r="Z7" i="72"/>
  <c r="F22" i="72"/>
  <c r="L101" i="72"/>
  <c r="I101" i="72"/>
  <c r="I107" i="72" s="1"/>
  <c r="J22" i="72"/>
  <c r="AC11" i="72"/>
  <c r="AC13" i="72" s="1"/>
  <c r="C23" i="72"/>
  <c r="C21" i="72" s="1"/>
  <c r="AD11" i="72"/>
  <c r="AD13" i="72" s="1"/>
  <c r="F101" i="72"/>
  <c r="H22" i="72"/>
  <c r="C101" i="72"/>
  <c r="F27" i="6"/>
  <c r="F31" i="6" s="1"/>
  <c r="E53" i="40"/>
  <c r="K76" i="71"/>
  <c r="J76" i="71" s="1"/>
  <c r="M76" i="71"/>
  <c r="N76" i="71" s="1"/>
  <c r="K73" i="71"/>
  <c r="J73" i="71" s="1"/>
  <c r="M73" i="71"/>
  <c r="N73" i="71" s="1"/>
  <c r="K71" i="71"/>
  <c r="M71" i="71"/>
  <c r="N71" i="71" s="1"/>
  <c r="K74" i="71"/>
  <c r="J74" i="71" s="1"/>
  <c r="M74" i="71"/>
  <c r="N74" i="71" s="1"/>
  <c r="K72" i="71"/>
  <c r="J72" i="71" s="1"/>
  <c r="M72" i="71"/>
  <c r="M69" i="71"/>
  <c r="N69" i="71" s="1"/>
  <c r="K69" i="71"/>
  <c r="J69" i="71" s="1"/>
  <c r="D70" i="71"/>
  <c r="N70" i="71"/>
  <c r="D53" i="59"/>
  <c r="O52" i="59"/>
  <c r="O53" i="59"/>
  <c r="T7" i="59"/>
  <c r="C6" i="59"/>
  <c r="C5" i="59" s="1"/>
  <c r="T47" i="59"/>
  <c r="D47" i="59"/>
  <c r="Q53" i="59"/>
  <c r="Q52" i="59"/>
  <c r="J7" i="33"/>
  <c r="F12" i="39"/>
  <c r="F12" i="40"/>
  <c r="H12" i="39"/>
  <c r="C24" i="68"/>
  <c r="C29" i="68"/>
  <c r="E516" i="3"/>
  <c r="D1" i="71"/>
  <c r="O6" i="1"/>
  <c r="C15" i="43"/>
  <c r="P6" i="1"/>
  <c r="J60" i="74"/>
  <c r="J61" i="74" s="1"/>
  <c r="Q50" i="74" s="1"/>
  <c r="I106" i="46"/>
  <c r="I103" i="46"/>
  <c r="I107" i="46"/>
  <c r="Q75" i="74"/>
  <c r="D21" i="70"/>
  <c r="C21" i="70" s="1"/>
  <c r="D21" i="12"/>
  <c r="C21" i="12" s="1"/>
  <c r="D21" i="69"/>
  <c r="C21" i="69" s="1"/>
  <c r="D12" i="11"/>
  <c r="C12" i="11" s="1"/>
  <c r="F1" i="74"/>
  <c r="Q63" i="76"/>
  <c r="F1" i="75"/>
  <c r="C34" i="68"/>
  <c r="D33" i="68" s="1"/>
  <c r="Q63" i="74"/>
  <c r="Q76" i="75"/>
  <c r="Q62" i="76"/>
  <c r="F1" i="76"/>
  <c r="Q62" i="75"/>
  <c r="D22" i="46"/>
  <c r="C109" i="73"/>
  <c r="C107" i="73"/>
  <c r="C105" i="73"/>
  <c r="C103" i="73"/>
  <c r="C104" i="73"/>
  <c r="C106" i="73"/>
  <c r="C102" i="73"/>
  <c r="K109" i="73"/>
  <c r="K107" i="73"/>
  <c r="K105" i="73"/>
  <c r="K103" i="73"/>
  <c r="K104" i="73"/>
  <c r="K106" i="73"/>
  <c r="K102" i="73"/>
  <c r="C107" i="46"/>
  <c r="C103" i="46"/>
  <c r="C104" i="46"/>
  <c r="C109" i="46"/>
  <c r="C106" i="46"/>
  <c r="C102" i="46"/>
  <c r="C105" i="46"/>
  <c r="I115" i="46"/>
  <c r="J115" i="46" s="1"/>
  <c r="K115" i="46" s="1"/>
  <c r="L115" i="46" s="1"/>
  <c r="M115" i="46" s="1"/>
  <c r="B117" i="46"/>
  <c r="C117" i="46" s="1"/>
  <c r="I118" i="46"/>
  <c r="J118" i="46" s="1"/>
  <c r="K118" i="46" s="1"/>
  <c r="L118" i="46" s="1"/>
  <c r="M118" i="46" s="1"/>
  <c r="D115" i="46"/>
  <c r="E115" i="46" s="1"/>
  <c r="F115" i="46" s="1"/>
  <c r="G115" i="46" s="1"/>
  <c r="H115" i="46" s="1"/>
  <c r="D116" i="46"/>
  <c r="E116" i="46" s="1"/>
  <c r="F116" i="46" s="1"/>
  <c r="G116" i="46" s="1"/>
  <c r="H116" i="46" s="1"/>
  <c r="B118" i="46"/>
  <c r="C118" i="46" s="1"/>
  <c r="D118" i="46"/>
  <c r="E118" i="46" s="1"/>
  <c r="F118" i="46" s="1"/>
  <c r="I117" i="46"/>
  <c r="J117" i="46" s="1"/>
  <c r="K117" i="46" s="1"/>
  <c r="L117" i="46" s="1"/>
  <c r="M117" i="46" s="1"/>
  <c r="B116" i="46"/>
  <c r="C116" i="46" s="1"/>
  <c r="D117" i="46"/>
  <c r="E117" i="46" s="1"/>
  <c r="F117" i="46" s="1"/>
  <c r="G117" i="46" s="1"/>
  <c r="H117" i="46" s="1"/>
  <c r="I116" i="46"/>
  <c r="J116" i="46" s="1"/>
  <c r="K116" i="46" s="1"/>
  <c r="L116" i="46" s="1"/>
  <c r="M116" i="46" s="1"/>
  <c r="B115" i="46"/>
  <c r="G118" i="46"/>
  <c r="H118" i="46" s="1"/>
  <c r="E107" i="46"/>
  <c r="E103" i="46"/>
  <c r="E102" i="46"/>
  <c r="E104" i="46"/>
  <c r="E105" i="46"/>
  <c r="E106" i="46"/>
  <c r="E109" i="46"/>
  <c r="F103" i="46"/>
  <c r="F104" i="46"/>
  <c r="F106" i="46"/>
  <c r="F107" i="46"/>
  <c r="F102" i="46"/>
  <c r="F109" i="46"/>
  <c r="F105" i="46"/>
  <c r="J109" i="72"/>
  <c r="J107" i="72"/>
  <c r="J105" i="72"/>
  <c r="J103" i="72"/>
  <c r="J106" i="72"/>
  <c r="J104" i="72"/>
  <c r="J102" i="72"/>
  <c r="D109" i="72"/>
  <c r="D107" i="72"/>
  <c r="D105" i="72"/>
  <c r="D103" i="72"/>
  <c r="D106" i="72"/>
  <c r="D104" i="72"/>
  <c r="D102" i="72"/>
  <c r="E109" i="72"/>
  <c r="E107" i="72"/>
  <c r="E105" i="72"/>
  <c r="E103" i="72"/>
  <c r="E106" i="72"/>
  <c r="E104" i="72"/>
  <c r="E102" i="72"/>
  <c r="M109" i="72"/>
  <c r="M107" i="72"/>
  <c r="M105" i="72"/>
  <c r="M103" i="72"/>
  <c r="M106" i="72"/>
  <c r="M104" i="72"/>
  <c r="M102" i="72"/>
  <c r="F109" i="72"/>
  <c r="F107" i="72"/>
  <c r="F105" i="72"/>
  <c r="F103" i="72"/>
  <c r="F104" i="72"/>
  <c r="F106" i="72"/>
  <c r="F102" i="72"/>
  <c r="C109" i="72"/>
  <c r="C107" i="72"/>
  <c r="C105" i="72"/>
  <c r="C103" i="72"/>
  <c r="C106" i="72"/>
  <c r="C102" i="72"/>
  <c r="C104" i="72"/>
  <c r="K109" i="72"/>
  <c r="K107" i="72"/>
  <c r="K105" i="72"/>
  <c r="K103" i="72"/>
  <c r="K106" i="72"/>
  <c r="K102" i="72"/>
  <c r="K104" i="72"/>
  <c r="D22" i="73"/>
  <c r="J109" i="73"/>
  <c r="J107" i="73"/>
  <c r="J105" i="73"/>
  <c r="J103" i="73"/>
  <c r="J104" i="73"/>
  <c r="J106" i="73"/>
  <c r="J102" i="73"/>
  <c r="D109" i="73"/>
  <c r="D107" i="73"/>
  <c r="D105" i="73"/>
  <c r="D103" i="73"/>
  <c r="D106" i="73"/>
  <c r="D102" i="73"/>
  <c r="D104" i="73"/>
  <c r="E109" i="73"/>
  <c r="E107" i="73"/>
  <c r="E105" i="73"/>
  <c r="E103" i="73"/>
  <c r="E106" i="73"/>
  <c r="E102" i="73"/>
  <c r="E104" i="73"/>
  <c r="M109" i="73"/>
  <c r="M107" i="73"/>
  <c r="M105" i="73"/>
  <c r="M103" i="73"/>
  <c r="M106" i="73"/>
  <c r="M102" i="73"/>
  <c r="M104" i="73"/>
  <c r="F109" i="73"/>
  <c r="F107" i="73"/>
  <c r="F105" i="73"/>
  <c r="F103" i="73"/>
  <c r="F106" i="73"/>
  <c r="F102" i="73"/>
  <c r="F104" i="73"/>
  <c r="L109" i="73"/>
  <c r="L107" i="73"/>
  <c r="L105" i="73"/>
  <c r="L103" i="73"/>
  <c r="L104" i="73"/>
  <c r="L106" i="73"/>
  <c r="L102" i="73"/>
  <c r="I109" i="73"/>
  <c r="I107" i="73"/>
  <c r="I105" i="73"/>
  <c r="I103" i="73"/>
  <c r="I104" i="73"/>
  <c r="I106" i="73"/>
  <c r="I102" i="73"/>
  <c r="N109" i="73"/>
  <c r="N107" i="73"/>
  <c r="N105" i="73"/>
  <c r="N103" i="73"/>
  <c r="N104" i="73"/>
  <c r="N106" i="73"/>
  <c r="N102" i="73"/>
  <c r="H109" i="73"/>
  <c r="H107" i="73"/>
  <c r="H105" i="73"/>
  <c r="H103" i="73"/>
  <c r="H106" i="73"/>
  <c r="H102" i="73"/>
  <c r="H104" i="73"/>
  <c r="G109" i="73"/>
  <c r="G107" i="73"/>
  <c r="G105" i="73"/>
  <c r="G103" i="73"/>
  <c r="G106" i="73"/>
  <c r="G102" i="73"/>
  <c r="G104" i="73"/>
  <c r="D118" i="73"/>
  <c r="E118" i="73" s="1"/>
  <c r="F118" i="73" s="1"/>
  <c r="D117" i="73"/>
  <c r="E117" i="73" s="1"/>
  <c r="F117" i="73" s="1"/>
  <c r="G117" i="73" s="1"/>
  <c r="H117" i="73" s="1"/>
  <c r="D116" i="73"/>
  <c r="E116" i="73" s="1"/>
  <c r="F116" i="73" s="1"/>
  <c r="G116" i="73" s="1"/>
  <c r="H116" i="73" s="1"/>
  <c r="D115" i="73"/>
  <c r="E115" i="73" s="1"/>
  <c r="F115" i="73" s="1"/>
  <c r="G115" i="73" s="1"/>
  <c r="H115" i="73" s="1"/>
  <c r="I118" i="73"/>
  <c r="J118" i="73" s="1"/>
  <c r="K118" i="73" s="1"/>
  <c r="L118" i="73" s="1"/>
  <c r="M118" i="73" s="1"/>
  <c r="I116" i="73"/>
  <c r="J116" i="73" s="1"/>
  <c r="K116" i="73" s="1"/>
  <c r="L116" i="73" s="1"/>
  <c r="M116" i="73" s="1"/>
  <c r="G118" i="73"/>
  <c r="H118" i="73" s="1"/>
  <c r="B118" i="73"/>
  <c r="C118" i="73" s="1"/>
  <c r="B116" i="73"/>
  <c r="C116" i="73" s="1"/>
  <c r="I117" i="73"/>
  <c r="J117" i="73" s="1"/>
  <c r="K117" i="73" s="1"/>
  <c r="L117" i="73" s="1"/>
  <c r="M117" i="73" s="1"/>
  <c r="B117" i="73"/>
  <c r="C117" i="73" s="1"/>
  <c r="B115" i="73"/>
  <c r="I115" i="73"/>
  <c r="J115" i="73" s="1"/>
  <c r="K115" i="73" s="1"/>
  <c r="L115" i="73" s="1"/>
  <c r="M115" i="73" s="1"/>
  <c r="J107" i="46"/>
  <c r="J106" i="46"/>
  <c r="J103" i="46"/>
  <c r="J109" i="46"/>
  <c r="J104" i="46"/>
  <c r="J105" i="46"/>
  <c r="J102" i="46"/>
  <c r="N104" i="46"/>
  <c r="N103" i="46"/>
  <c r="N106" i="46"/>
  <c r="N105" i="46"/>
  <c r="N107" i="46"/>
  <c r="N109" i="46"/>
  <c r="N102" i="46"/>
  <c r="G106" i="46"/>
  <c r="G103" i="46"/>
  <c r="G102" i="46"/>
  <c r="G109" i="46"/>
  <c r="G104" i="46"/>
  <c r="G107" i="46"/>
  <c r="G105" i="46"/>
  <c r="L107" i="46"/>
  <c r="L103" i="46"/>
  <c r="L106" i="46"/>
  <c r="L109" i="46"/>
  <c r="L105" i="46"/>
  <c r="L102" i="46"/>
  <c r="L104" i="46"/>
  <c r="K102" i="46"/>
  <c r="K107" i="46"/>
  <c r="K106" i="46"/>
  <c r="K109" i="46"/>
  <c r="K105" i="46"/>
  <c r="K104" i="46"/>
  <c r="K103" i="46"/>
  <c r="L109" i="72"/>
  <c r="L107" i="72"/>
  <c r="L105" i="72"/>
  <c r="L103" i="72"/>
  <c r="L106" i="72"/>
  <c r="L104" i="72"/>
  <c r="L102" i="72"/>
  <c r="I109" i="72"/>
  <c r="I105" i="72"/>
  <c r="I106" i="72"/>
  <c r="I102" i="72"/>
  <c r="N109" i="72"/>
  <c r="N107" i="72"/>
  <c r="N105" i="72"/>
  <c r="N103" i="72"/>
  <c r="N106" i="72"/>
  <c r="N102" i="72"/>
  <c r="N104" i="72"/>
  <c r="H109" i="72"/>
  <c r="H107" i="72"/>
  <c r="H105" i="72"/>
  <c r="H103" i="72"/>
  <c r="H104" i="72"/>
  <c r="H106" i="72"/>
  <c r="H102" i="72"/>
  <c r="G109" i="72"/>
  <c r="G107" i="72"/>
  <c r="G105" i="72"/>
  <c r="G103" i="72"/>
  <c r="G104" i="72"/>
  <c r="G106" i="72"/>
  <c r="G102" i="72"/>
  <c r="D118" i="72"/>
  <c r="E118" i="72" s="1"/>
  <c r="F118" i="72" s="1"/>
  <c r="D117" i="72"/>
  <c r="E117" i="72" s="1"/>
  <c r="F117" i="72" s="1"/>
  <c r="G117" i="72" s="1"/>
  <c r="H117" i="72" s="1"/>
  <c r="D116" i="72"/>
  <c r="E116" i="72" s="1"/>
  <c r="F116" i="72" s="1"/>
  <c r="G116" i="72" s="1"/>
  <c r="H116" i="72" s="1"/>
  <c r="D115" i="72"/>
  <c r="E115" i="72" s="1"/>
  <c r="F115" i="72" s="1"/>
  <c r="G115" i="72" s="1"/>
  <c r="H115" i="72" s="1"/>
  <c r="I118" i="72"/>
  <c r="J118" i="72" s="1"/>
  <c r="K118" i="72" s="1"/>
  <c r="L118" i="72" s="1"/>
  <c r="M118" i="72" s="1"/>
  <c r="I116" i="72"/>
  <c r="J116" i="72" s="1"/>
  <c r="K116" i="72" s="1"/>
  <c r="L116" i="72" s="1"/>
  <c r="M116" i="72" s="1"/>
  <c r="G118" i="72"/>
  <c r="H118" i="72" s="1"/>
  <c r="B117" i="72"/>
  <c r="C117" i="72" s="1"/>
  <c r="B115" i="72"/>
  <c r="I115" i="72"/>
  <c r="J115" i="72" s="1"/>
  <c r="K115" i="72" s="1"/>
  <c r="L115" i="72" s="1"/>
  <c r="M115" i="72" s="1"/>
  <c r="B118" i="72"/>
  <c r="C118" i="72" s="1"/>
  <c r="B116" i="72"/>
  <c r="C116" i="72" s="1"/>
  <c r="I117" i="72"/>
  <c r="J117" i="72" s="1"/>
  <c r="K117" i="72" s="1"/>
  <c r="L117" i="72" s="1"/>
  <c r="M117" i="72" s="1"/>
  <c r="F65" i="40"/>
  <c r="E67" i="40"/>
  <c r="F13" i="76"/>
  <c r="C12" i="76" s="1"/>
  <c r="C7" i="76" s="1"/>
  <c r="M13" i="76"/>
  <c r="J12" i="76" s="1"/>
  <c r="J7" i="76" s="1"/>
  <c r="F13" i="75"/>
  <c r="C12" i="75" s="1"/>
  <c r="C7" i="75" s="1"/>
  <c r="M13" i="75"/>
  <c r="J12" i="75" s="1"/>
  <c r="J7" i="75" s="1"/>
  <c r="F13" i="74"/>
  <c r="C12" i="74" s="1"/>
  <c r="C7" i="74" s="1"/>
  <c r="M13" i="74"/>
  <c r="J12" i="74" s="1"/>
  <c r="J7" i="74" s="1"/>
  <c r="E20" i="73"/>
  <c r="E20" i="72"/>
  <c r="E20" i="71"/>
  <c r="J1" i="65"/>
  <c r="I1" i="65"/>
  <c r="E20" i="46"/>
  <c r="AC7" i="21"/>
  <c r="V48" i="21" s="1"/>
  <c r="I48" i="21" s="1"/>
  <c r="W7" i="21"/>
  <c r="I40" i="36"/>
  <c r="J40" i="36" s="1"/>
  <c r="K19" i="6"/>
  <c r="S6" i="1" s="1"/>
  <c r="K20" i="6"/>
  <c r="K14" i="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H72" i="39"/>
  <c r="I70" i="39"/>
  <c r="G47" i="37"/>
  <c r="H47" i="37" s="1"/>
  <c r="G46" i="37"/>
  <c r="H46" i="37" s="1"/>
  <c r="E13" i="3"/>
  <c r="F1" i="71" s="1"/>
  <c r="R49" i="21"/>
  <c r="E48" i="21"/>
  <c r="E36" i="36"/>
  <c r="R37" i="36"/>
  <c r="F59" i="34"/>
  <c r="H7" i="33"/>
  <c r="W26" i="35"/>
  <c r="AC26" i="35"/>
  <c r="E540" i="3"/>
  <c r="D8" i="59"/>
  <c r="D7" i="59" s="1"/>
  <c r="R43" i="37"/>
  <c r="E42" i="37"/>
  <c r="I46" i="37"/>
  <c r="J46" i="37" s="1"/>
  <c r="E61" i="40"/>
  <c r="E66" i="39"/>
  <c r="E67" i="39"/>
  <c r="E62" i="40"/>
  <c r="E16" i="6"/>
  <c r="T31" i="59"/>
  <c r="D31" i="59"/>
  <c r="C23" i="59"/>
  <c r="D22" i="59"/>
  <c r="Q75" i="15"/>
  <c r="Q62" i="15"/>
  <c r="E86" i="3"/>
  <c r="AO6" i="3"/>
  <c r="E476" i="3"/>
  <c r="E411" i="3"/>
  <c r="E283" i="3"/>
  <c r="E395" i="3"/>
  <c r="E23" i="3"/>
  <c r="E250" i="3"/>
  <c r="E443" i="3"/>
  <c r="E41" i="3"/>
  <c r="E156" i="3"/>
  <c r="E280" i="3"/>
  <c r="E265" i="3"/>
  <c r="E471" i="3"/>
  <c r="E381" i="3"/>
  <c r="E59" i="3"/>
  <c r="E418" i="3"/>
  <c r="E49" i="3"/>
  <c r="E270" i="3"/>
  <c r="AM6" i="3"/>
  <c r="E408" i="3"/>
  <c r="E427" i="3"/>
  <c r="E464" i="3"/>
  <c r="E78" i="3"/>
  <c r="E92" i="3"/>
  <c r="E193" i="3"/>
  <c r="E157" i="3"/>
  <c r="E337" i="3"/>
  <c r="E238" i="3"/>
  <c r="E278" i="3"/>
  <c r="E209" i="3"/>
  <c r="E390" i="3"/>
  <c r="E414" i="3"/>
  <c r="E104" i="3"/>
  <c r="E161" i="3"/>
  <c r="E158" i="3"/>
  <c r="E44" i="3"/>
  <c r="E94" i="3"/>
  <c r="E450" i="3"/>
  <c r="E296" i="3"/>
  <c r="E202" i="3"/>
  <c r="E472" i="3"/>
  <c r="E83" i="3"/>
  <c r="AA6" i="3"/>
  <c r="E127" i="3"/>
  <c r="AD6" i="3"/>
  <c r="E311" i="3"/>
  <c r="E266" i="3"/>
  <c r="E222" i="3"/>
  <c r="E263" i="3"/>
  <c r="E215" i="3"/>
  <c r="E388" i="3"/>
  <c r="E424" i="3"/>
  <c r="I6" i="3"/>
  <c r="E430" i="3"/>
  <c r="E103" i="3"/>
  <c r="E82" i="3"/>
  <c r="E548" i="3"/>
  <c r="E146" i="3"/>
  <c r="E200" i="3"/>
  <c r="E164" i="3"/>
  <c r="E77" i="3"/>
  <c r="E62" i="3"/>
  <c r="E99" i="3"/>
  <c r="E454" i="3"/>
  <c r="E434" i="3"/>
  <c r="E389" i="3"/>
  <c r="E262" i="3"/>
  <c r="E552" i="3"/>
  <c r="E230" i="3"/>
  <c r="E101"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E383" i="3"/>
  <c r="E455" i="3"/>
  <c r="W6" i="3"/>
  <c r="E232" i="3"/>
  <c r="E293" i="3"/>
  <c r="E190" i="3"/>
  <c r="E189" i="3"/>
  <c r="E37" i="3"/>
  <c r="E420" i="3"/>
  <c r="E111" i="3"/>
  <c r="E303" i="3"/>
  <c r="E233" i="3"/>
  <c r="E275" i="3"/>
  <c r="E261" i="3"/>
  <c r="E203" i="3"/>
  <c r="E39" i="3"/>
  <c r="E467" i="3"/>
  <c r="E402" i="3"/>
  <c r="E429" i="3"/>
  <c r="E107" i="3"/>
  <c r="E67" i="3"/>
  <c r="E172" i="3"/>
  <c r="E288" i="3"/>
  <c r="E214" i="3"/>
  <c r="E255" i="3"/>
  <c r="E393" i="3"/>
  <c r="E486" i="3"/>
  <c r="E417" i="3"/>
  <c r="E465" i="3"/>
  <c r="E88" i="3"/>
  <c r="E145" i="3"/>
  <c r="E154" i="3"/>
  <c r="E480" i="3"/>
  <c r="E264" i="3"/>
  <c r="E279" i="3"/>
  <c r="E243" i="3"/>
  <c r="E220" i="3"/>
  <c r="E369" i="3"/>
  <c r="E347" i="3"/>
  <c r="E309" i="3"/>
  <c r="E400" i="3"/>
  <c r="E448" i="3"/>
  <c r="E453" i="3"/>
  <c r="E105" i="3"/>
  <c r="E58" i="3"/>
  <c r="E74" i="3"/>
  <c r="AQ6" i="3"/>
  <c r="E197" i="3"/>
  <c r="E121" i="3"/>
  <c r="E162" i="3"/>
  <c r="E285" i="3"/>
  <c r="E224" i="3"/>
  <c r="E235" i="3"/>
  <c r="E419" i="3"/>
  <c r="E61" i="3"/>
  <c r="E123" i="3"/>
  <c r="E229" i="3"/>
  <c r="E302" i="3"/>
  <c r="E433" i="3"/>
  <c r="E66" i="3"/>
  <c r="E120" i="3"/>
  <c r="E386" i="3"/>
  <c r="E529" i="3"/>
  <c r="E76" i="3"/>
  <c r="E191" i="3"/>
  <c r="E287" i="3"/>
  <c r="E24" i="3"/>
  <c r="E188" i="3"/>
  <c r="E379" i="3"/>
  <c r="E271" i="3"/>
  <c r="E355" i="3"/>
  <c r="E306" i="3"/>
  <c r="E493" i="3"/>
  <c r="E558" i="3"/>
  <c r="E551" i="3"/>
  <c r="E403" i="3"/>
  <c r="E108" i="3"/>
  <c r="E173" i="3"/>
  <c r="E246" i="3"/>
  <c r="E217" i="3"/>
  <c r="E81" i="3"/>
  <c r="E436" i="3"/>
  <c r="E16" i="3"/>
  <c r="E177" i="3"/>
  <c r="E277" i="3"/>
  <c r="E260" i="3"/>
  <c r="E307" i="3"/>
  <c r="E524" i="3"/>
  <c r="E432" i="3"/>
  <c r="E95" i="3"/>
  <c r="E90" i="3"/>
  <c r="E19" i="3"/>
  <c r="E153" i="3"/>
  <c r="E210" i="3"/>
  <c r="E212" i="3"/>
  <c r="E339" i="3"/>
  <c r="E298" i="3"/>
  <c r="E106" i="3"/>
  <c r="E35" i="3"/>
  <c r="E361" i="3"/>
  <c r="E169" i="3"/>
  <c r="E118" i="3"/>
  <c r="E315" i="3"/>
  <c r="E226" i="3"/>
  <c r="E267" i="3"/>
  <c r="E323" i="3"/>
  <c r="E312" i="3"/>
  <c r="E364" i="3"/>
  <c r="E351" i="3"/>
  <c r="E514" i="3"/>
  <c r="E342" i="3"/>
  <c r="AL6" i="3"/>
  <c r="E512" i="3"/>
  <c r="E384" i="3"/>
  <c r="E371" i="3"/>
  <c r="E310" i="3"/>
  <c r="E567" i="3"/>
  <c r="E487" i="3"/>
  <c r="E329" i="3"/>
  <c r="E227" i="3"/>
  <c r="E406" i="3"/>
  <c r="E26" i="3"/>
  <c r="S6" i="3"/>
  <c r="E244" i="3"/>
  <c r="E322" i="3"/>
  <c r="E71" i="3"/>
  <c r="E137" i="3"/>
  <c r="E17" i="3"/>
  <c r="E240" i="3"/>
  <c r="E301" i="3"/>
  <c r="E382" i="3"/>
  <c r="E358" i="3"/>
  <c r="E326" i="3"/>
  <c r="E356" i="3"/>
  <c r="E561" i="3"/>
  <c r="E413" i="3"/>
  <c r="E297" i="3"/>
  <c r="M6" i="3"/>
  <c r="E475" i="3"/>
  <c r="E241"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84" i="3"/>
  <c r="E142" i="3"/>
  <c r="AP6" i="3"/>
  <c r="E410" i="3"/>
  <c r="E431" i="3"/>
  <c r="E468" i="3"/>
  <c r="E70" i="3"/>
  <c r="E109" i="3"/>
  <c r="E38" i="3"/>
  <c r="E185" i="3"/>
  <c r="E151"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251" i="3"/>
  <c r="E354" i="3"/>
  <c r="E56" i="3"/>
  <c r="E531" i="3"/>
  <c r="E122" i="3"/>
  <c r="E495" i="3"/>
  <c r="E208" i="3"/>
  <c r="E485" i="3"/>
  <c r="E335" i="3"/>
  <c r="E483" i="3"/>
  <c r="E532" i="3"/>
  <c r="E330" i="3"/>
  <c r="E340" i="3"/>
  <c r="E350" i="3"/>
  <c r="E521" i="3"/>
  <c r="E130" i="3"/>
  <c r="E352" i="3"/>
  <c r="E461" i="3"/>
  <c r="E138" i="3"/>
  <c r="E328" i="3"/>
  <c r="E519" i="3"/>
  <c r="E252" i="3"/>
  <c r="E346" i="3"/>
  <c r="E544" i="3"/>
  <c r="E541" i="3"/>
  <c r="E557" i="3"/>
  <c r="E68" i="3"/>
  <c r="E192" i="3"/>
  <c r="E135"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66" i="3"/>
  <c r="E308" i="3"/>
  <c r="E155" i="3"/>
  <c r="E344" i="3"/>
  <c r="E385" i="3"/>
  <c r="E180" i="3"/>
  <c r="E159" i="3"/>
  <c r="E538" i="3"/>
  <c r="E372" i="3"/>
  <c r="E300" i="3"/>
  <c r="E186" i="3"/>
  <c r="E124" i="3"/>
  <c r="E378" i="3"/>
  <c r="E492" i="3"/>
  <c r="E550" i="3"/>
  <c r="E510" i="3"/>
  <c r="AB6" i="3"/>
  <c r="V6" i="3"/>
  <c r="AT6" i="3"/>
  <c r="AK6" i="3"/>
  <c r="AE6" i="3"/>
  <c r="E564" i="3"/>
  <c r="E555" i="3"/>
  <c r="E533" i="3"/>
  <c r="E517" i="3"/>
  <c r="E509" i="3"/>
  <c r="E508" i="3"/>
  <c r="E507" i="3"/>
  <c r="E505" i="3"/>
  <c r="E500" i="3"/>
  <c r="E498" i="3"/>
  <c r="E488" i="3"/>
  <c r="E14" i="3"/>
  <c r="E484" i="3"/>
  <c r="E560" i="3"/>
  <c r="E523" i="3"/>
  <c r="E343" i="3"/>
  <c r="E171" i="3"/>
  <c r="E148" i="3"/>
  <c r="E377" i="3"/>
  <c r="E163" i="3"/>
  <c r="E501" i="3"/>
  <c r="E327" i="3"/>
  <c r="E194" i="3"/>
  <c r="E182" i="3"/>
  <c r="E116" i="3"/>
  <c r="E299" i="3"/>
  <c r="E530" i="3"/>
  <c r="E18" i="3"/>
  <c r="E499" i="3"/>
  <c r="E572" i="3"/>
  <c r="Z6" i="3"/>
  <c r="L6" i="3"/>
  <c r="AN6" i="3"/>
  <c r="AG6" i="3"/>
  <c r="E543" i="3"/>
  <c r="E535" i="3"/>
  <c r="E534" i="3"/>
  <c r="E520" i="3"/>
  <c r="E511" i="3"/>
  <c r="E481" i="3"/>
  <c r="E20" i="3"/>
  <c r="E368" i="3"/>
  <c r="E522" i="3"/>
  <c r="E3" i="6"/>
  <c r="AY6" i="3"/>
  <c r="W7" i="33"/>
  <c r="AC7" i="33"/>
  <c r="V48" i="33" s="1"/>
  <c r="I48" i="33" s="1"/>
  <c r="U26" i="35"/>
  <c r="AB26" i="35"/>
  <c r="G48" i="35"/>
  <c r="H48" i="35" s="1"/>
  <c r="I48" i="35" s="1"/>
  <c r="J48" i="35" s="1"/>
  <c r="K48" i="35" s="1"/>
  <c r="L48" i="35" s="1"/>
  <c r="M48" i="35" s="1"/>
  <c r="N48" i="35" s="1"/>
  <c r="O48" i="35" s="1"/>
  <c r="J7" i="35" s="1"/>
  <c r="E504" i="3"/>
  <c r="T43" i="59"/>
  <c r="D43" i="59"/>
  <c r="T51" i="59"/>
  <c r="D51" i="59"/>
  <c r="G40" i="36"/>
  <c r="H40" i="36" s="1"/>
  <c r="G41" i="36"/>
  <c r="H41" i="36" s="1"/>
  <c r="G52" i="21"/>
  <c r="H52" i="21" s="1"/>
  <c r="G53" i="21"/>
  <c r="H53" i="21" s="1"/>
  <c r="E60" i="40"/>
  <c r="E65" i="39"/>
  <c r="E63" i="39"/>
  <c r="E58" i="40"/>
  <c r="E59" i="40"/>
  <c r="E64" i="39"/>
  <c r="E496" i="3"/>
  <c r="F7" i="33"/>
  <c r="F1" i="15"/>
  <c r="Q53" i="15"/>
  <c r="C48" i="15"/>
  <c r="J6" i="15"/>
  <c r="Q74" i="15"/>
  <c r="Q61" i="15"/>
  <c r="F11" i="15"/>
  <c r="F13" i="44"/>
  <c r="C12" i="44" s="1"/>
  <c r="C7" i="44" s="1"/>
  <c r="M11" i="15"/>
  <c r="J10" i="15" s="1"/>
  <c r="M13" i="44"/>
  <c r="J12" i="44" s="1"/>
  <c r="J7" i="44" s="1"/>
  <c r="C19" i="74"/>
  <c r="AE6" i="1"/>
  <c r="E2" i="65"/>
  <c r="E3" i="65"/>
  <c r="I104" i="72" l="1"/>
  <c r="I103" i="72"/>
  <c r="D22" i="72"/>
  <c r="N72" i="71"/>
  <c r="D72" i="71"/>
  <c r="J71" i="71"/>
  <c r="D71" i="71"/>
  <c r="E69" i="71" s="1"/>
  <c r="B67" i="71" s="1"/>
  <c r="C24" i="71" s="1"/>
  <c r="U7" i="59"/>
  <c r="D6" i="59"/>
  <c r="D5" i="59" s="1"/>
  <c r="AA12" i="40"/>
  <c r="S12" i="40"/>
  <c r="AA12" i="39"/>
  <c r="S12" i="39"/>
  <c r="AB12" i="39"/>
  <c r="U12" i="39"/>
  <c r="C15" i="70"/>
  <c r="C15" i="69"/>
  <c r="C15" i="12"/>
  <c r="AG6" i="1"/>
  <c r="M20" i="6"/>
  <c r="I20" i="6" s="1"/>
  <c r="S20" i="6" s="1"/>
  <c r="S7" i="1"/>
  <c r="H6" i="3"/>
  <c r="AC6" i="3"/>
  <c r="D16" i="70"/>
  <c r="D16" i="69"/>
  <c r="C115" i="72"/>
  <c r="D113" i="72" s="1"/>
  <c r="C115" i="73"/>
  <c r="D113" i="73" s="1"/>
  <c r="S7" i="46"/>
  <c r="S6" i="46"/>
  <c r="S2" i="46"/>
  <c r="S5" i="46"/>
  <c r="S4" i="46"/>
  <c r="S3" i="46"/>
  <c r="S6" i="72"/>
  <c r="S3" i="72"/>
  <c r="S7" i="72"/>
  <c r="S4" i="72"/>
  <c r="S5" i="72"/>
  <c r="S2" i="72"/>
  <c r="C115" i="46"/>
  <c r="D113" i="46" s="1"/>
  <c r="S6" i="73"/>
  <c r="S3" i="73"/>
  <c r="S7" i="73"/>
  <c r="S4" i="73"/>
  <c r="S5" i="73"/>
  <c r="S2" i="73"/>
  <c r="H7" i="35"/>
  <c r="F67" i="40"/>
  <c r="G65" i="40"/>
  <c r="J28" i="76"/>
  <c r="J31" i="76" s="1"/>
  <c r="J26" i="76"/>
  <c r="J20" i="76"/>
  <c r="C40" i="76"/>
  <c r="C34" i="76"/>
  <c r="J28" i="75"/>
  <c r="J31" i="75" s="1"/>
  <c r="J26" i="75"/>
  <c r="J20" i="75"/>
  <c r="C40" i="75"/>
  <c r="C34" i="75"/>
  <c r="J28" i="74"/>
  <c r="J26" i="74"/>
  <c r="J20" i="74"/>
  <c r="C40" i="74"/>
  <c r="C34" i="74"/>
  <c r="O17" i="73"/>
  <c r="M17" i="73"/>
  <c r="P17" i="73"/>
  <c r="N17" i="73"/>
  <c r="O17" i="72"/>
  <c r="M17" i="72"/>
  <c r="P17" i="72"/>
  <c r="N17" i="72"/>
  <c r="O17" i="71"/>
  <c r="G20" i="71" s="1"/>
  <c r="C20" i="71" s="1"/>
  <c r="M17" i="71"/>
  <c r="P17" i="71"/>
  <c r="N17" i="71"/>
  <c r="B40" i="1"/>
  <c r="F17" i="11"/>
  <c r="C17" i="11" s="1"/>
  <c r="C19" i="11" s="1"/>
  <c r="W7" i="35"/>
  <c r="AC7" i="35"/>
  <c r="V38" i="35" s="1"/>
  <c r="I38" i="35" s="1"/>
  <c r="C10" i="15"/>
  <c r="C5" i="15" s="1"/>
  <c r="C52" i="15"/>
  <c r="C47" i="15" s="1"/>
  <c r="AB7" i="35"/>
  <c r="T38" i="35" s="1"/>
  <c r="G38" i="35" s="1"/>
  <c r="U7" i="35"/>
  <c r="I52" i="33"/>
  <c r="J52" i="33"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230" i="3"/>
  <c r="AY412" i="3"/>
  <c r="AY201" i="3"/>
  <c r="AY543" i="3"/>
  <c r="AY352" i="3"/>
  <c r="AY330" i="3"/>
  <c r="AY35" i="3"/>
  <c r="AY99" i="3"/>
  <c r="AY236" i="3"/>
  <c r="AY525" i="3"/>
  <c r="AY273" i="3"/>
  <c r="AY428" i="3"/>
  <c r="AY494" i="3"/>
  <c r="AY526" i="3"/>
  <c r="AY566" i="3"/>
  <c r="AY48" i="3"/>
  <c r="AY212" i="3"/>
  <c r="AY19" i="3"/>
  <c r="AY488" i="3"/>
  <c r="AY215" i="3"/>
  <c r="BB6" i="3"/>
  <c r="AY513" i="3"/>
  <c r="AY322" i="3"/>
  <c r="AY113" i="3"/>
  <c r="AY267" i="3"/>
  <c r="AY557" i="3"/>
  <c r="AY395" i="3"/>
  <c r="AY192" i="3"/>
  <c r="AY363" i="3"/>
  <c r="AY478" i="3"/>
  <c r="AY189" i="3"/>
  <c r="AY353" i="3"/>
  <c r="AY470" i="3"/>
  <c r="AY460" i="3"/>
  <c r="AY173" i="3"/>
  <c r="AY338" i="3"/>
  <c r="AY119" i="3"/>
  <c r="AY312" i="3"/>
  <c r="AY59" i="3"/>
  <c r="AY284" i="3"/>
  <c r="AY533" i="3"/>
  <c r="AY444" i="3"/>
  <c r="AY522" i="3"/>
  <c r="AY79" i="3"/>
  <c r="AY89" i="3"/>
  <c r="AY210" i="3"/>
  <c r="AY313" i="3"/>
  <c r="AY455" i="3"/>
  <c r="AY261" i="3"/>
  <c r="AY33" i="3"/>
  <c r="AY243" i="3"/>
  <c r="BG6" i="3"/>
  <c r="AY462" i="3"/>
  <c r="AY373" i="3"/>
  <c r="AY165" i="3"/>
  <c r="AY301" i="3"/>
  <c r="AY570" i="3"/>
  <c r="AY466" i="3"/>
  <c r="AY255" i="3"/>
  <c r="AY496" i="3"/>
  <c r="AY521" i="3"/>
  <c r="AY474" i="3"/>
  <c r="AY354" i="3"/>
  <c r="AY482" i="3"/>
  <c r="BE6" i="3"/>
  <c r="AY441" i="3"/>
  <c r="AY121" i="3"/>
  <c r="AY491" i="3"/>
  <c r="AY508" i="3"/>
  <c r="D3" i="6"/>
  <c r="D6" i="7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302" i="3"/>
  <c r="AY340" i="3"/>
  <c r="AY342" i="3"/>
  <c r="AY542" i="3"/>
  <c r="AY450" i="3"/>
  <c r="AY101" i="3"/>
  <c r="AY194" i="3"/>
  <c r="AY132" i="3"/>
  <c r="AY122" i="3"/>
  <c r="AY272" i="3"/>
  <c r="AY279" i="3"/>
  <c r="AY382" i="3"/>
  <c r="AY307" i="3"/>
  <c r="AY305" i="3"/>
  <c r="AY16" i="3"/>
  <c r="AY420" i="3"/>
  <c r="AY457" i="3"/>
  <c r="AY405" i="3"/>
  <c r="AY438" i="3"/>
  <c r="AY555" i="3"/>
  <c r="AY429" i="3"/>
  <c r="AY278" i="3"/>
  <c r="AY188" i="3"/>
  <c r="BC6" i="3"/>
  <c r="AY442" i="3"/>
  <c r="AY336" i="3"/>
  <c r="AY143" i="3"/>
  <c r="AY43" i="3"/>
  <c r="AY253" i="3"/>
  <c r="AY157" i="3"/>
  <c r="AY572" i="3"/>
  <c r="AY308" i="3"/>
  <c r="AY501" i="3"/>
  <c r="AY528" i="3"/>
  <c r="AY91" i="3"/>
  <c r="AY124" i="3"/>
  <c r="AY449" i="3"/>
  <c r="AY481" i="3"/>
  <c r="AY516" i="3"/>
  <c r="AY207" i="3"/>
  <c r="BD6" i="3"/>
  <c r="AY510" i="3"/>
  <c r="AY567" i="3"/>
  <c r="AY40" i="3"/>
  <c r="AY276" i="3"/>
  <c r="AY401" i="3"/>
  <c r="AY538" i="3"/>
  <c r="AY281" i="3"/>
  <c r="AY436" i="3"/>
  <c r="AY495" i="3"/>
  <c r="AY534" i="3"/>
  <c r="AY568" i="3"/>
  <c r="AY61" i="3"/>
  <c r="AY251" i="3"/>
  <c r="AY347" i="3"/>
  <c r="AY451" i="3"/>
  <c r="AY23" i="3"/>
  <c r="AY296" i="3"/>
  <c r="AY345" i="3"/>
  <c r="AY54" i="3"/>
  <c r="AY237" i="3"/>
  <c r="AY387" i="3"/>
  <c r="AY545" i="3"/>
  <c r="AY418" i="3"/>
  <c r="AY393" i="3"/>
  <c r="AY410" i="3"/>
  <c r="AY339" i="3"/>
  <c r="AY434" i="3"/>
  <c r="BO6" i="3"/>
  <c r="AY56" i="3"/>
  <c r="AY433" i="3"/>
  <c r="AY289" i="3"/>
  <c r="AY490" i="3"/>
  <c r="AY512" i="3"/>
  <c r="AY547" i="3"/>
  <c r="AY93" i="3"/>
  <c r="AY134" i="3"/>
  <c r="AY306" i="3"/>
  <c r="AY419" i="3"/>
  <c r="AY102" i="3"/>
  <c r="AY130" i="3"/>
  <c r="AY297" i="3"/>
  <c r="AY125" i="3"/>
  <c r="AY332" i="3"/>
  <c r="AY473" i="3"/>
  <c r="AY426" i="3"/>
  <c r="AY196" i="3"/>
  <c r="AY551" i="3"/>
  <c r="AY51" i="3"/>
  <c r="AY541" i="3"/>
  <c r="AY94" i="3"/>
  <c r="AY167" i="3"/>
  <c r="AY511" i="3"/>
  <c r="AY439" i="3"/>
  <c r="AY536" i="3"/>
  <c r="AY180" i="3"/>
  <c r="BJ6" i="3"/>
  <c r="AY477" i="3"/>
  <c r="AY517" i="3"/>
  <c r="AY292" i="3"/>
  <c r="AY535" i="3"/>
  <c r="AY452" i="3"/>
  <c r="AY523" i="3"/>
  <c r="T23" i="59"/>
  <c r="D23" i="59"/>
  <c r="E46" i="37"/>
  <c r="F46" i="37" s="1"/>
  <c r="E47" i="37"/>
  <c r="F47" i="37" s="1"/>
  <c r="M20" i="46"/>
  <c r="C19" i="46" s="1"/>
  <c r="U7" i="33"/>
  <c r="AB7" i="33"/>
  <c r="T48" i="33" s="1"/>
  <c r="G48" i="33" s="1"/>
  <c r="G59" i="34"/>
  <c r="E40" i="36"/>
  <c r="F40" i="36" s="1"/>
  <c r="E41" i="36"/>
  <c r="F41" i="36" s="1"/>
  <c r="C48" i="21"/>
  <c r="C49" i="21"/>
  <c r="B3" i="21" s="1"/>
  <c r="B2" i="21" s="1"/>
  <c r="J70" i="39"/>
  <c r="I72" i="39"/>
  <c r="I41" i="36"/>
  <c r="J41" i="36" s="1"/>
  <c r="J20" i="44"/>
  <c r="J28" i="44"/>
  <c r="J26" i="44"/>
  <c r="C40" i="44"/>
  <c r="C34" i="44"/>
  <c r="J5" i="15"/>
  <c r="S7" i="33"/>
  <c r="AA7" i="33"/>
  <c r="R48" i="33" s="1"/>
  <c r="D16" i="43"/>
  <c r="C16" i="43" s="1"/>
  <c r="C21" i="4"/>
  <c r="O5" i="54" s="1"/>
  <c r="B45" i="63" s="1"/>
  <c r="D10" i="11"/>
  <c r="D46" i="9"/>
  <c r="D16" i="12"/>
  <c r="E6" i="6"/>
  <c r="L38" i="9"/>
  <c r="B14" i="66" s="1"/>
  <c r="B1" i="66" s="1"/>
  <c r="D44" i="9"/>
  <c r="D45" i="9"/>
  <c r="I47" i="37"/>
  <c r="J47" i="37" s="1"/>
  <c r="C43" i="37"/>
  <c r="B3" i="37" s="1"/>
  <c r="B2" i="37" s="1"/>
  <c r="C42" i="37"/>
  <c r="F7" i="35"/>
  <c r="C36" i="36"/>
  <c r="C37" i="36"/>
  <c r="B3" i="36" s="1"/>
  <c r="B2" i="36" s="1"/>
  <c r="E53" i="21"/>
  <c r="F53" i="21" s="1"/>
  <c r="E52" i="21"/>
  <c r="F52" i="21" s="1"/>
  <c r="M14" i="1"/>
  <c r="K16" i="1"/>
  <c r="M19" i="6"/>
  <c r="K27" i="6"/>
  <c r="I52" i="21"/>
  <c r="J52" i="21" s="1"/>
  <c r="I53" i="21"/>
  <c r="J53" i="21" s="1"/>
  <c r="O17" i="46"/>
  <c r="M17" i="46"/>
  <c r="P17" i="46"/>
  <c r="N17" i="46"/>
  <c r="F46" i="74"/>
  <c r="C19" i="76"/>
  <c r="D16" i="68"/>
  <c r="L52" i="74"/>
  <c r="F46" i="44"/>
  <c r="L52" i="75"/>
  <c r="L52" i="76"/>
  <c r="C17" i="15"/>
  <c r="L52" i="44"/>
  <c r="C19" i="75"/>
  <c r="C19" i="44"/>
  <c r="M29" i="74"/>
  <c r="E6" i="3" l="1"/>
  <c r="M20" i="73"/>
  <c r="C19" i="73" s="1"/>
  <c r="C39" i="73" s="1"/>
  <c r="G39" i="73" s="1"/>
  <c r="I39" i="73" s="1"/>
  <c r="M20" i="72"/>
  <c r="C19" i="72" s="1"/>
  <c r="T2" i="72" s="1"/>
  <c r="V2" i="72" s="1"/>
  <c r="T2" i="73"/>
  <c r="V2" i="73" s="1"/>
  <c r="T4" i="73"/>
  <c r="V4" i="73" s="1"/>
  <c r="T3" i="73"/>
  <c r="V3" i="73" s="1"/>
  <c r="M20" i="71"/>
  <c r="C19" i="71" s="1"/>
  <c r="C39" i="71" s="1"/>
  <c r="J31" i="44"/>
  <c r="Q67" i="44" s="1"/>
  <c r="J31" i="74"/>
  <c r="Q58" i="74" s="1"/>
  <c r="S16" i="1"/>
  <c r="T10" i="1" s="1"/>
  <c r="D19" i="68"/>
  <c r="C19" i="68" s="1"/>
  <c r="C16" i="68"/>
  <c r="D19" i="70"/>
  <c r="C19" i="70" s="1"/>
  <c r="C16" i="70"/>
  <c r="D19" i="69"/>
  <c r="C19" i="69" s="1"/>
  <c r="C16" i="69"/>
  <c r="D22" i="70"/>
  <c r="C22" i="70" s="1"/>
  <c r="C20" i="70" s="1"/>
  <c r="D22" i="69"/>
  <c r="C22" i="69" s="1"/>
  <c r="C20" i="69" s="1"/>
  <c r="G67" i="40"/>
  <c r="H65" i="40"/>
  <c r="Q69" i="76"/>
  <c r="L58" i="76"/>
  <c r="L61" i="76" s="1"/>
  <c r="L47" i="76" s="1"/>
  <c r="F26" i="75"/>
  <c r="C26" i="75" s="1"/>
  <c r="F26" i="76"/>
  <c r="Q67" i="76"/>
  <c r="Q58" i="76"/>
  <c r="Q49" i="76"/>
  <c r="Q55" i="76" s="1"/>
  <c r="Q69" i="75"/>
  <c r="L58" i="75"/>
  <c r="L61" i="75" s="1"/>
  <c r="L47" i="75" s="1"/>
  <c r="Q67" i="75"/>
  <c r="Q58" i="75"/>
  <c r="Q49" i="75"/>
  <c r="Q55" i="75" s="1"/>
  <c r="Q69" i="74"/>
  <c r="L58" i="74"/>
  <c r="L61" i="74" s="1"/>
  <c r="L47" i="74" s="1"/>
  <c r="F26" i="70"/>
  <c r="C27" i="70" s="1"/>
  <c r="D26" i="70" s="1"/>
  <c r="C32" i="70" s="1"/>
  <c r="D30" i="70" s="1"/>
  <c r="F26" i="74"/>
  <c r="Q67" i="74"/>
  <c r="F26" i="68"/>
  <c r="C27" i="68" s="1"/>
  <c r="D26" i="68" s="1"/>
  <c r="C32" i="68" s="1"/>
  <c r="D30" i="68" s="1"/>
  <c r="F26" i="69"/>
  <c r="Q69" i="44"/>
  <c r="L58" i="44"/>
  <c r="L61" i="44" s="1"/>
  <c r="L47" i="44" s="1"/>
  <c r="I19" i="6"/>
  <c r="M27" i="6"/>
  <c r="T13" i="1"/>
  <c r="O14" i="1"/>
  <c r="O16" i="1" s="1"/>
  <c r="T9" i="1"/>
  <c r="M16" i="1"/>
  <c r="S7" i="35"/>
  <c r="AA7" i="35"/>
  <c r="R38" i="35" s="1"/>
  <c r="C6" i="66"/>
  <c r="C8" i="66"/>
  <c r="C7" i="66"/>
  <c r="D19" i="12"/>
  <c r="C19" i="12" s="1"/>
  <c r="C16" i="12"/>
  <c r="G52" i="33"/>
  <c r="H52" i="33" s="1"/>
  <c r="G53" i="33"/>
  <c r="H53" i="33" s="1"/>
  <c r="T2" i="46"/>
  <c r="V2" i="46" s="1"/>
  <c r="T7" i="46"/>
  <c r="V7" i="46" s="1"/>
  <c r="C38" i="46"/>
  <c r="C29" i="46"/>
  <c r="T4" i="46"/>
  <c r="V4" i="46" s="1"/>
  <c r="T8" i="46"/>
  <c r="V8" i="46" s="1"/>
  <c r="T12" i="46"/>
  <c r="V12" i="46" s="1"/>
  <c r="T16" i="46"/>
  <c r="V16" i="46" s="1"/>
  <c r="T9" i="46"/>
  <c r="V9" i="46" s="1"/>
  <c r="T13" i="46"/>
  <c r="V13" i="46" s="1"/>
  <c r="C36" i="46"/>
  <c r="C33" i="46"/>
  <c r="C35" i="46"/>
  <c r="C39" i="46"/>
  <c r="C37" i="46"/>
  <c r="T3" i="46"/>
  <c r="V3" i="46" s="1"/>
  <c r="T6" i="46"/>
  <c r="V6" i="46" s="1"/>
  <c r="T10" i="46"/>
  <c r="V10" i="46" s="1"/>
  <c r="T14" i="46"/>
  <c r="V14" i="46" s="1"/>
  <c r="T5" i="46"/>
  <c r="V5" i="46" s="1"/>
  <c r="T11" i="46"/>
  <c r="V11" i="46" s="1"/>
  <c r="T15" i="46"/>
  <c r="V15" i="46" s="1"/>
  <c r="C34" i="46"/>
  <c r="C59" i="15"/>
  <c r="C65" i="15"/>
  <c r="C32" i="15"/>
  <c r="C38" i="15"/>
  <c r="I42" i="35"/>
  <c r="J42" i="35" s="1"/>
  <c r="C20" i="11"/>
  <c r="C21" i="11" s="1"/>
  <c r="C22" i="11" s="1"/>
  <c r="C23" i="11" s="1"/>
  <c r="B2" i="11" s="1"/>
  <c r="D22" i="12"/>
  <c r="C22" i="12" s="1"/>
  <c r="C20" i="12" s="1"/>
  <c r="D13" i="11"/>
  <c r="C13" i="11" s="1"/>
  <c r="E48" i="33"/>
  <c r="R49" i="33"/>
  <c r="J26" i="15"/>
  <c r="J29" i="15" s="1"/>
  <c r="J18" i="15"/>
  <c r="J24" i="15"/>
  <c r="J72" i="39"/>
  <c r="K70" i="39"/>
  <c r="H59" i="34"/>
  <c r="D19" i="6"/>
  <c r="D25" i="6"/>
  <c r="D13" i="6"/>
  <c r="H24" i="6"/>
  <c r="D14" i="6"/>
  <c r="D8" i="6"/>
  <c r="E63" i="40"/>
  <c r="K38" i="9"/>
  <c r="C14" i="66" s="1"/>
  <c r="B2" i="66" s="1"/>
  <c r="D24" i="6"/>
  <c r="D26" i="6"/>
  <c r="D22" i="6"/>
  <c r="D11" i="6"/>
  <c r="D12" i="6"/>
  <c r="H20" i="6"/>
  <c r="H25" i="6"/>
  <c r="D9" i="6"/>
  <c r="D5" i="6"/>
  <c r="D29" i="6"/>
  <c r="H22" i="6"/>
  <c r="D15" i="6"/>
  <c r="H26" i="6"/>
  <c r="E44" i="9"/>
  <c r="F46" i="9"/>
  <c r="E68" i="39"/>
  <c r="C22" i="4"/>
  <c r="D21" i="6"/>
  <c r="D10" i="6"/>
  <c r="H21" i="6"/>
  <c r="D6" i="6"/>
  <c r="D23" i="6"/>
  <c r="D28" i="6"/>
  <c r="D20" i="6"/>
  <c r="H23" i="6"/>
  <c r="F44" i="9"/>
  <c r="E46" i="9"/>
  <c r="F45" i="9"/>
  <c r="E45" i="9"/>
  <c r="G42" i="35"/>
  <c r="H42" i="35" s="1"/>
  <c r="G43" i="35"/>
  <c r="H43" i="35" s="1"/>
  <c r="F21" i="43"/>
  <c r="C23" i="43" s="1"/>
  <c r="D21" i="43" s="1"/>
  <c r="F26" i="44"/>
  <c r="C26" i="44" s="1"/>
  <c r="F24" i="15"/>
  <c r="C24" i="15" s="1"/>
  <c r="F26" i="12"/>
  <c r="C27" i="12" s="1"/>
  <c r="D26" i="12" s="1"/>
  <c r="C32" i="12" s="1"/>
  <c r="D30" i="12" s="1"/>
  <c r="D22" i="68"/>
  <c r="C16" i="44"/>
  <c r="T6" i="1" l="1"/>
  <c r="T12" i="1"/>
  <c r="T8" i="1"/>
  <c r="T11" i="1"/>
  <c r="T7" i="1"/>
  <c r="T6" i="73"/>
  <c r="V6" i="73" s="1"/>
  <c r="C33" i="73"/>
  <c r="G33" i="73" s="1"/>
  <c r="I33" i="73" s="1"/>
  <c r="T7" i="73"/>
  <c r="V7" i="73" s="1"/>
  <c r="T15" i="73"/>
  <c r="V15" i="73" s="1"/>
  <c r="T5" i="73"/>
  <c r="V5" i="73" s="1"/>
  <c r="T10" i="73"/>
  <c r="V10" i="73" s="1"/>
  <c r="C34" i="73"/>
  <c r="T14" i="73"/>
  <c r="V14" i="73" s="1"/>
  <c r="C29" i="73"/>
  <c r="C30" i="73" s="1"/>
  <c r="E30" i="73" s="1"/>
  <c r="C37" i="73"/>
  <c r="E37" i="73" s="1"/>
  <c r="C38" i="73"/>
  <c r="E38" i="73" s="1"/>
  <c r="T13" i="73"/>
  <c r="V13" i="73" s="1"/>
  <c r="C36" i="73"/>
  <c r="G36" i="73" s="1"/>
  <c r="I36" i="73" s="1"/>
  <c r="T9" i="73"/>
  <c r="V9" i="73" s="1"/>
  <c r="T12" i="73"/>
  <c r="V12" i="73" s="1"/>
  <c r="T16" i="73"/>
  <c r="V16" i="73" s="1"/>
  <c r="C35" i="73"/>
  <c r="G35" i="73" s="1"/>
  <c r="I35" i="73" s="1"/>
  <c r="T11" i="73"/>
  <c r="V11" i="73" s="1"/>
  <c r="T8" i="73"/>
  <c r="V8" i="73" s="1"/>
  <c r="E39" i="73"/>
  <c r="C36" i="72"/>
  <c r="E36" i="72" s="1"/>
  <c r="C29" i="72"/>
  <c r="E29" i="72" s="1"/>
  <c r="T14" i="72"/>
  <c r="V14" i="72" s="1"/>
  <c r="T13" i="72"/>
  <c r="V13" i="72" s="1"/>
  <c r="C35" i="72"/>
  <c r="E35" i="72" s="1"/>
  <c r="T12" i="72"/>
  <c r="V12" i="72" s="1"/>
  <c r="T11" i="72"/>
  <c r="V11" i="72" s="1"/>
  <c r="T9" i="72"/>
  <c r="V9" i="72" s="1"/>
  <c r="C38" i="72"/>
  <c r="E38" i="72" s="1"/>
  <c r="T5" i="72"/>
  <c r="V5" i="72" s="1"/>
  <c r="C34" i="72"/>
  <c r="G34" i="72" s="1"/>
  <c r="I34" i="72" s="1"/>
  <c r="T16" i="72"/>
  <c r="V16" i="72" s="1"/>
  <c r="T8" i="72"/>
  <c r="V8" i="72" s="1"/>
  <c r="C33" i="72"/>
  <c r="G33" i="72" s="1"/>
  <c r="I33" i="72" s="1"/>
  <c r="T10" i="72"/>
  <c r="V10" i="72" s="1"/>
  <c r="C37" i="72"/>
  <c r="E37" i="72" s="1"/>
  <c r="T15" i="72"/>
  <c r="V15" i="72" s="1"/>
  <c r="C39" i="72"/>
  <c r="G39" i="72" s="1"/>
  <c r="I39" i="72" s="1"/>
  <c r="C34" i="71"/>
  <c r="G34" i="71" s="1"/>
  <c r="I34" i="71" s="1"/>
  <c r="T6" i="72"/>
  <c r="V6" i="72" s="1"/>
  <c r="C38" i="71"/>
  <c r="G38" i="71" s="1"/>
  <c r="I38" i="71" s="1"/>
  <c r="T9" i="71"/>
  <c r="V9" i="71" s="1"/>
  <c r="T10" i="71"/>
  <c r="V10" i="71" s="1"/>
  <c r="C33" i="71"/>
  <c r="G33" i="71" s="1"/>
  <c r="I33" i="71" s="1"/>
  <c r="T15" i="71"/>
  <c r="V15" i="71" s="1"/>
  <c r="T12" i="71"/>
  <c r="V12" i="71" s="1"/>
  <c r="C37" i="71"/>
  <c r="E37" i="71" s="1"/>
  <c r="C36" i="71"/>
  <c r="E36" i="71" s="1"/>
  <c r="C35" i="71"/>
  <c r="G35" i="71" s="1"/>
  <c r="I35" i="71" s="1"/>
  <c r="T13" i="71"/>
  <c r="V13" i="71" s="1"/>
  <c r="T11" i="71"/>
  <c r="V11" i="71" s="1"/>
  <c r="T8" i="71"/>
  <c r="V8" i="71" s="1"/>
  <c r="T14" i="71"/>
  <c r="V14" i="71" s="1"/>
  <c r="T16" i="71"/>
  <c r="V16" i="71" s="1"/>
  <c r="T4" i="72"/>
  <c r="V4" i="72" s="1"/>
  <c r="E34" i="73"/>
  <c r="G34" i="73"/>
  <c r="I34" i="73" s="1"/>
  <c r="T7" i="72"/>
  <c r="V7" i="72" s="1"/>
  <c r="T3" i="72"/>
  <c r="V3" i="72" s="1"/>
  <c r="E33" i="73"/>
  <c r="E29" i="73"/>
  <c r="E35" i="73"/>
  <c r="Q49" i="44"/>
  <c r="Q55" i="44" s="1"/>
  <c r="Q58" i="44"/>
  <c r="Q49" i="74"/>
  <c r="Q55" i="74" s="1"/>
  <c r="C22" i="68"/>
  <c r="C20" i="68" s="1"/>
  <c r="D30" i="6"/>
  <c r="D16" i="6"/>
  <c r="R24" i="6"/>
  <c r="G39" i="71"/>
  <c r="I39" i="71" s="1"/>
  <c r="E39" i="71"/>
  <c r="R26" i="6"/>
  <c r="I65" i="40"/>
  <c r="H67" i="40"/>
  <c r="C26" i="76"/>
  <c r="Q59" i="76"/>
  <c r="Q64" i="76" s="1"/>
  <c r="Q68" i="76"/>
  <c r="Q77" i="76" s="1"/>
  <c r="Q59" i="75"/>
  <c r="Q64" i="75" s="1"/>
  <c r="Q68" i="75"/>
  <c r="Q77" i="75" s="1"/>
  <c r="C26" i="74"/>
  <c r="Q59" i="74"/>
  <c r="Q64" i="74" s="1"/>
  <c r="Q68" i="74"/>
  <c r="Q77" i="74" s="1"/>
  <c r="C27" i="69"/>
  <c r="D26" i="69" s="1"/>
  <c r="C32" i="69" s="1"/>
  <c r="D30" i="69" s="1"/>
  <c r="C17" i="44"/>
  <c r="C20" i="44"/>
  <c r="B3" i="11"/>
  <c r="B5" i="11"/>
  <c r="B4" i="11"/>
  <c r="A6" i="64"/>
  <c r="A6" i="51"/>
  <c r="B7" i="63" s="1"/>
  <c r="A20" i="64"/>
  <c r="A20" i="51"/>
  <c r="B15" i="63" s="1"/>
  <c r="N5" i="54"/>
  <c r="B43" i="63" s="1"/>
  <c r="D8" i="66"/>
  <c r="D6" i="66"/>
  <c r="D7" i="66"/>
  <c r="D27" i="6"/>
  <c r="D31" i="6" s="1"/>
  <c r="L70" i="39"/>
  <c r="K72" i="39"/>
  <c r="E52" i="33"/>
  <c r="F52" i="33" s="1"/>
  <c r="E53" i="33"/>
  <c r="F53" i="33" s="1"/>
  <c r="I53" i="33"/>
  <c r="J53" i="33" s="1"/>
  <c r="E34" i="46"/>
  <c r="G34" i="46"/>
  <c r="I34" i="46" s="1"/>
  <c r="G37" i="46"/>
  <c r="I37" i="46" s="1"/>
  <c r="E37" i="46"/>
  <c r="G35" i="46"/>
  <c r="I35" i="46" s="1"/>
  <c r="E35" i="46"/>
  <c r="E36" i="46"/>
  <c r="G36" i="46"/>
  <c r="I36" i="46" s="1"/>
  <c r="E38" i="46"/>
  <c r="G38" i="46"/>
  <c r="I38" i="46" s="1"/>
  <c r="R39" i="35"/>
  <c r="E38" i="35"/>
  <c r="T16" i="1"/>
  <c r="I27" i="6"/>
  <c r="S19" i="6"/>
  <c r="S27" i="6" s="1"/>
  <c r="Q59" i="44"/>
  <c r="Q68" i="44"/>
  <c r="Q77" i="44" s="1"/>
  <c r="R20" i="6"/>
  <c r="R7" i="1" s="1"/>
  <c r="R23" i="6"/>
  <c r="R21" i="6"/>
  <c r="R22" i="6"/>
  <c r="H19" i="6"/>
  <c r="H27" i="6" s="1"/>
  <c r="R25" i="6"/>
  <c r="I59" i="34"/>
  <c r="C48" i="33"/>
  <c r="C49" i="33"/>
  <c r="B3" i="33" s="1"/>
  <c r="B2" i="33" s="1"/>
  <c r="G39" i="46"/>
  <c r="I39" i="46" s="1"/>
  <c r="E39" i="46"/>
  <c r="E33" i="46"/>
  <c r="G33" i="46"/>
  <c r="I33" i="46" s="1"/>
  <c r="C30" i="46"/>
  <c r="E30" i="46" s="1"/>
  <c r="E29" i="46"/>
  <c r="C13" i="43"/>
  <c r="L16" i="1"/>
  <c r="N16" i="1"/>
  <c r="C29" i="43" s="1"/>
  <c r="P14" i="1"/>
  <c r="P16" i="1" s="1"/>
  <c r="C14" i="15"/>
  <c r="C16" i="75"/>
  <c r="M21" i="15"/>
  <c r="C16" i="76"/>
  <c r="F37" i="76"/>
  <c r="C16" i="74"/>
  <c r="F35" i="15"/>
  <c r="F37" i="75"/>
  <c r="M23" i="75"/>
  <c r="M23" i="76"/>
  <c r="C17" i="74" l="1"/>
  <c r="C20" i="74"/>
  <c r="C17" i="76"/>
  <c r="C20" i="76"/>
  <c r="C20" i="75"/>
  <c r="C17" i="75"/>
  <c r="C15" i="15"/>
  <c r="C18" i="15"/>
  <c r="G37" i="73"/>
  <c r="I37" i="73" s="1"/>
  <c r="E36" i="73"/>
  <c r="G38" i="73"/>
  <c r="I38" i="73" s="1"/>
  <c r="E33" i="72"/>
  <c r="E39" i="72"/>
  <c r="E34" i="71"/>
  <c r="G38" i="72"/>
  <c r="I38" i="72" s="1"/>
  <c r="G36" i="72"/>
  <c r="I36" i="72" s="1"/>
  <c r="G35" i="72"/>
  <c r="I35" i="72" s="1"/>
  <c r="E34" i="72"/>
  <c r="C30" i="72"/>
  <c r="E30" i="72" s="1"/>
  <c r="G37" i="72"/>
  <c r="I37" i="72" s="1"/>
  <c r="E38" i="71"/>
  <c r="Q64" i="44"/>
  <c r="E35" i="71"/>
  <c r="G37" i="71"/>
  <c r="I37" i="71" s="1"/>
  <c r="G36" i="71"/>
  <c r="I36" i="71" s="1"/>
  <c r="E33" i="71"/>
  <c r="C27" i="73"/>
  <c r="C26" i="73"/>
  <c r="B2" i="73" s="1"/>
  <c r="C27" i="72"/>
  <c r="C26" i="72"/>
  <c r="B2" i="72" s="1"/>
  <c r="I6" i="6"/>
  <c r="I5" i="6"/>
  <c r="F62" i="15"/>
  <c r="C61" i="15" s="1"/>
  <c r="C34" i="15"/>
  <c r="J20" i="15"/>
  <c r="C36" i="76"/>
  <c r="C36" i="75"/>
  <c r="J22" i="76"/>
  <c r="J22" i="75"/>
  <c r="C13" i="12"/>
  <c r="C14" i="12" s="1"/>
  <c r="C13" i="70"/>
  <c r="C13" i="69"/>
  <c r="I67" i="40"/>
  <c r="J65" i="40"/>
  <c r="C21" i="44"/>
  <c r="C22" i="44" s="1"/>
  <c r="C25" i="44" s="1"/>
  <c r="C26" i="46"/>
  <c r="E43" i="35"/>
  <c r="F43" i="35" s="1"/>
  <c r="E42" i="35"/>
  <c r="F42" i="35" s="1"/>
  <c r="I43" i="35"/>
  <c r="J43" i="35" s="1"/>
  <c r="L72" i="39"/>
  <c r="M70" i="39"/>
  <c r="R19" i="6"/>
  <c r="C17" i="43"/>
  <c r="C14" i="43"/>
  <c r="C27" i="46"/>
  <c r="J59" i="34"/>
  <c r="C38" i="35"/>
  <c r="C39" i="35"/>
  <c r="B3" i="35" s="1"/>
  <c r="B2" i="35" s="1"/>
  <c r="G3" i="71"/>
  <c r="C13" i="68"/>
  <c r="C15" i="68" l="1"/>
  <c r="C21" i="74"/>
  <c r="C22" i="74" s="1"/>
  <c r="C28" i="74" s="1"/>
  <c r="C19" i="15"/>
  <c r="C20" i="15" s="1"/>
  <c r="C23" i="15" s="1"/>
  <c r="C21" i="75"/>
  <c r="C22" i="75" s="1"/>
  <c r="C28" i="75" s="1"/>
  <c r="C21" i="76"/>
  <c r="C22" i="76" s="1"/>
  <c r="C28" i="76" s="1"/>
  <c r="B3" i="73"/>
  <c r="B4" i="73"/>
  <c r="D4" i="73"/>
  <c r="D4" i="72"/>
  <c r="B3" i="72"/>
  <c r="B4" i="72"/>
  <c r="K101" i="71"/>
  <c r="C101" i="71"/>
  <c r="H22" i="71"/>
  <c r="F101" i="71"/>
  <c r="AD11" i="71"/>
  <c r="AD13" i="71" s="1"/>
  <c r="J22" i="71"/>
  <c r="AC11" i="71"/>
  <c r="AC13" i="71" s="1"/>
  <c r="M101" i="71"/>
  <c r="E101" i="71"/>
  <c r="D101" i="71"/>
  <c r="J101" i="71"/>
  <c r="AB11" i="71"/>
  <c r="AB13" i="71" s="1"/>
  <c r="AJ11" i="71"/>
  <c r="AJ13" i="71" s="1"/>
  <c r="AA11" i="71"/>
  <c r="AA13" i="71" s="1"/>
  <c r="AI11" i="71"/>
  <c r="AI13" i="71" s="1"/>
  <c r="B113" i="71"/>
  <c r="G101" i="71"/>
  <c r="H101" i="71"/>
  <c r="N101" i="71"/>
  <c r="Z11" i="71"/>
  <c r="Z13" i="71" s="1"/>
  <c r="AH11" i="71"/>
  <c r="AH13" i="71" s="1"/>
  <c r="Y11" i="71"/>
  <c r="Y13" i="71" s="1"/>
  <c r="AG11" i="71"/>
  <c r="AG13" i="71" s="1"/>
  <c r="I101" i="71"/>
  <c r="L101" i="71"/>
  <c r="F22" i="71"/>
  <c r="Z7" i="71"/>
  <c r="AF11" i="71"/>
  <c r="AF13" i="71" s="1"/>
  <c r="E22" i="71"/>
  <c r="AE11" i="71"/>
  <c r="AE13" i="71" s="1"/>
  <c r="G22" i="71"/>
  <c r="R27" i="6"/>
  <c r="R6" i="1"/>
  <c r="C17" i="12"/>
  <c r="C18" i="12" s="1"/>
  <c r="C23" i="12" s="1"/>
  <c r="C35" i="12" s="1"/>
  <c r="C33" i="12" s="1"/>
  <c r="C14" i="68"/>
  <c r="C17" i="68"/>
  <c r="C14" i="70"/>
  <c r="C17" i="70"/>
  <c r="C14" i="69"/>
  <c r="C17" i="69"/>
  <c r="K65" i="40"/>
  <c r="J67" i="40"/>
  <c r="C28" i="44"/>
  <c r="C31" i="44" s="1"/>
  <c r="Q51" i="44" s="1"/>
  <c r="C18" i="43"/>
  <c r="C19" i="43" s="1"/>
  <c r="K59" i="34"/>
  <c r="L59" i="34" s="1"/>
  <c r="M59" i="34" s="1"/>
  <c r="N59" i="34" s="1"/>
  <c r="O59" i="34" s="1"/>
  <c r="H7" i="34"/>
  <c r="N70" i="39"/>
  <c r="N72" i="39" s="1"/>
  <c r="M72" i="39"/>
  <c r="B2" i="46"/>
  <c r="J7" i="34"/>
  <c r="F37" i="74"/>
  <c r="F37" i="44"/>
  <c r="M23" i="74"/>
  <c r="M23" i="44"/>
  <c r="C25" i="74" l="1"/>
  <c r="C31" i="74" s="1"/>
  <c r="Q51" i="74" s="1"/>
  <c r="C25" i="75"/>
  <c r="C31" i="75" s="1"/>
  <c r="C38" i="75" s="1"/>
  <c r="C26" i="15"/>
  <c r="C29" i="15" s="1"/>
  <c r="J19" i="15" s="1"/>
  <c r="J17" i="15" s="1"/>
  <c r="C25" i="76"/>
  <c r="C31" i="76" s="1"/>
  <c r="C38" i="76" s="1"/>
  <c r="C36" i="44"/>
  <c r="J22" i="44"/>
  <c r="C36" i="74"/>
  <c r="J22" i="74"/>
  <c r="I106" i="71"/>
  <c r="I102" i="71"/>
  <c r="I105" i="71"/>
  <c r="I109" i="71"/>
  <c r="I104" i="71"/>
  <c r="I107" i="71"/>
  <c r="I103" i="71"/>
  <c r="H107" i="71"/>
  <c r="H103" i="71"/>
  <c r="H104" i="71"/>
  <c r="H109" i="71"/>
  <c r="H105" i="71"/>
  <c r="H106" i="71"/>
  <c r="H102" i="71"/>
  <c r="D117" i="71"/>
  <c r="E117" i="71" s="1"/>
  <c r="F117" i="71" s="1"/>
  <c r="G117" i="71" s="1"/>
  <c r="H117" i="71" s="1"/>
  <c r="D115" i="71"/>
  <c r="E115" i="71" s="1"/>
  <c r="F115" i="71" s="1"/>
  <c r="G115" i="71" s="1"/>
  <c r="H115" i="71" s="1"/>
  <c r="I116" i="71"/>
  <c r="J116" i="71" s="1"/>
  <c r="K116" i="71" s="1"/>
  <c r="L116" i="71" s="1"/>
  <c r="M116" i="71" s="1"/>
  <c r="B118" i="71"/>
  <c r="C118" i="71" s="1"/>
  <c r="B116" i="71"/>
  <c r="C116" i="71" s="1"/>
  <c r="I117" i="71"/>
  <c r="J117" i="71" s="1"/>
  <c r="K117" i="71" s="1"/>
  <c r="L117" i="71" s="1"/>
  <c r="M117" i="71" s="1"/>
  <c r="D118" i="71"/>
  <c r="E118" i="71" s="1"/>
  <c r="F118" i="71" s="1"/>
  <c r="D116" i="71"/>
  <c r="E116" i="71" s="1"/>
  <c r="F116" i="71" s="1"/>
  <c r="G116" i="71" s="1"/>
  <c r="H116" i="71" s="1"/>
  <c r="I118" i="71"/>
  <c r="J118" i="71" s="1"/>
  <c r="K118" i="71" s="1"/>
  <c r="L118" i="71" s="1"/>
  <c r="M118" i="71" s="1"/>
  <c r="G118" i="71"/>
  <c r="H118" i="71" s="1"/>
  <c r="B117" i="71"/>
  <c r="C117" i="71" s="1"/>
  <c r="B115" i="71"/>
  <c r="C115" i="71" s="1"/>
  <c r="I115" i="71"/>
  <c r="J115" i="71" s="1"/>
  <c r="K115" i="71" s="1"/>
  <c r="L115" i="71" s="1"/>
  <c r="M115" i="71" s="1"/>
  <c r="D106" i="71"/>
  <c r="D102" i="71"/>
  <c r="D105" i="71"/>
  <c r="D109" i="71"/>
  <c r="D104" i="71"/>
  <c r="D107" i="71"/>
  <c r="D103" i="71"/>
  <c r="M106" i="71"/>
  <c r="M102" i="71"/>
  <c r="M105" i="71"/>
  <c r="M109" i="71"/>
  <c r="M104" i="71"/>
  <c r="M107" i="71"/>
  <c r="M103" i="71"/>
  <c r="F109" i="71"/>
  <c r="F105" i="71"/>
  <c r="F106" i="71"/>
  <c r="F102" i="71"/>
  <c r="F107" i="71"/>
  <c r="F103" i="71"/>
  <c r="F104" i="71"/>
  <c r="C107" i="71"/>
  <c r="C103" i="71"/>
  <c r="C104" i="71"/>
  <c r="C109" i="71"/>
  <c r="C105" i="71"/>
  <c r="C106" i="71"/>
  <c r="C102" i="71"/>
  <c r="R16" i="1"/>
  <c r="D22" i="71"/>
  <c r="L109" i="71"/>
  <c r="L104" i="71"/>
  <c r="L107" i="71"/>
  <c r="L103" i="71"/>
  <c r="L106" i="71"/>
  <c r="L102" i="71"/>
  <c r="L105" i="71"/>
  <c r="N109" i="71"/>
  <c r="N105" i="71"/>
  <c r="N106" i="71"/>
  <c r="N102" i="71"/>
  <c r="N107" i="71"/>
  <c r="N103" i="71"/>
  <c r="N104" i="71"/>
  <c r="G109" i="71"/>
  <c r="G105" i="71"/>
  <c r="G106" i="71"/>
  <c r="G102" i="71"/>
  <c r="G107" i="71"/>
  <c r="G103" i="71"/>
  <c r="G104" i="71"/>
  <c r="J109" i="71"/>
  <c r="J104" i="71"/>
  <c r="J107" i="71"/>
  <c r="J103" i="71"/>
  <c r="J106" i="71"/>
  <c r="J102" i="71"/>
  <c r="J105" i="71"/>
  <c r="E109" i="71"/>
  <c r="E104" i="71"/>
  <c r="E107" i="71"/>
  <c r="E103" i="71"/>
  <c r="E106" i="71"/>
  <c r="E102" i="71"/>
  <c r="E105" i="71"/>
  <c r="K109" i="71"/>
  <c r="K105" i="71"/>
  <c r="K106" i="71"/>
  <c r="K102" i="71"/>
  <c r="K107" i="71"/>
  <c r="K103" i="71"/>
  <c r="K104" i="71"/>
  <c r="C35" i="75"/>
  <c r="C33" i="75" s="1"/>
  <c r="C35" i="74"/>
  <c r="C18" i="68"/>
  <c r="C23" i="68" s="1"/>
  <c r="C35" i="68" s="1"/>
  <c r="C33" i="68" s="1"/>
  <c r="C18" i="69"/>
  <c r="C23" i="69" s="1"/>
  <c r="C35" i="69" s="1"/>
  <c r="C33" i="69" s="1"/>
  <c r="C18" i="70"/>
  <c r="C23" i="70" s="1"/>
  <c r="C35" i="70" s="1"/>
  <c r="C33" i="70" s="1"/>
  <c r="K67" i="40"/>
  <c r="L65" i="40"/>
  <c r="F7" i="34"/>
  <c r="J21" i="44"/>
  <c r="C15" i="44"/>
  <c r="C43" i="44" s="1"/>
  <c r="C25" i="43"/>
  <c r="C24" i="43" s="1"/>
  <c r="J59" i="15"/>
  <c r="J60" i="15" s="1"/>
  <c r="Q49" i="15" s="1"/>
  <c r="C22" i="43"/>
  <c r="C21" i="43" s="1"/>
  <c r="C28" i="12"/>
  <c r="C26" i="12" s="1"/>
  <c r="C31" i="12" s="1"/>
  <c r="C30" i="12" s="1"/>
  <c r="C36" i="12" s="1"/>
  <c r="B2" i="12" s="1"/>
  <c r="C38" i="44"/>
  <c r="J16" i="44"/>
  <c r="J24" i="44" s="1"/>
  <c r="C35" i="44"/>
  <c r="D4" i="46"/>
  <c r="B4" i="46"/>
  <c r="B3" i="46"/>
  <c r="J9" i="39"/>
  <c r="H9" i="39"/>
  <c r="F9" i="39"/>
  <c r="AA7" i="34"/>
  <c r="R49" i="34" s="1"/>
  <c r="S7" i="34"/>
  <c r="AC7" i="34"/>
  <c r="V49" i="34" s="1"/>
  <c r="I49" i="34" s="1"/>
  <c r="W7" i="34"/>
  <c r="U7" i="34"/>
  <c r="AB7" i="34"/>
  <c r="T49" i="34" s="1"/>
  <c r="G49" i="34" s="1"/>
  <c r="J21" i="74" l="1"/>
  <c r="C15" i="74"/>
  <c r="C39" i="74" s="1"/>
  <c r="C33" i="44"/>
  <c r="C56" i="15"/>
  <c r="C63" i="15" s="1"/>
  <c r="J16" i="74"/>
  <c r="J24" i="74" s="1"/>
  <c r="C38" i="74"/>
  <c r="C33" i="74"/>
  <c r="J21" i="75"/>
  <c r="J19" i="75" s="1"/>
  <c r="C15" i="75"/>
  <c r="Q72" i="75" s="1"/>
  <c r="J16" i="75"/>
  <c r="J15" i="75" s="1"/>
  <c r="J25" i="75" s="1"/>
  <c r="Q51" i="75"/>
  <c r="C36" i="15"/>
  <c r="Q50" i="15"/>
  <c r="C13" i="15"/>
  <c r="Q71" i="15" s="1"/>
  <c r="C33" i="15"/>
  <c r="C31" i="15" s="1"/>
  <c r="J14" i="15"/>
  <c r="J22" i="15" s="1"/>
  <c r="C15" i="76"/>
  <c r="C39" i="76" s="1"/>
  <c r="J16" i="76"/>
  <c r="J15" i="76" s="1"/>
  <c r="J25" i="76" s="1"/>
  <c r="Q51" i="76"/>
  <c r="C35" i="76"/>
  <c r="C33" i="76" s="1"/>
  <c r="J21" i="76"/>
  <c r="J19" i="76" s="1"/>
  <c r="C23" i="71"/>
  <c r="S6" i="71"/>
  <c r="T6" i="71" s="1"/>
  <c r="V6" i="71" s="1"/>
  <c r="S5" i="71"/>
  <c r="T5" i="71" s="1"/>
  <c r="V5" i="71" s="1"/>
  <c r="S4" i="71"/>
  <c r="T4" i="71" s="1"/>
  <c r="V4" i="71" s="1"/>
  <c r="S7" i="71"/>
  <c r="T7" i="71" s="1"/>
  <c r="V7" i="71" s="1"/>
  <c r="S3" i="71"/>
  <c r="T3" i="71" s="1"/>
  <c r="V3" i="71" s="1"/>
  <c r="S2" i="71"/>
  <c r="T2" i="71" s="1"/>
  <c r="V2" i="71" s="1"/>
  <c r="J19" i="44"/>
  <c r="D113" i="71"/>
  <c r="C43" i="75"/>
  <c r="J35" i="15"/>
  <c r="J19" i="74"/>
  <c r="J13" i="15"/>
  <c r="J23" i="15" s="1"/>
  <c r="J16" i="15" s="1"/>
  <c r="J25" i="15" s="1"/>
  <c r="C21" i="71"/>
  <c r="C29" i="71" s="1"/>
  <c r="Q72" i="74"/>
  <c r="J15" i="74"/>
  <c r="J25" i="74" s="1"/>
  <c r="C43" i="74"/>
  <c r="C28" i="68"/>
  <c r="C26" i="68" s="1"/>
  <c r="C31" i="68" s="1"/>
  <c r="C30" i="68" s="1"/>
  <c r="C36" i="68" s="1"/>
  <c r="B2" i="68" s="1"/>
  <c r="C28" i="69"/>
  <c r="C26" i="69" s="1"/>
  <c r="C31" i="69" s="1"/>
  <c r="C30" i="69" s="1"/>
  <c r="C36" i="69" s="1"/>
  <c r="B2" i="69" s="1"/>
  <c r="B4" i="69" s="1"/>
  <c r="C28" i="70"/>
  <c r="C26" i="70" s="1"/>
  <c r="C31" i="70" s="1"/>
  <c r="C30" i="70" s="1"/>
  <c r="C36" i="70" s="1"/>
  <c r="B2" i="70" s="1"/>
  <c r="M65" i="40"/>
  <c r="L67" i="40"/>
  <c r="C60" i="15"/>
  <c r="C58" i="15" s="1"/>
  <c r="C28" i="43"/>
  <c r="C30" i="43" s="1"/>
  <c r="C32" i="43" s="1"/>
  <c r="B2" i="43" s="1"/>
  <c r="B4" i="43" s="1"/>
  <c r="C39" i="44"/>
  <c r="Q72" i="44"/>
  <c r="J15" i="44"/>
  <c r="J25" i="44" s="1"/>
  <c r="I53" i="34"/>
  <c r="J53" i="34" s="1"/>
  <c r="R50" i="34"/>
  <c r="E49" i="34"/>
  <c r="U9" i="39"/>
  <c r="AB9" i="39"/>
  <c r="T49" i="39" s="1"/>
  <c r="G49" i="39" s="1"/>
  <c r="G53" i="34"/>
  <c r="H53" i="34" s="1"/>
  <c r="G54" i="34"/>
  <c r="H54" i="34" s="1"/>
  <c r="S9" i="39"/>
  <c r="AA9" i="39"/>
  <c r="R49" i="39" s="1"/>
  <c r="AC9" i="39"/>
  <c r="V49" i="39" s="1"/>
  <c r="I49" i="39" s="1"/>
  <c r="W9" i="39"/>
  <c r="B3" i="12"/>
  <c r="B5" i="12"/>
  <c r="B4" i="12"/>
  <c r="D19" i="9"/>
  <c r="B5" i="68"/>
  <c r="C32" i="44" l="1"/>
  <c r="C42" i="44" s="1"/>
  <c r="Q71" i="44" s="1"/>
  <c r="Q70" i="44" s="1"/>
  <c r="C32" i="74"/>
  <c r="C42" i="74" s="1"/>
  <c r="Q71" i="74" s="1"/>
  <c r="C39" i="75"/>
  <c r="C32" i="75" s="1"/>
  <c r="C42" i="75" s="1"/>
  <c r="Q71" i="75" s="1"/>
  <c r="Q70" i="75" s="1"/>
  <c r="C37" i="15"/>
  <c r="C55" i="15"/>
  <c r="C64" i="15" s="1"/>
  <c r="C57" i="15" s="1"/>
  <c r="C66" i="15" s="1"/>
  <c r="C67" i="15" s="1"/>
  <c r="C70" i="15" s="1"/>
  <c r="J24" i="75"/>
  <c r="J18" i="75" s="1"/>
  <c r="J27" i="75" s="1"/>
  <c r="J18" i="44"/>
  <c r="J27" i="44" s="1"/>
  <c r="C30" i="15"/>
  <c r="C39" i="15" s="1"/>
  <c r="J39" i="15" s="1"/>
  <c r="J40" i="15" s="1"/>
  <c r="C43" i="76"/>
  <c r="Q72" i="76"/>
  <c r="C32" i="76"/>
  <c r="C42" i="76" s="1"/>
  <c r="J24" i="76"/>
  <c r="J18" i="76" s="1"/>
  <c r="J27" i="76" s="1"/>
  <c r="J10" i="79"/>
  <c r="Q70" i="74"/>
  <c r="J18" i="74"/>
  <c r="J27" i="74" s="1"/>
  <c r="L44" i="9"/>
  <c r="C30" i="71"/>
  <c r="E30" i="71" s="1"/>
  <c r="C27" i="71" s="1"/>
  <c r="E29" i="71"/>
  <c r="B5" i="69"/>
  <c r="B3" i="69"/>
  <c r="B4" i="70"/>
  <c r="B3" i="70"/>
  <c r="B5" i="70"/>
  <c r="M67" i="40"/>
  <c r="N65" i="40"/>
  <c r="N67" i="40" s="1"/>
  <c r="H9" i="40" s="1"/>
  <c r="B5" i="43"/>
  <c r="B3" i="43"/>
  <c r="I53" i="39"/>
  <c r="J53" i="39" s="1"/>
  <c r="G54" i="39"/>
  <c r="H54" i="39" s="1"/>
  <c r="G53" i="39"/>
  <c r="H53" i="39" s="1"/>
  <c r="E54" i="34"/>
  <c r="F54" i="34" s="1"/>
  <c r="E53" i="34"/>
  <c r="F53" i="34" s="1"/>
  <c r="R50" i="39"/>
  <c r="E49" i="39"/>
  <c r="C49" i="34"/>
  <c r="C50" i="34"/>
  <c r="B3" i="34" s="1"/>
  <c r="B2" i="34" s="1"/>
  <c r="I54" i="34"/>
  <c r="J54" i="34" s="1"/>
  <c r="B4" i="68"/>
  <c r="F7" i="67"/>
  <c r="B3" i="68"/>
  <c r="L51" i="15"/>
  <c r="C44" i="74" l="1"/>
  <c r="C45" i="74" s="1"/>
  <c r="B2" i="74" s="1"/>
  <c r="B4" i="74" s="1"/>
  <c r="C44" i="75"/>
  <c r="C45" i="75" s="1"/>
  <c r="B2" i="75" s="1"/>
  <c r="B4" i="75" s="1"/>
  <c r="C44" i="76"/>
  <c r="C45" i="76" s="1"/>
  <c r="B2" i="76" s="1"/>
  <c r="B5" i="76" s="1"/>
  <c r="C44" i="44"/>
  <c r="C45" i="44" s="1"/>
  <c r="B2" i="44" s="1"/>
  <c r="B5" i="44" s="1"/>
  <c r="Q71" i="76"/>
  <c r="Q70" i="76" s="1"/>
  <c r="C40" i="15"/>
  <c r="Q48" i="15" s="1"/>
  <c r="Q54" i="15" s="1"/>
  <c r="Q70" i="15"/>
  <c r="Q69" i="15" s="1"/>
  <c r="J9" i="40"/>
  <c r="AC9" i="40" s="1"/>
  <c r="V44" i="40" s="1"/>
  <c r="I44" i="40" s="1"/>
  <c r="I48" i="40" s="1"/>
  <c r="J48" i="40" s="1"/>
  <c r="J24" i="79"/>
  <c r="K24" i="79" s="1"/>
  <c r="E4" i="67"/>
  <c r="C26" i="71"/>
  <c r="F9" i="40"/>
  <c r="U9" i="40"/>
  <c r="AB9" i="40"/>
  <c r="T44" i="40" s="1"/>
  <c r="G44" i="40" s="1"/>
  <c r="Q68" i="15"/>
  <c r="L57" i="15"/>
  <c r="L60" i="15" s="1"/>
  <c r="E54" i="39"/>
  <c r="F54" i="39" s="1"/>
  <c r="E53" i="39"/>
  <c r="F53" i="39" s="1"/>
  <c r="I54" i="39"/>
  <c r="J54" i="39" s="1"/>
  <c r="C50" i="39"/>
  <c r="C49" i="39"/>
  <c r="D21" i="9"/>
  <c r="E7" i="67"/>
  <c r="D20" i="9"/>
  <c r="B3" i="74" l="1"/>
  <c r="B5" i="74"/>
  <c r="B3" i="44"/>
  <c r="B3" i="75"/>
  <c r="B5" i="75"/>
  <c r="B3" i="76"/>
  <c r="B4" i="76"/>
  <c r="B4" i="44"/>
  <c r="C46" i="15"/>
  <c r="J42" i="15"/>
  <c r="J43" i="15" s="1"/>
  <c r="C43" i="15"/>
  <c r="Q66" i="15"/>
  <c r="Q57" i="15"/>
  <c r="W9" i="40"/>
  <c r="J5" i="79"/>
  <c r="K17" i="79" s="1"/>
  <c r="J17" i="79" s="1"/>
  <c r="Q67" i="15"/>
  <c r="Q76" i="15" s="1"/>
  <c r="L46" i="15"/>
  <c r="B2" i="15" s="1"/>
  <c r="B3" i="15" s="1"/>
  <c r="E3" i="67"/>
  <c r="B2" i="71"/>
  <c r="G48" i="40"/>
  <c r="H48" i="40" s="1"/>
  <c r="G49" i="40"/>
  <c r="H49" i="40" s="1"/>
  <c r="S9" i="40"/>
  <c r="AA9" i="40"/>
  <c r="R44" i="40" s="1"/>
  <c r="Q58" i="15"/>
  <c r="B66" i="39"/>
  <c r="F66" i="39" s="1"/>
  <c r="B64" i="39"/>
  <c r="F64" i="39" s="1"/>
  <c r="B61" i="39"/>
  <c r="F61" i="39" s="1"/>
  <c r="B65" i="39"/>
  <c r="F65" i="39" s="1"/>
  <c r="B59" i="39"/>
  <c r="F59" i="39" s="1"/>
  <c r="B58" i="39"/>
  <c r="F58" i="39" s="1"/>
  <c r="B63" i="39"/>
  <c r="F63" i="39" s="1"/>
  <c r="B62" i="39"/>
  <c r="F62" i="39" s="1"/>
  <c r="B60" i="39"/>
  <c r="F60" i="39" s="1"/>
  <c r="B67" i="39"/>
  <c r="F67" i="39" s="1"/>
  <c r="F68" i="39"/>
  <c r="B2" i="39" s="1"/>
  <c r="C19" i="9"/>
  <c r="B7" i="67"/>
  <c r="Q63" i="15" l="1"/>
  <c r="H10" i="79"/>
  <c r="H24" i="79" s="1"/>
  <c r="N24" i="79" s="1"/>
  <c r="O24" i="79" s="1"/>
  <c r="G19" i="9"/>
  <c r="D22" i="9"/>
  <c r="L43" i="9"/>
  <c r="B2" i="67"/>
  <c r="B3" i="71"/>
  <c r="D4" i="71"/>
  <c r="B4" i="71"/>
  <c r="R45" i="40"/>
  <c r="E44" i="40"/>
  <c r="B3" i="39"/>
  <c r="B5" i="39"/>
  <c r="B4" i="39"/>
  <c r="C21" i="9"/>
  <c r="C20" i="9"/>
  <c r="H5" i="79" l="1"/>
  <c r="I24" i="79"/>
  <c r="G21" i="9"/>
  <c r="G20" i="9"/>
  <c r="C16" i="79" s="1"/>
  <c r="N43" i="9"/>
  <c r="C32" i="9"/>
  <c r="G22" i="9"/>
  <c r="B3" i="67"/>
  <c r="B4" i="67"/>
  <c r="E48" i="40"/>
  <c r="F48" i="40" s="1"/>
  <c r="E49" i="40"/>
  <c r="F49" i="40" s="1"/>
  <c r="I49" i="40"/>
  <c r="J49" i="40" s="1"/>
  <c r="C45" i="40"/>
  <c r="C44" i="40"/>
  <c r="N5" i="79" l="1"/>
  <c r="I17" i="79"/>
  <c r="E16" i="79"/>
  <c r="C23" i="79"/>
  <c r="C42" i="9"/>
  <c r="O43" i="9"/>
  <c r="O38" i="9"/>
  <c r="C33" i="9"/>
  <c r="C35" i="9"/>
  <c r="F42" i="9" s="1"/>
  <c r="C34" i="9"/>
  <c r="B61" i="40"/>
  <c r="F61" i="40" s="1"/>
  <c r="B54" i="40"/>
  <c r="F54" i="40" s="1"/>
  <c r="B53" i="40"/>
  <c r="F53" i="40" s="1"/>
  <c r="B56" i="40"/>
  <c r="F56" i="40" s="1"/>
  <c r="B58" i="40"/>
  <c r="F58" i="40" s="1"/>
  <c r="B55" i="40"/>
  <c r="F55" i="40" s="1"/>
  <c r="B57" i="40"/>
  <c r="F57" i="40" s="1"/>
  <c r="B60" i="40"/>
  <c r="F60" i="40" s="1"/>
  <c r="B59" i="40"/>
  <c r="F59" i="40" s="1"/>
  <c r="B62" i="40"/>
  <c r="F62" i="40" s="1"/>
  <c r="F63" i="40"/>
  <c r="B2" i="40" s="1"/>
  <c r="E19" i="79" l="1"/>
  <c r="N10" i="79"/>
  <c r="H17" i="79"/>
  <c r="N17" i="79"/>
  <c r="O17" i="79" s="1"/>
  <c r="E23" i="79"/>
  <c r="E26" i="79" s="1"/>
  <c r="K26" i="9"/>
  <c r="K25" i="9"/>
  <c r="R5" i="54"/>
  <c r="B48" i="63" s="1"/>
  <c r="D63" i="9"/>
  <c r="N68" i="9"/>
  <c r="D14" i="66"/>
  <c r="M38" i="9"/>
  <c r="K27" i="9" s="1"/>
  <c r="E42" i="9"/>
  <c r="P5" i="54" s="1"/>
  <c r="B46" i="63" s="1"/>
  <c r="N38" i="9"/>
  <c r="K28" i="9" s="1"/>
  <c r="D42" i="9"/>
  <c r="Q5" i="54" s="1"/>
  <c r="B47" i="63" s="1"/>
  <c r="B3" i="40"/>
  <c r="B4" i="40"/>
  <c r="B5" i="40"/>
  <c r="B5" i="66" l="1"/>
  <c r="E14" i="66"/>
  <c r="F14" i="66"/>
  <c r="C82" i="9"/>
  <c r="C81" i="9" s="1"/>
  <c r="C85" i="9" s="1"/>
  <c r="C86" i="9" s="1"/>
  <c r="D72" i="9" s="1"/>
  <c r="C90" i="9"/>
  <c r="D71" i="9"/>
  <c r="D66" i="9" s="1"/>
  <c r="N72" i="9" s="1"/>
  <c r="D70" i="9"/>
  <c r="C103" i="9"/>
  <c r="C96" i="9"/>
  <c r="C91" i="9" s="1"/>
  <c r="C111" i="9"/>
  <c r="C104" i="9" s="1"/>
  <c r="D77" i="9"/>
  <c r="N75" i="9" s="1"/>
  <c r="C97" i="9" l="1"/>
  <c r="C5" i="66"/>
  <c r="D5" i="66"/>
  <c r="C113" i="9"/>
  <c r="C98" i="9" l="1"/>
  <c r="E98" i="9" s="1"/>
  <c r="E99" i="9" s="1"/>
  <c r="C114" i="9"/>
  <c r="E114" i="9" s="1"/>
  <c r="E115" i="9" s="1"/>
  <c r="C115" i="9" l="1"/>
  <c r="D76" i="9" s="1"/>
  <c r="D74" i="9" s="1"/>
  <c r="N74" i="9" s="1"/>
  <c r="O77" i="9" s="1"/>
  <c r="O78" i="9" s="1"/>
  <c r="C99" i="9"/>
  <c r="O79" i="9" l="1"/>
  <c r="O80" i="9" s="1"/>
  <c r="Q77" i="9"/>
  <c r="O81" i="9" l="1"/>
  <c r="J6" i="79" l="1"/>
  <c r="K18" i="79" l="1"/>
  <c r="J18" i="79" s="1"/>
  <c r="J25" i="79"/>
  <c r="K25" i="79" s="1"/>
  <c r="H25" i="79"/>
  <c r="C11" i="79" l="1"/>
  <c r="C24" i="79"/>
  <c r="D11" i="79"/>
  <c r="I25" i="79"/>
  <c r="N25" i="79"/>
  <c r="O25" i="79" s="1"/>
  <c r="N6" i="79"/>
  <c r="N11" i="79" s="1"/>
  <c r="I18" i="79"/>
  <c r="N18" i="79" l="1"/>
  <c r="O18" i="79" s="1"/>
  <c r="H18" i="79"/>
  <c r="H12" i="79" l="1"/>
  <c r="H26" i="79" l="1"/>
  <c r="J12" i="79" l="1"/>
  <c r="I26" i="79"/>
  <c r="I19" i="79"/>
  <c r="H19" i="79" l="1"/>
  <c r="J26" i="79"/>
  <c r="C18" i="79"/>
  <c r="C25" i="79" l="1"/>
  <c r="C12" i="79"/>
  <c r="K26" i="79"/>
  <c r="N26" i="79"/>
  <c r="O26" i="79" s="1"/>
  <c r="K19" i="79"/>
  <c r="N7" i="79"/>
  <c r="N12" i="79" s="1"/>
  <c r="J19" i="79" l="1"/>
  <c r="N19" i="79"/>
  <c r="O19"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sharedStrings.xml><?xml version="1.0" encoding="utf-8"?>
<sst xmlns="http://schemas.openxmlformats.org/spreadsheetml/2006/main" count="9119" uniqueCount="3095">
  <si>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</si>
  <si>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</si>
  <si>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</si>
  <si>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</si>
  <si>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</si>
  <si>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</si>
  <si>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</si>
  <si>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</si>
  <si>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</si>
  <si>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</si>
  <si>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</si>
  <si>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</si>
  <si>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</si>
  <si>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</si>
  <si>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</si>
  <si>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</si>
  <si>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</si>
  <si>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</si>
  <si>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</si>
  <si>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</si>
  <si>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</si>
  <si>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</si>
  <si>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</si>
  <si>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</si>
  <si>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</si>
  <si>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</si>
  <si>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</si>
  <si>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</si>
  <si>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</si>
  <si>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</si>
  <si>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</si>
  <si>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</si>
  <si>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</si>
  <si>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</si>
  <si>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</si>
  <si>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</si>
  <si>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</si>
  <si>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</si>
  <si>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</si>
  <si>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</si>
  <si>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</si>
  <si>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</si>
  <si>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</si>
  <si>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</si>
  <si>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</si>
  <si>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</si>
  <si>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</si>
  <si>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</si>
  <si>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</si>
  <si>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</si>
  <si>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</si>
  <si>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</si>
  <si>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</si>
  <si>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</si>
  <si>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</si>
  <si>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</si>
  <si>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</si>
  <si>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</si>
  <si>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</si>
  <si>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</si>
  <si>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</si>
  <si>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</si>
  <si>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</si>
  <si>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</si>
  <si>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</si>
  <si>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</si>
  <si>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</si>
  <si>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</si>
  <si>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</si>
  <si>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</si>
  <si>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</si>
  <si>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</si>
  <si>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</si>
  <si>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</si>
  <si>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</si>
  <si>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</si>
  <si>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</si>
  <si>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</si>
  <si>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</si>
  <si>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</si>
  <si>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</si>
  <si>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</si>
  <si>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</si>
  <si>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</si>
  <si>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</si>
  <si>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</si>
  <si>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</si>
  <si>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</si>
  <si>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</si>
  <si>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</si>
  <si>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</si>
  <si>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</si>
  <si>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</si>
  <si>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</si>
  <si>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</si>
  <si>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</si>
  <si>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</si>
  <si>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</si>
  <si>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</si>
  <si>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</si>
  <si>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</si>
  <si>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</si>
  <si>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</si>
  <si>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</si>
  <si>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</si>
  <si>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</si>
  <si>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</si>
  <si>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</si>
  <si>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</si>
  <si>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</si>
  <si>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</si>
  <si>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</si>
  <si>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</si>
  <si>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</si>
  <si>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</si>
  <si>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</si>
  <si>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</si>
  <si>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</si>
  <si>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</si>
  <si>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</si>
  <si>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</si>
  <si>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</si>
  <si>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</si>
  <si>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</si>
  <si>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</si>
  <si>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</si>
  <si>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</si>
  <si>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</si>
  <si>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</si>
  <si>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</si>
  <si>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</si>
  <si>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</si>
  <si>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</si>
  <si>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</si>
  <si>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</si>
  <si>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</si>
  <si>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</si>
  <si>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</si>
  <si>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</si>
  <si>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</si>
  <si>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</si>
  <si>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</si>
  <si>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</si>
  <si>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</si>
  <si>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</si>
  <si>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</si>
  <si>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</si>
  <si>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</si>
  <si>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</si>
  <si>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</si>
  <si>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</si>
  <si>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</si>
  <si>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</si>
  <si>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</si>
  <si>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</si>
  <si>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</si>
  <si>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</si>
  <si>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</si>
  <si>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</si>
  <si>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</si>
  <si>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</si>
  <si>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</si>
  <si>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</si>
  <si>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</si>
  <si>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</si>
  <si>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</si>
  <si>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</si>
  <si>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</si>
  <si>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</si>
  <si>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</si>
  <si>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</si>
  <si>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</si>
  <si>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</si>
  <si>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</si>
  <si>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</si>
  <si>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</si>
  <si>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</si>
  <si>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</si>
  <si>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</si>
  <si>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</si>
  <si>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</si>
  <si>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</si>
  <si>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</si>
  <si>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</si>
  <si>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</si>
  <si>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</si>
  <si>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</si>
  <si>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</si>
  <si>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</si>
  <si>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</si>
  <si>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</si>
  <si>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</si>
  <si>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</si>
  <si>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</si>
  <si>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</si>
  <si>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</si>
  <si>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</si>
  <si>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</si>
  <si>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</si>
  <si>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</si>
  <si>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</si>
  <si>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</si>
  <si>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</si>
  <si>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</si>
  <si>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</si>
  <si>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</si>
  <si>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</si>
  <si>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</si>
  <si>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</si>
  <si>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</si>
  <si>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</si>
  <si>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</si>
  <si>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</si>
  <si>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</si>
  <si>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</si>
  <si>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</si>
  <si>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</si>
  <si>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</si>
  <si>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</si>
  <si>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</si>
  <si>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</si>
  <si>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</si>
  <si>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</si>
  <si>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</si>
  <si>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</si>
  <si>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</si>
  <si>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</si>
  <si>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</si>
  <si>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</si>
  <si>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</si>
  <si>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</si>
  <si>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</si>
  <si>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</si>
  <si>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</si>
  <si>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</si>
  <si>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</si>
  <si>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</si>
  <si>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</si>
  <si>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</si>
  <si>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</si>
  <si>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</si>
  <si>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</si>
  <si>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</si>
  <si>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</si>
  <si>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</si>
  <si>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</si>
  <si>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</si>
  <si>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</si>
  <si>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</si>
  <si>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</si>
  <si>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</si>
  <si>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</si>
  <si>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</si>
  <si>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</si>
  <si>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</si>
  <si>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</si>
  <si>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</si>
  <si>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</si>
  <si>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</si>
  <si>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</si>
  <si>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</si>
  <si>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</si>
  <si>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</si>
  <si>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</si>
  <si>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</si>
  <si>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</si>
  <si>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</si>
  <si>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</si>
  <si>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</si>
  <si>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</si>
  <si>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</si>
  <si>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</si>
  <si>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</si>
  <si>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</si>
  <si>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</si>
  <si>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</si>
  <si>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</si>
  <si>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</si>
  <si>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</si>
  <si>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</si>
  <si>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</si>
  <si>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</si>
  <si>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</si>
  <si>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</si>
  <si>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</si>
  <si>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</si>
  <si>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</si>
  <si>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</si>
  <si>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</si>
  <si>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</si>
  <si>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</si>
  <si>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</si>
  <si>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</si>
  <si>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</si>
  <si>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</si>
  <si>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</si>
  <si>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</si>
  <si>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</si>
  <si>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</si>
  <si>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</si>
  <si>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</si>
  <si>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</si>
  <si>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</si>
  <si>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</si>
  <si>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</si>
  <si>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</si>
  <si>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</si>
  <si>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</si>
  <si>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</si>
  <si>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</si>
  <si>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</si>
  <si>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</si>
  <si>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</si>
  <si>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</si>
  <si>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</si>
  <si>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</si>
  <si>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</si>
  <si>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</si>
  <si>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</si>
  <si>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</si>
  <si>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</si>
  <si>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</si>
  <si>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</si>
  <si>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</si>
  <si>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</si>
  <si>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</si>
  <si>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</si>
  <si>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</si>
  <si>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</si>
  <si>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</si>
  <si>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</si>
  <si>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</si>
  <si>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</si>
  <si>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</si>
  <si>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</si>
  <si>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</si>
  <si>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</si>
  <si>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</si>
  <si>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</si>
  <si>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</si>
  <si>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</si>
  <si>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</si>
  <si>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</si>
  <si>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</si>
  <si>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</si>
  <si>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</si>
  <si>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</si>
  <si>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</si>
  <si>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</si>
  <si>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</si>
  <si>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</si>
  <si>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</si>
  <si>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</si>
  <si>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</si>
  <si>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</si>
  <si>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</si>
  <si>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</si>
  <si>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</si>
  <si>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</si>
  <si>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</si>
  <si>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</si>
  <si>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</si>
  <si>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</si>
  <si>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</si>
  <si>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</si>
  <si>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</si>
  <si>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</si>
  <si>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</si>
  <si>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</si>
  <si>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</si>
  <si>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</si>
  <si>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</si>
  <si>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</si>
  <si>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</si>
  <si>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</si>
  <si>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</si>
  <si>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</si>
  <si>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</si>
  <si>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</si>
  <si>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</si>
  <si>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</si>
  <si>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</si>
  <si>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</si>
  <si>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</si>
  <si>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</si>
  <si>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</si>
  <si>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</si>
  <si>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</si>
  <si>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</si>
  <si>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</si>
  <si>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</si>
  <si>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</si>
  <si>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</si>
  <si>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</si>
  <si>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</si>
  <si>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</si>
  <si>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</si>
  <si>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</si>
  <si>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</si>
  <si>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</si>
  <si>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</si>
  <si>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</si>
  <si>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</si>
  <si>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</si>
  <si>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</si>
  <si>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</si>
  <si>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</si>
  <si>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</si>
  <si>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</si>
  <si>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</si>
  <si>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</si>
  <si>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</si>
  <si>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</si>
  <si>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</si>
  <si>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</si>
  <si>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</si>
  <si>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</si>
  <si>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</si>
  <si>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</si>
  <si>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</si>
  <si>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</si>
  <si>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</si>
  <si>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</si>
  <si>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</si>
  <si>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</si>
  <si>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</si>
  <si>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</si>
  <si>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</si>
  <si>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</si>
  <si>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</si>
  <si>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</si>
  <si>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</si>
  <si>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</si>
  <si>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</si>
  <si>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</si>
  <si>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</si>
  <si>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</si>
  <si>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</si>
  <si>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</si>
  <si>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</si>
  <si>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</si>
  <si>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</si>
  <si>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</si>
  <si>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</si>
  <si>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</si>
  <si>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</si>
  <si>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</si>
  <si>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</si>
  <si>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</si>
  <si>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</si>
  <si>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</si>
  <si>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</si>
  <si>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</si>
  <si>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</si>
  <si>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</si>
  <si>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</si>
  <si>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</si>
  <si>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</si>
  <si>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</si>
  <si>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</si>
  <si>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</si>
  <si>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</si>
  <si>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</si>
  <si>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</si>
  <si>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</si>
  <si>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</si>
  <si>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</si>
  <si>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</si>
  <si>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</si>
  <si>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</si>
  <si>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</si>
  <si>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</si>
  <si>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</si>
  <si>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</si>
  <si>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</si>
  <si>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</si>
  <si>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</si>
  <si>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</si>
  <si>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</si>
  <si>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</si>
  <si>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</si>
  <si>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</si>
  <si>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</si>
  <si>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</si>
  <si>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</si>
  <si>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</si>
  <si>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</si>
  <si>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</si>
  <si>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</si>
  <si>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</si>
  <si>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</si>
  <si>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</si>
  <si>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</si>
  <si>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</si>
  <si>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</si>
  <si>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</si>
  <si>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</si>
  <si>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</si>
  <si>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</si>
  <si>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</si>
  <si>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</si>
  <si>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</si>
  <si>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</si>
  <si>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</si>
  <si>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</si>
  <si>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</si>
  <si>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</si>
  <si>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</si>
  <si>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</si>
  <si>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</si>
  <si>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</si>
  <si>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</si>
  <si>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</si>
  <si>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</si>
  <si>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</si>
  <si>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</si>
  <si>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</si>
  <si>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</si>
  <si>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</si>
  <si>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</si>
  <si>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</si>
  <si>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</si>
  <si>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</si>
  <si>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</si>
  <si>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</si>
  <si>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</si>
  <si>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</si>
  <si>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</si>
  <si>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</si>
  <si>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</si>
  <si>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</si>
  <si>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</si>
  <si>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</si>
  <si>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</si>
  <si>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</si>
  <si>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</si>
  <si>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</si>
  <si>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</si>
  <si>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</si>
  <si>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</si>
  <si>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</si>
  <si>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</si>
  <si>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</si>
  <si>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</si>
  <si>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</si>
  <si>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</si>
  <si>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</si>
  <si>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</si>
  <si>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</si>
  <si>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</si>
  <si>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</si>
  <si>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</si>
  <si>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</si>
  <si>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</si>
  <si>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</si>
  <si>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</si>
  <si>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</si>
  <si>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</si>
  <si>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</si>
  <si>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</si>
  <si>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</si>
  <si>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</si>
  <si>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</si>
  <si>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</si>
  <si>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</si>
  <si>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</si>
  <si>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</si>
  <si>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</si>
  <si>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</si>
  <si>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</si>
  <si>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</si>
  <si>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</si>
  <si>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</si>
  <si>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</si>
  <si>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</si>
  <si>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</si>
  <si>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</si>
  <si>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</si>
  <si>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</si>
  <si>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</si>
  <si>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</si>
  <si>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</si>
  <si>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</si>
  <si>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</si>
  <si>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</si>
  <si>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</si>
  <si>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</si>
  <si>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</si>
  <si>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</si>
  <si>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</si>
  <si>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</si>
  <si>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</si>
  <si>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</si>
  <si>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</si>
  <si>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</si>
  <si>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</si>
  <si>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</si>
  <si>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</si>
  <si>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</si>
  <si>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</si>
  <si>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</si>
  <si>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</si>
  <si>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</si>
  <si>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</si>
  <si>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</si>
  <si>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</si>
  <si>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</si>
  <si>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</si>
  <si>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</si>
  <si>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</si>
  <si>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</si>
  <si>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</si>
  <si>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</si>
  <si>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</si>
  <si>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</si>
  <si>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</si>
  <si>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</si>
  <si>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</si>
  <si>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</si>
  <si>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</si>
  <si>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</si>
  <si>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</si>
  <si>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</si>
  <si>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</si>
  <si>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</si>
  <si>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</si>
  <si>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</si>
  <si>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</si>
  <si>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</si>
  <si>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</si>
  <si>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</si>
  <si>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</si>
  <si>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</si>
  <si>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</si>
  <si>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</si>
  <si>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</si>
  <si>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</si>
  <si>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</si>
  <si>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</si>
  <si>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</si>
  <si>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</si>
  <si>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</si>
  <si>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</si>
  <si>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</si>
  <si>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</si>
  <si>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</si>
  <si>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</si>
  <si>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</si>
  <si>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</si>
  <si>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</si>
  <si>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</si>
  <si>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</si>
  <si>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</si>
  <si>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</si>
  <si>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</si>
  <si>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</si>
  <si>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</si>
  <si>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</si>
  <si>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</si>
  <si>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</si>
  <si>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</si>
  <si>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</si>
  <si>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</si>
  <si>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</si>
  <si>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</si>
  <si>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</si>
  <si>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</si>
  <si>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</si>
  <si>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</si>
  <si>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</si>
  <si>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</si>
  <si>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</si>
  <si>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</si>
  <si>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</si>
  <si>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</si>
  <si>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</si>
  <si>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</si>
  <si>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</si>
  <si>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</si>
  <si>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</si>
  <si>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</si>
  <si>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</si>
  <si>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</si>
  <si>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</si>
  <si>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</si>
  <si>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</si>
  <si>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</si>
  <si>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</si>
  <si>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</si>
  <si>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</si>
  <si>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</si>
  <si>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</si>
  <si>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</si>
  <si>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</si>
  <si>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</si>
  <si>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</si>
  <si>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</si>
  <si>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</si>
  <si>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</si>
  <si>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</si>
  <si>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</si>
  <si>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</si>
  <si>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</si>
  <si>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</si>
  <si>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</si>
  <si>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</si>
  <si>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</si>
  <si>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</si>
  <si>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</si>
  <si>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</si>
  <si>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</si>
  <si>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</si>
  <si>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</si>
  <si>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</si>
  <si>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</si>
  <si>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</si>
  <si>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</si>
  <si>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</si>
  <si>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</si>
  <si>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</si>
  <si>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</si>
  <si>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</si>
  <si>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</si>
  <si>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</si>
  <si>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</si>
  <si>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</si>
  <si>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</si>
  <si>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</si>
  <si>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</si>
  <si>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</si>
  <si>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</si>
  <si>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</si>
  <si>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</si>
  <si>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</si>
  <si>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</si>
  <si>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</si>
  <si>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</si>
  <si>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</si>
  <si>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</si>
  <si>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</si>
  <si>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</si>
  <si>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</si>
  <si>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</si>
  <si>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</si>
  <si>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</si>
  <si>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</si>
  <si>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</si>
  <si>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</si>
  <si>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</si>
  <si>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</si>
  <si>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</si>
  <si>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</si>
  <si>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</si>
  <si>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</si>
  <si>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</si>
  <si>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</si>
  <si>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</si>
  <si>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</si>
  <si>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</si>
  <si>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</si>
  <si>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</si>
  <si>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</si>
  <si>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</si>
  <si>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</si>
  <si>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</si>
  <si>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</si>
  <si>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</si>
  <si>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</si>
  <si>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</si>
  <si>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</si>
  <si>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</si>
  <si>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</si>
  <si>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</si>
  <si>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</si>
  <si>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</si>
  <si>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</si>
  <si>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</si>
  <si>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</si>
  <si>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</si>
  <si>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</si>
  <si>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</si>
  <si>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</si>
  <si>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</si>
  <si>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</si>
  <si>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</si>
  <si>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</si>
  <si>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</si>
  <si>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</si>
  <si>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</si>
  <si>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</si>
  <si>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</si>
  <si>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</si>
  <si>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</si>
  <si>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</si>
  <si>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</si>
  <si>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</si>
  <si>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</si>
  <si>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</si>
  <si>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</si>
  <si>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</si>
  <si>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</si>
  <si>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</si>
  <si>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</si>
  <si>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</si>
  <si>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</si>
  <si>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</si>
  <si>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</si>
  <si>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</si>
  <si>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</si>
  <si>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</si>
  <si>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</si>
  <si>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</si>
  <si>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</si>
  <si>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</si>
  <si>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</si>
  <si>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</si>
  <si>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</si>
  <si>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</si>
  <si>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</si>
  <si>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</si>
  <si>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</si>
  <si>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</si>
  <si>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</si>
  <si>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</si>
  <si>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</si>
  <si>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</si>
  <si>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</si>
  <si>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</si>
  <si>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</si>
  <si>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</si>
  <si>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</si>
  <si>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</si>
  <si>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</si>
  <si>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</si>
  <si>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</si>
  <si>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</si>
  <si>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</si>
  <si>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</si>
  <si>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</si>
  <si>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</si>
  <si>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</si>
  <si>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</si>
  <si>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</si>
  <si>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</si>
  <si>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</si>
  <si>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</si>
  <si>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</si>
  <si>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</si>
  <si>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</si>
  <si>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</si>
  <si>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</si>
  <si>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</si>
  <si>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</si>
  <si>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</si>
  <si>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</si>
  <si>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</si>
  <si>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</si>
  <si>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</si>
  <si>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</si>
  <si>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</si>
  <si>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</si>
  <si>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</si>
  <si>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</si>
  <si>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</si>
  <si>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</si>
  <si>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</si>
  <si>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</si>
  <si>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</si>
  <si>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</si>
  <si>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</si>
  <si>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</si>
  <si>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</si>
  <si>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</si>
  <si>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</si>
  <si>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</si>
  <si>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</si>
  <si>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</si>
  <si>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</si>
  <si>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</si>
  <si>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</si>
  <si>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</si>
  <si>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</si>
  <si>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</si>
  <si>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</si>
  <si>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</si>
  <si>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</si>
  <si>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</si>
  <si>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</si>
  <si>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</si>
  <si>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</si>
  <si>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</si>
  <si>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</si>
  <si>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</si>
  <si>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</si>
  <si>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</si>
  <si>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</si>
  <si>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</si>
  <si>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</si>
  <si>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</si>
  <si>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</si>
  <si>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</si>
  <si>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</si>
  <si>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</si>
  <si>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</si>
  <si>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</si>
  <si>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</si>
  <si>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</si>
  <si>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</si>
  <si>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</si>
  <si>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</si>
  <si>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</si>
  <si>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</si>
  <si>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</si>
  <si>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</si>
  <si>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</si>
  <si>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</si>
  <si>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</si>
  <si>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</si>
  <si>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</si>
  <si>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</si>
  <si>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</si>
  <si>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</si>
  <si>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</si>
  <si>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</si>
  <si>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</si>
  <si>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</si>
  <si>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</si>
  <si>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</si>
  <si>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</si>
  <si>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</si>
  <si>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</si>
  <si>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</si>
  <si>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</si>
  <si>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</si>
  <si>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</si>
  <si>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</si>
  <si>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</si>
  <si>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</si>
  <si>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</si>
  <si>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</si>
  <si>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</si>
  <si>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</si>
  <si>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</si>
  <si>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</si>
  <si>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</si>
  <si>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</si>
  <si>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</si>
  <si>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</si>
  <si>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</si>
  <si>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</si>
  <si>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</si>
  <si>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</si>
  <si>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</si>
  <si>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</si>
  <si>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</si>
  <si>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</si>
  <si>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</si>
  <si>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</si>
  <si>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</si>
  <si>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</si>
  <si>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</si>
  <si>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</si>
  <si>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</si>
  <si>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</si>
  <si>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</si>
  <si>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</si>
  <si>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</si>
  <si>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</si>
  <si>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</si>
  <si>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</si>
  <si>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</si>
  <si>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</si>
  <si>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</si>
  <si>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</si>
  <si>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</si>
  <si>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</si>
  <si>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</si>
  <si>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</si>
  <si>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</si>
  <si>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</si>
  <si>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</si>
  <si>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</si>
  <si>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</si>
  <si>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</si>
  <si>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</si>
  <si>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</si>
  <si>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</si>
  <si>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</si>
  <si>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</si>
  <si>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</si>
  <si>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</si>
  <si>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</si>
  <si>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</si>
  <si>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</si>
  <si>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</si>
  <si>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</si>
  <si>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</si>
  <si>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</si>
  <si>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</si>
  <si>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</si>
  <si>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</si>
  <si>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</si>
  <si>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</si>
  <si>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</si>
  <si>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</si>
  <si>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</si>
  <si>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</si>
  <si>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</si>
  <si>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</si>
  <si>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</si>
  <si>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</si>
  <si>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</si>
  <si>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</si>
  <si>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</si>
  <si>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</si>
  <si>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</si>
  <si>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</si>
  <si>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</si>
  <si>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</si>
  <si>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</si>
  <si>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</si>
  <si>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</si>
  <si>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</si>
  <si>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</si>
  <si>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</si>
  <si>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</si>
  <si>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</si>
  <si>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</si>
  <si>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</si>
  <si>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</si>
  <si>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</si>
  <si>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</si>
  <si>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</si>
  <si>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</si>
  <si>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</si>
  <si>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</si>
  <si>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</si>
  <si>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</si>
  <si>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</si>
  <si>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</si>
  <si>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</si>
  <si>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</si>
  <si>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</si>
  <si>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</si>
  <si>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</si>
  <si>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</si>
  <si>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</si>
  <si>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</si>
  <si>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</si>
  <si>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</si>
  <si>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</si>
  <si>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</si>
  <si>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</si>
  <si>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</si>
  <si>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</si>
  <si>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</si>
  <si>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</si>
  <si>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</si>
  <si>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</si>
  <si>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</si>
  <si>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</si>
  <si>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</si>
  <si>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</si>
  <si>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</si>
  <si>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</si>
  <si>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</si>
  <si>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</si>
  <si>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</si>
  <si>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</si>
  <si>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</si>
  <si>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</si>
  <si>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</si>
  <si>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</si>
  <si>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</si>
  <si>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</si>
  <si>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</si>
  <si>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</si>
  <si>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</si>
  <si>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</si>
  <si>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</si>
  <si>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</si>
  <si>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</si>
  <si>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</si>
  <si>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</si>
  <si>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</si>
  <si>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</si>
  <si>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</si>
  <si>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</si>
  <si>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</si>
  <si>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</si>
  <si>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</si>
  <si>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</si>
  <si>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</si>
  <si>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</si>
  <si>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</si>
  <si>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</si>
  <si>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</si>
  <si>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</si>
  <si>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</si>
  <si>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</si>
  <si>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</si>
  <si>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</si>
  <si>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</si>
  <si>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</si>
  <si>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</si>
  <si>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</si>
  <si>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</si>
  <si>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</si>
  <si>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</si>
  <si>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</si>
  <si>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</si>
  <si>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</si>
  <si>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</si>
  <si>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</si>
  <si>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</si>
  <si>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</si>
  <si>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</si>
  <si>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</si>
  <si>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</si>
  <si>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</si>
  <si>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</si>
  <si>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</si>
  <si>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</si>
  <si>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</si>
  <si>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</si>
  <si>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</si>
  <si>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</si>
  <si>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</si>
  <si>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</si>
  <si>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</si>
  <si>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</si>
  <si>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</si>
  <si>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</si>
  <si>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</si>
  <si>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</si>
  <si>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</si>
  <si>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</si>
  <si>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</si>
  <si>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</si>
  <si>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</si>
  <si>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</si>
  <si>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</si>
  <si>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</si>
  <si>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</si>
  <si>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</si>
  <si>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</si>
  <si>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</si>
  <si>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</si>
  <si>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</si>
  <si>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</si>
  <si>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</si>
  <si>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</si>
  <si>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</si>
  <si>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</si>
  <si>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</si>
  <si>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</si>
  <si>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</si>
  <si>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</si>
  <si>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</si>
  <si>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</si>
  <si>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</si>
  <si>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</si>
  <si>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</si>
  <si>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</si>
  <si>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</si>
  <si>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</si>
  <si>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</si>
  <si>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</si>
  <si>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</si>
  <si>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</si>
  <si>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</si>
  <si>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</si>
  <si>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</si>
  <si>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</si>
  <si>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</si>
  <si>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</si>
  <si>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</si>
  <si>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</si>
  <si>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</si>
  <si>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</si>
  <si>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</si>
  <si>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</si>
  <si>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</si>
  <si>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</si>
  <si>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</si>
  <si>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</si>
  <si>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</si>
  <si>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</si>
  <si>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</si>
  <si>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</si>
  <si>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</si>
  <si>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</si>
  <si>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</si>
  <si>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</si>
  <si>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</si>
  <si>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</si>
  <si>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</si>
  <si>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</si>
  <si>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</si>
  <si>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</si>
  <si>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</si>
  <si>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</si>
  <si>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</si>
  <si>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</si>
  <si>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</si>
  <si>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</si>
  <si>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</si>
  <si>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</si>
  <si>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</si>
  <si>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</si>
  <si>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</si>
  <si>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</si>
  <si>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</si>
  <si>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</si>
  <si>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</si>
  <si>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</si>
  <si>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</si>
  <si>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</si>
  <si>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</si>
  <si>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</si>
  <si>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</si>
  <si>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</si>
  <si>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</si>
  <si>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</si>
  <si>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</si>
  <si>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</si>
  <si>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</si>
  <si>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</si>
  <si>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</si>
  <si>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</si>
  <si>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</si>
  <si>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</si>
  <si>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</si>
  <si>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</si>
  <si>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</si>
  <si>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</si>
  <si>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</si>
  <si>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</si>
  <si>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</si>
  <si>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</si>
  <si>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</si>
  <si>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</si>
  <si>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</si>
  <si>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</si>
  <si>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</si>
  <si>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</si>
  <si>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</si>
  <si>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</si>
  <si>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</si>
  <si>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</si>
  <si>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</si>
  <si>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</si>
  <si>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</si>
  <si>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</si>
  <si>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</si>
  <si>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</si>
  <si>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</si>
  <si>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</si>
  <si>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</si>
  <si>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</si>
  <si>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</si>
  <si>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</si>
  <si>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</si>
  <si>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</si>
  <si>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</si>
  <si>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</si>
  <si>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</si>
  <si>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</si>
  <si>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</si>
  <si>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</si>
  <si>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</si>
  <si>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</si>
  <si>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</si>
  <si>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</si>
  <si>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</si>
  <si>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</si>
  <si>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</si>
  <si>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</si>
  <si>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</si>
  <si>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</si>
  <si>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</si>
  <si>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</si>
  <si>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</si>
  <si>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</si>
  <si>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</si>
  <si>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</si>
  <si>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</si>
  <si>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</si>
  <si>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</si>
  <si>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</si>
  <si>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</si>
  <si>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</si>
  <si>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</si>
  <si>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</si>
  <si>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</si>
  <si>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</si>
  <si>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</si>
  <si>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</si>
  <si>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</si>
  <si>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</si>
  <si>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</si>
  <si>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</si>
  <si>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</si>
  <si>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</si>
  <si>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</si>
  <si>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</si>
  <si>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</si>
  <si>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</si>
  <si>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</si>
  <si>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</si>
  <si>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</si>
  <si>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</si>
  <si>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</si>
  <si>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</si>
  <si>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</si>
  <si>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</si>
  <si>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</si>
  <si>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</si>
  <si>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</si>
  <si>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</si>
  <si>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</si>
  <si>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</si>
  <si>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</si>
  <si>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</si>
  <si>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</si>
  <si>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</si>
  <si>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</si>
  <si>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</si>
  <si>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</si>
  <si>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</si>
  <si>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</si>
  <si>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</si>
  <si>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</si>
  <si>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</si>
  <si>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</si>
  <si>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</si>
  <si>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</si>
  <si>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</si>
  <si>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</si>
  <si>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</si>
  <si>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</si>
  <si>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</si>
  <si>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</si>
  <si>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</si>
  <si>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</si>
  <si>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</si>
  <si>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</si>
  <si>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</si>
  <si>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</si>
  <si>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</si>
  <si>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</si>
  <si>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</si>
  <si>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</si>
  <si>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</si>
  <si>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</si>
  <si>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</si>
  <si>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</si>
  <si>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</si>
  <si>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</si>
  <si>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</si>
  <si>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</si>
  <si>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</si>
  <si>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</si>
  <si>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</si>
  <si>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</si>
  <si>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</si>
  <si>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</si>
  <si>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</si>
  <si>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</si>
  <si>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</si>
  <si>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</si>
  <si>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</si>
  <si>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</si>
  <si>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</si>
  <si>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</si>
  <si>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</si>
  <si>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</si>
  <si>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</si>
  <si>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</si>
  <si>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</si>
  <si>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</si>
  <si>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</si>
  <si>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</si>
  <si>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</si>
  <si>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</si>
  <si>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</si>
  <si>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</si>
  <si>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</si>
  <si>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</si>
  <si>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</si>
  <si>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</si>
  <si>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</si>
  <si>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</si>
  <si>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</si>
  <si>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</si>
  <si>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</si>
  <si>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</si>
  <si>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</si>
  <si>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</si>
  <si>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</si>
  <si>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</si>
  <si>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</si>
  <si>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</si>
  <si>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</si>
  <si>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</si>
  <si>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</si>
  <si>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</si>
  <si>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</si>
  <si>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</si>
  <si>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</si>
  <si>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</si>
  <si>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</si>
  <si>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</si>
  <si>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</si>
  <si>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</si>
  <si>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</si>
  <si>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</si>
  <si>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</si>
  <si>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</si>
  <si>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</si>
  <si>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</si>
  <si>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</si>
  <si>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</si>
  <si>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</si>
  <si>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</si>
  <si>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</si>
  <si>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</si>
  <si>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</si>
  <si>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</si>
  <si>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</si>
  <si>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</si>
  <si>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</si>
  <si>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</si>
  <si>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</si>
  <si>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</si>
  <si>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</si>
  <si>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</si>
  <si>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</si>
  <si>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</si>
  <si>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</si>
  <si>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</si>
  <si>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</si>
  <si>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</si>
  <si>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</si>
  <si>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</si>
  <si>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</si>
  <si>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</si>
  <si>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</si>
  <si>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</si>
  <si>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</si>
  <si>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</si>
  <si>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</si>
  <si>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</si>
  <si>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</si>
  <si>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</si>
  <si>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</si>
  <si>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</si>
  <si>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</si>
  <si>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</si>
  <si>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</si>
  <si>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</si>
  <si>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</si>
  <si>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</si>
  <si>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</si>
  <si>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</si>
  <si>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</si>
  <si>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</si>
  <si>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</si>
  <si>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</si>
  <si>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</si>
  <si>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</si>
  <si>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</si>
  <si>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</si>
  <si>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</si>
  <si>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</si>
  <si>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</si>
  <si>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</si>
  <si>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</si>
  <si>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</si>
  <si>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</si>
  <si>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</si>
  <si>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</si>
  <si>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</si>
  <si>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</si>
  <si>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</si>
  <si>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</si>
  <si>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</si>
  <si>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</si>
  <si>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</si>
  <si>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</si>
  <si>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</si>
  <si>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</si>
  <si>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</si>
  <si>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</si>
  <si>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</si>
  <si>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</si>
  <si>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</si>
  <si>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</si>
  <si>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</si>
  <si>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</si>
  <si>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</si>
  <si>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</si>
  <si>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</si>
  <si>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</si>
  <si>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</si>
  <si>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</si>
  <si>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</si>
  <si>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</si>
  <si>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</si>
  <si>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</si>
  <si>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</si>
  <si>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</si>
  <si>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</si>
  <si>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</si>
  <si>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</si>
  <si>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</si>
  <si>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</si>
  <si>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</si>
  <si>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</si>
  <si>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</si>
  <si>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</si>
  <si>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</si>
  <si>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</si>
  <si>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</si>
  <si>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</si>
  <si>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</si>
  <si>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</si>
  <si>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</si>
  <si>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</si>
  <si>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</si>
  <si>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</si>
  <si>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</si>
  <si>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</si>
  <si>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</si>
  <si>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</si>
  <si>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</si>
  <si>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</si>
  <si>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</si>
  <si>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</si>
  <si>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</si>
  <si>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</si>
  <si>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</si>
  <si>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</si>
  <si>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</si>
  <si>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</si>
  <si>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</si>
  <si>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</si>
  <si>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</si>
  <si>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</si>
  <si>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</si>
  <si>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</si>
  <si>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</si>
  <si>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</si>
  <si>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</si>
  <si>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</si>
  <si>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</si>
  <si>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</si>
  <si>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</si>
  <si>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</si>
  <si>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</si>
  <si>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</si>
  <si>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</si>
  <si>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</si>
  <si>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</si>
  <si>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</si>
  <si>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</si>
  <si>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</si>
  <si>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</si>
  <si>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</si>
  <si>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</si>
  <si>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</si>
  <si>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</si>
  <si>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</si>
  <si>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</si>
  <si>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</si>
  <si>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</si>
  <si>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</si>
  <si>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</si>
  <si>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</si>
  <si>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</si>
  <si>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</si>
  <si>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</si>
  <si>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</si>
  <si>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</si>
  <si>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</si>
  <si>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</si>
  <si>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</si>
  <si>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</si>
  <si>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</si>
  <si>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</si>
  <si>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</si>
  <si>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</si>
  <si>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</si>
  <si>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</si>
  <si>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</si>
  <si>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</si>
  <si>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</si>
  <si>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</si>
  <si>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</si>
  <si>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</si>
  <si>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</si>
  <si>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</si>
  <si>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</si>
  <si>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</si>
  <si>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</si>
  <si>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</si>
  <si>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</si>
  <si>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</si>
  <si>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</si>
  <si>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</si>
  <si>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</si>
  <si>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</si>
  <si>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</si>
  <si>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</si>
  <si>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</si>
  <si>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</si>
  <si>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</si>
  <si>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</si>
  <si>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</si>
  <si>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</si>
  <si>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</si>
  <si>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</si>
  <si>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</si>
  <si>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</si>
  <si>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</si>
  <si>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</si>
  <si>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</si>
  <si>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</si>
  <si>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</si>
  <si>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</si>
  <si>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</si>
  <si>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</si>
  <si>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</si>
  <si>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</si>
  <si>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</si>
  <si>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</si>
  <si>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</si>
  <si>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</si>
  <si>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</si>
  <si>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</si>
  <si>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</si>
  <si>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</si>
  <si>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</si>
  <si>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</si>
  <si>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</si>
  <si>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</si>
  <si>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</si>
  <si>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</si>
  <si>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</si>
  <si>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</si>
  <si>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</si>
  <si>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</si>
  <si>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</si>
  <si>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</si>
  <si>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</si>
  <si>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</si>
  <si>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</si>
  <si>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</si>
  <si>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</si>
  <si>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</si>
  <si>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</si>
  <si>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</si>
  <si>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</si>
  <si>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</si>
  <si>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</si>
  <si>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</si>
  <si>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</si>
  <si>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</si>
  <si>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</si>
  <si>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</si>
  <si>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</si>
  <si>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</si>
  <si>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</si>
  <si>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</si>
  <si>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</si>
  <si>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</si>
  <si>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</si>
  <si>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</si>
  <si>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</si>
  <si>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</si>
  <si>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</si>
  <si>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</si>
  <si>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</si>
  <si>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</si>
  <si>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</si>
  <si>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</si>
  <si>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</si>
  <si>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</si>
  <si>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</si>
  <si>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</si>
  <si>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</si>
  <si>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</si>
  <si>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</si>
  <si>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</si>
  <si>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</si>
  <si>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</si>
  <si>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</si>
  <si>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</si>
  <si>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</si>
  <si>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</si>
  <si>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</si>
  <si>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</si>
  <si>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</si>
  <si>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</si>
  <si>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</si>
  <si>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</si>
  <si>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</si>
  <si>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</si>
  <si>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</si>
  <si>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</si>
  <si>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</si>
  <si>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</si>
  <si>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</si>
  <si>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</si>
  <si>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</si>
  <si>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</si>
  <si>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</si>
  <si>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</si>
  <si>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</si>
  <si>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</si>
  <si>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</si>
  <si>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</si>
  <si>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</si>
  <si>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</si>
  <si>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</si>
  <si>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</si>
  <si>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</si>
  <si>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</si>
  <si>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</si>
  <si>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</si>
  <si>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</si>
  <si>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</si>
  <si>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</si>
  <si>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</si>
  <si>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</si>
  <si>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</si>
  <si>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</si>
  <si>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</si>
  <si>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</si>
  <si>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</si>
  <si>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</si>
  <si>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</si>
  <si>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</si>
  <si>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</si>
  <si>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</si>
  <si>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</si>
  <si>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</si>
  <si>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</si>
  <si>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</si>
  <si>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</si>
  <si>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</si>
  <si>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</si>
  <si>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</si>
  <si>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</si>
  <si>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</si>
  <si>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</si>
  <si>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</si>
  <si>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</si>
  <si>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</si>
  <si>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</si>
  <si>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</si>
  <si>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</si>
  <si>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</si>
  <si>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</si>
  <si>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</si>
  <si>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</si>
  <si>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</si>
  <si>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</si>
  <si>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</si>
  <si>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</si>
  <si>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</si>
  <si>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</si>
  <si>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</si>
  <si>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</si>
  <si>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</si>
  <si>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</si>
  <si>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</si>
  <si>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</si>
  <si>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</si>
  <si>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</si>
  <si>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</si>
  <si>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</si>
  <si>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</si>
  <si>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</si>
  <si>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</si>
  <si>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</si>
  <si>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</si>
  <si>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</si>
  <si>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</si>
  <si>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</si>
  <si>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</si>
  <si>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</si>
  <si>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</si>
  <si>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</si>
  <si>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</si>
  <si>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</si>
  <si>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</si>
  <si>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</si>
  <si>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</si>
  <si>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</si>
  <si>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</si>
  <si>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</si>
  <si>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</si>
  <si>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</si>
  <si>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</si>
  <si>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</si>
  <si>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</si>
  <si>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</si>
  <si>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</si>
  <si>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</si>
  <si>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</si>
  <si>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</si>
  <si>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</si>
  <si>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</si>
  <si>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</si>
  <si>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</si>
  <si>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</si>
  <si>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</si>
  <si>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</si>
  <si>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</si>
  <si>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</si>
  <si>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</si>
  <si>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</si>
  <si>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</si>
  <si>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</si>
  <si>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</si>
  <si>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</si>
  <si>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</si>
  <si>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</si>
  <si>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</si>
  <si>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</si>
  <si>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</si>
  <si>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</si>
  <si>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</si>
  <si>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</si>
  <si>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</si>
  <si>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</si>
  <si>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</si>
  <si>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</si>
  <si>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</si>
  <si>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</si>
  <si>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</si>
  <si>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</si>
  <si>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</si>
  <si>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</si>
  <si>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</si>
  <si>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</si>
  <si>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</si>
  <si>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</si>
  <si>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</si>
  <si>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</si>
  <si>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</si>
  <si>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</si>
  <si>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</si>
  <si>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</si>
  <si>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</si>
  <si>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</si>
  <si>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</si>
  <si>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</si>
  <si>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</si>
  <si>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</si>
  <si>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</si>
  <si>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</si>
  <si>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</si>
  <si>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</si>
  <si>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</si>
  <si>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</si>
  <si>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</si>
  <si>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</si>
  <si>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</si>
  <si>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</si>
  <si>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</si>
  <si>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</si>
  <si>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</si>
  <si>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</si>
  <si>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</si>
  <si>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</si>
  <si>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</si>
  <si>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</si>
  <si>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</si>
  <si>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</si>
  <si>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</si>
  <si>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</si>
  <si>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</si>
  <si>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</si>
  <si>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</si>
  <si>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</si>
  <si>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</si>
  <si>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</si>
  <si>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</si>
  <si>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</si>
  <si>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</si>
  <si>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</si>
  <si>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</si>
  <si>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</si>
  <si>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</si>
  <si>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</si>
  <si>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</si>
  <si>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</si>
  <si>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</si>
  <si>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</si>
  <si>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</si>
  <si>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</si>
  <si>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</si>
  <si>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</si>
  <si>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</si>
  <si>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</si>
  <si>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</si>
  <si>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</si>
  <si>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</si>
  <si>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</si>
  <si>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</si>
  <si>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</si>
  <si>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</si>
  <si>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</si>
  <si>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</si>
  <si>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</si>
  <si>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</si>
  <si>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</si>
  <si>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</si>
  <si>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</si>
  <si>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</si>
  <si>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</si>
  <si>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</si>
  <si>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</si>
  <si>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</si>
  <si>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</si>
  <si>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</si>
  <si>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</si>
  <si>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</si>
  <si>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</si>
  <si>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</si>
  <si>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</si>
  <si>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</si>
  <si>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</si>
  <si>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</si>
  <si>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</si>
  <si>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</si>
  <si>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</si>
  <si>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</si>
  <si>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</si>
  <si>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</si>
  <si>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</si>
  <si>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</si>
  <si>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</si>
  <si>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</si>
  <si>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</si>
  <si>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</si>
  <si>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</si>
  <si>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</si>
  <si>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</si>
  <si>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</si>
  <si>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</si>
  <si>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</si>
  <si>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</si>
  <si>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</si>
  <si>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</si>
  <si>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</si>
  <si>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</si>
  <si>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</si>
  <si>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</si>
  <si>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</si>
  <si>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</si>
  <si>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</si>
  <si>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</si>
  <si>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</si>
  <si>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</si>
  <si>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</si>
  <si>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</si>
  <si>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</si>
  <si>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</si>
  <si>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</si>
  <si>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</si>
  <si>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</si>
  <si>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</si>
  <si>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</si>
  <si>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</si>
  <si>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</si>
  <si>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</si>
  <si>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</si>
  <si>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</si>
  <si>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</si>
  <si>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</si>
  <si>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</si>
  <si>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</si>
  <si>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</si>
  <si>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</si>
  <si>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</si>
  <si>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</si>
  <si>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</si>
  <si>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</si>
  <si>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</si>
  <si>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</si>
  <si>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</si>
  <si>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</si>
  <si>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</si>
  <si>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</si>
  <si>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</si>
  <si>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</si>
  <si>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</si>
  <si>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</si>
  <si>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</si>
  <si>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</si>
  <si>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</si>
  <si>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</si>
  <si>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</si>
  <si>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</si>
  <si>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</si>
  <si>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</si>
  <si>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</si>
  <si>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</si>
  <si>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</si>
  <si>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</si>
  <si>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</si>
  <si>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</si>
  <si>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</si>
  <si>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</si>
  <si>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</si>
  <si>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</si>
  <si>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</si>
  <si>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</si>
  <si>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</si>
  <si>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</si>
  <si>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</si>
  <si>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</si>
  <si>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</si>
  <si>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</si>
  <si>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</si>
  <si>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</si>
  <si>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</si>
  <si>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</si>
  <si>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</si>
  <si>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</si>
  <si>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</si>
  <si>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</si>
  <si>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</si>
  <si>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</si>
  <si>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</si>
  <si>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</si>
  <si>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</si>
  <si>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</si>
  <si>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</si>
  <si>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</si>
  <si>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</si>
  <si>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</si>
  <si>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</si>
  <si>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</si>
  <si>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</si>
  <si>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</si>
  <si>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</si>
  <si>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</si>
  <si>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</si>
  <si>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</si>
  <si>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</si>
  <si>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</si>
  <si>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</si>
  <si>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</si>
  <si>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</si>
  <si>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</si>
  <si>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</si>
  <si>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</si>
  <si>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</si>
  <si>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</si>
  <si>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</si>
  <si>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</si>
  <si>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</si>
  <si>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</si>
  <si>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</si>
  <si>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</si>
  <si>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</si>
  <si>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</si>
  <si>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</si>
  <si>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</si>
  <si>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</si>
  <si>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</si>
  <si>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</si>
  <si>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</si>
  <si>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</si>
  <si>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</si>
  <si>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</si>
  <si>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</si>
  <si>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</si>
  <si>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</si>
  <si>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</si>
  <si>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</si>
  <si>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</si>
  <si>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</si>
  <si>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</si>
  <si>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</si>
  <si>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</si>
  <si>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</si>
  <si>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</si>
  <si>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</si>
  <si>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</si>
  <si>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</si>
  <si>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</si>
  <si>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</si>
  <si>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</si>
  <si>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</si>
  <si>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</si>
  <si>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</si>
  <si>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</si>
  <si>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</si>
  <si>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</si>
  <si>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</si>
  <si>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</si>
  <si>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</si>
  <si>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</si>
  <si>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</si>
  <si>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</si>
  <si>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</si>
  <si>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</si>
  <si>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</si>
  <si>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</si>
  <si>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</si>
  <si>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</si>
  <si>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</si>
  <si>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</si>
  <si>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</si>
  <si>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</si>
  <si>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</si>
  <si>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</si>
  <si>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</si>
  <si>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</si>
  <si>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</si>
  <si>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</si>
  <si>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</si>
  <si>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</si>
  <si>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</si>
  <si>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</si>
  <si>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</si>
  <si>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</si>
  <si>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</si>
  <si>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</si>
  <si>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</si>
  <si>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</si>
  <si>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</si>
  <si>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</si>
  <si>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</si>
  <si>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</si>
  <si>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</si>
  <si>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</si>
  <si>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</si>
  <si>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</si>
  <si>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</si>
  <si>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</si>
  <si>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</si>
  <si>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</si>
  <si>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</si>
  <si>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</si>
  <si>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</si>
  <si>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</si>
  <si>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</si>
  <si>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</si>
  <si>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</si>
  <si>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</si>
  <si>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</si>
  <si>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</si>
  <si>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</si>
  <si>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</si>
  <si>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</si>
  <si>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</si>
  <si>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</si>
  <si>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</si>
  <si>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</si>
  <si>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</si>
  <si>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</si>
  <si>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</si>
  <si>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</si>
  <si>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</si>
  <si>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</si>
  <si>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</si>
  <si>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</si>
  <si>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</si>
  <si>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</si>
  <si>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</si>
  <si>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</si>
  <si>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</si>
  <si>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</si>
  <si>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</si>
  <si>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</si>
  <si>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</si>
  <si>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</si>
  <si>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</si>
  <si>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</si>
  <si>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</si>
  <si>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</si>
  <si>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</si>
  <si>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</si>
  <si>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</si>
  <si>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</si>
  <si>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</si>
  <si>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</si>
  <si>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</si>
  <si>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</si>
  <si>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</si>
  <si>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</si>
  <si>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</si>
  <si>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</si>
  <si>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</si>
  <si>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</si>
  <si>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</si>
  <si>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</si>
  <si>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</si>
  <si>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</si>
  <si>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</si>
  <si>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</si>
  <si>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</si>
  <si>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</si>
  <si>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</si>
  <si>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</si>
  <si>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</si>
  <si>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</si>
  <si>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</si>
  <si>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</si>
  <si>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</si>
  <si>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</si>
  <si>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</si>
  <si>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</si>
  <si>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</si>
  <si>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</si>
  <si>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</si>
  <si>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</si>
  <si>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</si>
  <si>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</si>
  <si>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</si>
  <si>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</si>
  <si>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</si>
  <si>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</si>
  <si>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</si>
  <si>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</si>
  <si>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</si>
  <si>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</si>
  <si>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</si>
  <si>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</si>
  <si>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</si>
  <si>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</si>
  <si>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</si>
  <si>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</si>
  <si>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</si>
  <si>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</si>
  <si>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</si>
  <si>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</si>
  <si>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</si>
  <si>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</si>
  <si>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</si>
  <si>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</si>
  <si>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</si>
  <si>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</si>
  <si>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</si>
  <si>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</si>
  <si>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</si>
  <si>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</si>
  <si>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</si>
  <si>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</si>
  <si>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</si>
  <si>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</si>
  <si>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</si>
  <si>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</si>
  <si>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</si>
  <si>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</si>
  <si>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</si>
  <si>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</si>
  <si>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</si>
  <si>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</si>
  <si>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</si>
  <si>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</si>
  <si>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</si>
  <si>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</si>
  <si>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</si>
  <si>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</si>
  <si>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</si>
  <si>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</si>
  <si>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</si>
  <si>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</si>
  <si>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</si>
  <si>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</si>
  <si>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</si>
  <si>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</si>
  <si>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</si>
  <si>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</si>
  <si>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</si>
  <si>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</si>
  <si>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</si>
  <si>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</si>
  <si>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</si>
  <si>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</si>
  <si>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</si>
  <si>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</si>
  <si>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</si>
  <si>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</si>
  <si>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</si>
  <si>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</si>
  <si>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</si>
  <si>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</si>
  <si>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</si>
  <si>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</si>
  <si>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</si>
  <si>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</si>
  <si>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</si>
  <si>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</si>
  <si>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</si>
  <si>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</si>
  <si>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</si>
  <si>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</si>
  <si>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</si>
  <si>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</si>
  <si>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</si>
  <si>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</si>
  <si>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</si>
  <si>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</si>
  <si>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</si>
  <si>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</si>
  <si>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</si>
  <si>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</si>
  <si>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</si>
  <si>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</si>
  <si>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</si>
  <si>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</si>
  <si>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</si>
  <si>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</si>
  <si>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</si>
  <si>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</si>
  <si>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</si>
  <si>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</si>
  <si>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</si>
  <si>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</si>
  <si>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</si>
  <si>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</si>
  <si>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</si>
  <si>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</si>
  <si>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</si>
  <si>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</si>
  <si>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</si>
  <si>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</si>
  <si>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</si>
  <si>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</si>
  <si>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</si>
  <si>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</si>
  <si>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</si>
  <si>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</si>
  <si>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</si>
  <si>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</si>
  <si>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</si>
  <si>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</si>
  <si>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</si>
  <si>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</si>
  <si>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</si>
  <si>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</si>
  <si>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</si>
  <si>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</si>
  <si>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</si>
  <si>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</si>
  <si>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</si>
  <si>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</si>
  <si>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</si>
  <si>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</si>
  <si>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</si>
  <si>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</si>
  <si>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</si>
  <si>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</si>
  <si>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</si>
  <si>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</si>
  <si>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</si>
  <si>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</si>
  <si>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</si>
  <si>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</si>
  <si>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</si>
  <si>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</si>
  <si>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</si>
  <si>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</si>
  <si>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</si>
  <si>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</si>
  <si>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</si>
  <si>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</si>
  <si>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</si>
  <si>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</si>
  <si>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</si>
  <si>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</si>
  <si>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</si>
  <si>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</si>
  <si>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</si>
  <si>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</si>
  <si>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</si>
  <si>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</si>
  <si>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</si>
  <si>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</si>
  <si>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</si>
  <si>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</si>
  <si>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</si>
  <si>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</si>
  <si>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</si>
  <si>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</si>
  <si>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</si>
  <si>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</si>
  <si>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</si>
  <si>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</si>
  <si>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</si>
  <si>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</si>
  <si>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</si>
  <si>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</si>
  <si>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</si>
  <si>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</si>
  <si>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</si>
  <si>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</si>
  <si>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</si>
  <si>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</si>
  <si>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</si>
  <si>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</si>
  <si>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</si>
  <si>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</si>
  <si>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</si>
  <si>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</si>
  <si>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</si>
  <si>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</si>
  <si>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</si>
  <si>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</si>
  <si>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</si>
  <si>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</si>
  <si>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</si>
  <si>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</si>
  <si>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</si>
  <si>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</si>
  <si>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</si>
  <si>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</si>
  <si>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</si>
  <si>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</si>
  <si>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</si>
  <si>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</si>
  <si>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</si>
  <si>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</si>
  <si>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</si>
  <si>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</si>
  <si>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</si>
  <si>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</si>
  <si>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</si>
  <si>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</si>
  <si>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</si>
  <si>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</si>
  <si>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</si>
  <si>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</si>
  <si>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</si>
  <si>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</si>
  <si>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</si>
  <si>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</si>
  <si>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</si>
  <si>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</si>
  <si>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</si>
  <si>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</si>
  <si>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</si>
  <si>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</si>
  <si>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</si>
  <si>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</si>
  <si>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</si>
  <si>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</si>
  <si>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</si>
  <si>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</si>
  <si>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</si>
  <si>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</si>
  <si>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</si>
  <si>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</si>
  <si>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</si>
  <si>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</si>
  <si>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</si>
  <si>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</si>
  <si>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</si>
  <si>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</si>
  <si>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</si>
  <si>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</si>
  <si>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</si>
  <si>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</si>
  <si>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</si>
  <si>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</si>
  <si>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</si>
  <si>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</si>
  <si>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</si>
  <si>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</si>
  <si>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</si>
  <si>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</si>
  <si>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</si>
  <si>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</si>
  <si>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</si>
  <si>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</si>
  <si>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</si>
  <si>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</si>
  <si>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</si>
  <si>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</si>
  <si>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</si>
  <si>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</si>
  <si>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</si>
  <si>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</si>
  <si>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</si>
  <si>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</si>
  <si>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</si>
  <si>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</si>
  <si>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</si>
  <si>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</si>
  <si>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</si>
  <si>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</si>
  <si>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</si>
  <si>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</si>
  <si>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</si>
  <si>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</si>
  <si>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</si>
  <si>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</si>
  <si>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</si>
  <si>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</si>
  <si>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</si>
  <si>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</si>
  <si>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</si>
  <si>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</si>
  <si>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</si>
  <si>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</si>
  <si>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</si>
  <si>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</si>
  <si>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</si>
  <si>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</si>
  <si>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</si>
  <si>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</si>
  <si>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</si>
  <si>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</si>
  <si>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</si>
  <si>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</si>
  <si>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</si>
  <si>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</si>
  <si>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</si>
  <si>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</si>
  <si>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</si>
  <si>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</si>
  <si>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</si>
  <si>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</si>
  <si>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</si>
  <si>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</si>
  <si>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</si>
  <si>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</si>
  <si>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</si>
  <si>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</si>
  <si>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</si>
  <si>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</si>
  <si>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</si>
  <si>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</si>
  <si>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</si>
  <si>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</si>
  <si>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</si>
  <si>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</si>
  <si>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</si>
  <si>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</si>
  <si>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</si>
  <si>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</si>
  <si>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</si>
  <si>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</si>
  <si>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</si>
  <si>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</si>
  <si>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</si>
  <si>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</si>
  <si>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</si>
  <si>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</si>
  <si>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</si>
  <si>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</si>
  <si>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</si>
  <si>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</si>
  <si>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</si>
  <si>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</si>
  <si>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</si>
  <si>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</si>
  <si>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</si>
  <si>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</si>
  <si>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</si>
  <si>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</si>
  <si>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</si>
  <si>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</si>
  <si>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</si>
  <si>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</si>
  <si>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</si>
  <si>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</si>
  <si>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</si>
  <si>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</si>
  <si>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</si>
  <si>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</si>
  <si>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</si>
  <si>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</si>
  <si>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</si>
  <si>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</si>
  <si>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</si>
  <si>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</si>
  <si>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</si>
  <si>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</si>
  <si>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</si>
  <si>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</si>
  <si>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</si>
  <si>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</si>
  <si>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</si>
  <si>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</si>
  <si>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</si>
  <si>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</si>
  <si>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</si>
  <si>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</si>
  <si>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</si>
  <si>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</si>
  <si>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</si>
  <si>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</si>
  <si>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</si>
  <si>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</si>
  <si>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</si>
  <si>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</si>
  <si>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</si>
  <si>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</si>
  <si>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</si>
  <si>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</si>
  <si>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</si>
  <si>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</si>
  <si>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</si>
  <si>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</si>
  <si>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</si>
  <si>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</si>
  <si>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</si>
  <si>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</si>
  <si>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</si>
  <si>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</si>
  <si>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</si>
  <si>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</si>
  <si>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</si>
  <si>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</si>
  <si>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</si>
  <si>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</si>
  <si>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</si>
  <si>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</si>
  <si>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</si>
  <si>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</si>
  <si>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</si>
  <si>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</si>
  <si>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</si>
  <si>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</si>
  <si>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</si>
  <si>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</si>
  <si>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</si>
  <si>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</si>
  <si>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</si>
  <si>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</si>
  <si>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</si>
  <si>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</si>
  <si>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</si>
  <si>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</si>
  <si>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</si>
  <si>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</si>
  <si>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</si>
  <si>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</si>
  <si>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</si>
  <si>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</si>
  <si>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</si>
  <si>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</si>
  <si>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</si>
  <si>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</si>
  <si>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</si>
  <si>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</si>
  <si>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</si>
  <si>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</si>
  <si>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</si>
  <si>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</si>
  <si>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</si>
  <si>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</si>
  <si>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</si>
  <si>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</si>
  <si>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</si>
  <si>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</si>
  <si>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</si>
  <si>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</si>
  <si>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</si>
  <si>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</si>
  <si>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</si>
  <si>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</si>
  <si>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</si>
  <si>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</si>
  <si>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</si>
  <si>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</si>
  <si>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</si>
  <si>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</si>
  <si>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</si>
  <si>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</si>
  <si>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</si>
  <si>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</si>
  <si>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</si>
  <si>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</si>
  <si>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</si>
  <si>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</si>
  <si>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</si>
  <si>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</si>
  <si>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</si>
  <si>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</si>
  <si>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</si>
  <si>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</si>
  <si>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</si>
  <si>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</si>
  <si>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</si>
  <si>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</si>
  <si>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</si>
  <si>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</si>
  <si>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</si>
  <si>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</si>
  <si>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</si>
  <si>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</si>
  <si>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</si>
  <si>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</si>
  <si>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</si>
  <si>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</si>
  <si>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</si>
  <si>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</si>
  <si>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</si>
  <si>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</si>
  <si>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</si>
  <si>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</si>
  <si>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</si>
  <si>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</si>
  <si>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</si>
  <si>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</si>
  <si>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</si>
  <si>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</si>
  <si>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</si>
  <si>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</si>
  <si>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</si>
  <si>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</si>
  <si>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</si>
  <si>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</si>
  <si>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</si>
  <si>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</si>
  <si>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</si>
  <si>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</si>
  <si>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</si>
  <si>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</si>
  <si>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</si>
  <si>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</si>
  <si>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</si>
  <si>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</si>
  <si>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</si>
  <si>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</si>
  <si>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</si>
  <si>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</si>
  <si>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</si>
  <si>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</si>
  <si>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</si>
  <si>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</si>
  <si>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</si>
  <si>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</si>
  <si>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</si>
  <si>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</si>
  <si>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</si>
  <si>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</si>
  <si>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</si>
  <si>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</si>
  <si>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</si>
  <si>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</si>
  <si>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</si>
  <si>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</si>
  <si>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</si>
  <si>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</si>
  <si>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</si>
  <si>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</si>
  <si>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</si>
  <si>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</si>
  <si>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</si>
  <si>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</si>
  <si>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</si>
  <si>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</si>
  <si>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</si>
  <si>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</si>
  <si>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</si>
  <si>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</si>
  <si>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</si>
  <si>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</si>
  <si>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</si>
  <si>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</si>
  <si>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</si>
  <si>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</si>
  <si>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</si>
  <si>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</si>
  <si>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</si>
  <si>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</si>
  <si>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</si>
  <si>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</si>
  <si>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</si>
  <si>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</si>
  <si>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</si>
  <si>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</si>
  <si>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</si>
  <si>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</si>
  <si>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</si>
  <si>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</si>
  <si>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</si>
  <si>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</si>
  <si>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</si>
  <si>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</si>
  <si>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</si>
  <si>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</si>
  <si>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</si>
  <si>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</si>
  <si>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</si>
  <si>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</si>
  <si>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</si>
  <si>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</si>
  <si>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</si>
  <si>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</si>
  <si>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</si>
  <si>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</si>
  <si>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</si>
  <si>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</si>
  <si>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</si>
  <si>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</si>
  <si>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</si>
  <si>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</si>
  <si>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</si>
  <si>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</si>
  <si>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</si>
  <si>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</si>
  <si>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</si>
  <si>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</si>
  <si>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</si>
  <si>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</si>
  <si>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</si>
  <si>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</si>
  <si>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</si>
  <si>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</si>
  <si>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</si>
  <si>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</si>
  <si>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</si>
  <si>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</si>
  <si>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</si>
  <si>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</si>
  <si>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</si>
  <si>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</si>
  <si>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</si>
  <si>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</si>
  <si>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</si>
  <si>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</si>
  <si>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</si>
  <si>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</si>
  <si>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</si>
  <si>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</si>
  <si>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</si>
  <si>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</si>
  <si>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</si>
  <si>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</si>
  <si>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</si>
  <si>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</si>
  <si>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</si>
  <si>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</si>
  <si>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</si>
  <si>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</si>
  <si>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</si>
  <si>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</si>
  <si>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</si>
  <si>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</si>
  <si>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</si>
  <si>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</si>
  <si>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</si>
  <si>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</si>
  <si>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</si>
  <si>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</si>
  <si>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</si>
  <si>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</si>
  <si>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</si>
  <si>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</si>
  <si>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</si>
  <si>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</si>
  <si>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</si>
  <si>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</si>
  <si>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</si>
  <si>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</si>
  <si>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</si>
  <si>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</si>
  <si>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</si>
  <si>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</si>
  <si>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</si>
  <si>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</si>
  <si>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</si>
  <si>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</si>
  <si>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</si>
  <si>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</si>
  <si>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</si>
  <si>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</si>
  <si>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</si>
  <si>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</si>
  <si>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</si>
  <si>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</si>
  <si>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</si>
  <si>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</si>
  <si>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</si>
  <si>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</si>
  <si>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</si>
  <si>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</si>
  <si>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</si>
  <si>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</si>
  <si>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</si>
  <si>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</si>
  <si>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</si>
  <si>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</si>
  <si>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</si>
  <si>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</si>
  <si>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</si>
  <si>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</si>
  <si>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</si>
  <si>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</si>
  <si>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</si>
  <si>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</si>
  <si>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</si>
  <si>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</si>
  <si>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</si>
  <si>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</si>
  <si>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</si>
  <si>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</si>
  <si>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</si>
  <si>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</si>
  <si>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</si>
  <si>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</si>
  <si>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</si>
  <si>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</si>
  <si>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</si>
  <si>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</si>
  <si>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</si>
  <si>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</si>
  <si>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</si>
  <si>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</si>
  <si>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</si>
  <si>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</si>
  <si>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</si>
  <si>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</si>
  <si>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</si>
  <si>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</si>
  <si>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</si>
  <si>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</si>
  <si>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</si>
  <si>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</si>
  <si>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</si>
  <si>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</si>
  <si>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</si>
  <si>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</si>
  <si>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</si>
  <si>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</si>
  <si>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</si>
  <si>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</si>
  <si>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</si>
  <si>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</si>
  <si>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</si>
  <si>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</si>
  <si>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</si>
  <si>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</si>
  <si>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</si>
  <si>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</si>
  <si>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</si>
  <si>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</si>
  <si>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</si>
  <si>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</si>
  <si>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</si>
  <si>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</si>
  <si>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</si>
  <si>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</si>
  <si>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</si>
  <si>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</si>
  <si>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</si>
  <si>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</si>
  <si>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</si>
  <si>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</si>
  <si>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</si>
  <si>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</si>
  <si>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</si>
  <si>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</si>
  <si>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</si>
  <si>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</si>
  <si>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</si>
  <si>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</si>
  <si>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</si>
  <si>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</si>
  <si>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</si>
  <si>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</si>
  <si>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</si>
  <si>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</si>
  <si>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</si>
  <si>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</si>
  <si>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</si>
  <si>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</si>
  <si>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</si>
  <si>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</si>
  <si>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</si>
  <si>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</si>
  <si>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</si>
  <si>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</si>
  <si>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</si>
  <si>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</si>
  <si>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</si>
  <si>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</si>
  <si>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</si>
  <si>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</si>
  <si>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</si>
  <si>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</si>
  <si>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t>基准地价-住宅</t>
  </si>
  <si>
    <r>
      <rPr>
        <sz val="11"/>
        <color theme="1"/>
        <rFont val="宋体"/>
        <family val="3"/>
        <charset val="134"/>
      </rPr>
      <t>收益还原法</t>
    </r>
    <r>
      <rPr>
        <sz val="11"/>
        <color theme="1"/>
        <rFont val="Arial"/>
        <family val="2"/>
      </rPr>
      <t>-</t>
    </r>
    <r>
      <rPr>
        <sz val="11"/>
        <color theme="1"/>
        <rFont val="宋体"/>
        <family val="3"/>
        <charset val="134"/>
      </rPr>
      <t>住宅</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</si>
  <si>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商业</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</si>
  <si>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办公</t>
    </r>
    <phoneticPr fontId="14" type="noConversion"/>
  </si>
  <si>
    <t>叶凌</t>
  </si>
  <si>
    <t>杨红英</t>
  </si>
  <si>
    <t>核定资产</t>
  </si>
  <si>
    <t>市场价格</t>
  </si>
  <si>
    <t>出让</t>
  </si>
  <si>
    <t>商业</t>
  </si>
  <si>
    <t>地上</t>
  </si>
  <si>
    <t>居住</t>
    <phoneticPr fontId="233" type="noConversion"/>
  </si>
  <si>
    <t>七级</t>
    <phoneticPr fontId="233" type="noConversion"/>
  </si>
  <si>
    <t>不临58条商业街</t>
  </si>
  <si>
    <t>无</t>
  </si>
  <si>
    <t>1000米以外</t>
  </si>
  <si>
    <t>五通一平</t>
  </si>
  <si>
    <t>居住用地（指二类居住用地）</t>
  </si>
  <si>
    <t>容积率修正</t>
  </si>
  <si>
    <t>一般</t>
  </si>
  <si>
    <t>较差</t>
  </si>
  <si>
    <t>YZ00-0803-0802</t>
  </si>
  <si>
    <t>否</t>
  </si>
  <si>
    <t>押一</t>
  </si>
  <si>
    <t>钢混</t>
    <phoneticPr fontId="233" type="noConversion"/>
  </si>
  <si>
    <t>项目局部</t>
  </si>
  <si>
    <t>土地</t>
  </si>
  <si>
    <t>剩余法-住宅</t>
  </si>
  <si>
    <t>按公示增长率计算</t>
  </si>
  <si>
    <t>租金</t>
    <phoneticPr fontId="233" type="noConversion"/>
  </si>
  <si>
    <t>Ⅷ-亦1</t>
  </si>
  <si>
    <t>平层住宅</t>
  </si>
  <si>
    <t>收益还原法-住宅</t>
  </si>
  <si>
    <t>好</t>
  </si>
  <si>
    <t>按租金收入计税</t>
  </si>
  <si>
    <t>非生产用房</t>
    <phoneticPr fontId="233" type="noConversion"/>
  </si>
  <si>
    <t>较好</t>
  </si>
  <si>
    <t>YZ00-0803-0802、YZ00-0803-6021</t>
  </si>
  <si>
    <t>YZ00-0803-0802、YZ00-0803-6021</t>
    <phoneticPr fontId="3" type="noConversion"/>
  </si>
  <si>
    <t>自定义容积率</t>
  </si>
  <si>
    <t>增加</t>
  </si>
  <si>
    <t>燃气</t>
  </si>
  <si>
    <t>楼面单价
（元/平方米）</t>
    <phoneticPr fontId="278" type="noConversion"/>
  </si>
  <si>
    <t>建筑规模
（平方米）</t>
    <phoneticPr fontId="278" type="noConversion"/>
  </si>
  <si>
    <t>总价
（万元）</t>
    <phoneticPr fontId="278" type="noConversion"/>
  </si>
  <si>
    <t>居住用途熟地价</t>
    <phoneticPr fontId="278" type="noConversion"/>
  </si>
  <si>
    <t>商业用途熟地价</t>
    <phoneticPr fontId="278" type="noConversion"/>
  </si>
  <si>
    <t>_</t>
    <phoneticPr fontId="233" type="noConversion"/>
  </si>
  <si>
    <t>办公用途熟地价</t>
    <phoneticPr fontId="278" type="noConversion"/>
  </si>
  <si>
    <t>_</t>
    <phoneticPr fontId="233" type="noConversion"/>
  </si>
  <si>
    <t>熟地总价</t>
    <phoneticPr fontId="278" type="noConversion"/>
  </si>
  <si>
    <t>楼面单价
（元/平方米）</t>
    <phoneticPr fontId="278" type="noConversion"/>
  </si>
  <si>
    <t>建筑规模
（平方米）</t>
    <phoneticPr fontId="278" type="noConversion"/>
  </si>
  <si>
    <t>总价
（万元）</t>
    <phoneticPr fontId="278" type="noConversion"/>
  </si>
  <si>
    <t>居住用途政府土地出让收益</t>
    <phoneticPr fontId="278" type="noConversion"/>
  </si>
  <si>
    <t>商业用途政府土地出让收益</t>
    <phoneticPr fontId="278" type="noConversion"/>
  </si>
  <si>
    <t>_</t>
    <phoneticPr fontId="233" type="noConversion"/>
  </si>
  <si>
    <t>办公用途政府土地出让收益</t>
    <phoneticPr fontId="278" type="noConversion"/>
  </si>
  <si>
    <t>-</t>
    <phoneticPr fontId="278" type="noConversion"/>
  </si>
  <si>
    <t>政府土地出让收益总价</t>
    <phoneticPr fontId="278" type="noConversion"/>
  </si>
  <si>
    <t>_</t>
    <phoneticPr fontId="233" type="noConversion"/>
  </si>
  <si>
    <t>基准地价</t>
    <phoneticPr fontId="233" type="noConversion"/>
  </si>
  <si>
    <t>权重</t>
    <phoneticPr fontId="278" type="noConversion"/>
  </si>
  <si>
    <t>剩余法</t>
    <phoneticPr fontId="233" type="noConversion"/>
  </si>
  <si>
    <t>权重后总价</t>
    <phoneticPr fontId="278" type="noConversion"/>
  </si>
  <si>
    <t>居住</t>
    <phoneticPr fontId="278" type="noConversion"/>
  </si>
  <si>
    <t>商业</t>
    <phoneticPr fontId="278" type="noConversion"/>
  </si>
  <si>
    <t>办公</t>
    <phoneticPr fontId="278" type="noConversion"/>
  </si>
  <si>
    <t>政府收益</t>
  </si>
  <si>
    <t>居住</t>
    <phoneticPr fontId="278" type="noConversion"/>
  </si>
  <si>
    <t>总价</t>
    <phoneticPr fontId="278" type="noConversion"/>
  </si>
  <si>
    <t>单价</t>
    <phoneticPr fontId="278" type="noConversion"/>
  </si>
  <si>
    <t>总价</t>
    <phoneticPr fontId="233" type="noConversion"/>
  </si>
  <si>
    <t>建筑面积</t>
    <phoneticPr fontId="233" type="noConversion"/>
  </si>
  <si>
    <t>土地面积</t>
    <phoneticPr fontId="233" type="noConversion"/>
  </si>
  <si>
    <t>单价</t>
    <phoneticPr fontId="233" type="noConversion"/>
  </si>
  <si>
    <t>单价</t>
    <phoneticPr fontId="233" type="noConversion"/>
  </si>
  <si>
    <t>单价</t>
    <phoneticPr fontId="233" type="noConversion"/>
  </si>
  <si>
    <t>权重后单价</t>
    <phoneticPr fontId="278" type="noConversion"/>
  </si>
  <si>
    <t>总价</t>
    <phoneticPr fontId="233" type="noConversion"/>
  </si>
  <si>
    <t>总价算</t>
    <phoneticPr fontId="233" type="noConversion"/>
  </si>
  <si>
    <t>单价算</t>
    <phoneticPr fontId="233" type="noConversion"/>
  </si>
  <si>
    <t>总价</t>
    <phoneticPr fontId="233" type="noConversion"/>
  </si>
  <si>
    <t>收益还原法</t>
    <phoneticPr fontId="278" type="noConversion"/>
  </si>
  <si>
    <t>收益还原法</t>
    <phoneticPr fontId="278" type="noConversion"/>
  </si>
  <si>
    <t>总价</t>
    <phoneticPr fontId="233" type="noConversion"/>
  </si>
  <si>
    <t>总价</t>
    <phoneticPr fontId="278" type="noConversion"/>
  </si>
  <si>
    <t>单价</t>
    <phoneticPr fontId="278" type="noConversion"/>
  </si>
  <si>
    <t>收益还原法</t>
    <phoneticPr fontId="278" type="noConversion"/>
  </si>
  <si>
    <t>收益还原法</t>
    <phoneticPr fontId="278" type="noConversion"/>
  </si>
  <si>
    <t>权重</t>
    <phoneticPr fontId="278" type="noConversion"/>
  </si>
  <si>
    <t>——</t>
    <phoneticPr fontId="278" type="noConversion"/>
  </si>
  <si>
    <t>2019-3</t>
  </si>
  <si>
    <t>2019-2</t>
  </si>
  <si>
    <t>2019-1</t>
  </si>
  <si>
    <t>2018-4</t>
    <phoneticPr fontId="3" type="noConversion"/>
  </si>
  <si>
    <t>出让底价建议：建议本项目出让底价不低于熟地总价219278.6万元。</t>
    <phoneticPr fontId="278" type="noConversion"/>
  </si>
  <si>
    <t>北京市大兴区瀛海镇西区C2组团土地一级开发项目YZ00-0803-0802、YZ00-0803-6021地块R2二类居住用地国有建设用地估价结果汇总表</t>
    <phoneticPr fontId="233" type="noConversion"/>
  </si>
  <si>
    <t>已部分缴纳</t>
  </si>
  <si>
    <t>通路</t>
  </si>
  <si>
    <t>通上水</t>
  </si>
  <si>
    <t>通下水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</si>
</sst>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000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theme="1"/>
      <name val="黑体"/>
      <family val="3"/>
      <charset val="134"/>
    </font>
    <font>
      <sz val="9"/>
      <name val="宋体"/>
      <family val="2"/>
      <charset val="134"/>
      <scheme val="minor"/>
    </font>
    <font>
      <b/>
      <sz val="12"/>
      <color theme="1"/>
      <name val="黑体"/>
      <family val="3"/>
      <charset val="134"/>
    </font>
    <font>
      <sz val="11"/>
      <color theme="1"/>
      <name val="黑体"/>
      <family val="3"/>
      <charset val="134"/>
    </font>
    <font>
      <sz val="12"/>
      <color rgb="FFFF0000"/>
      <name val="黑体"/>
      <family val="3"/>
      <charset val="134"/>
    </font>
    <font>
      <b/>
      <sz val="11"/>
      <color theme="1"/>
      <name val="黑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1" fillId="0" borderId="0">
      <alignment vertical="center"/>
    </xf>
  </cellStyleXfs>
  <cellXfs count="35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76" fillId="5" borderId="8" xfId="0" applyFont="1" applyFill="1" applyBorder="1" applyAlignment="1" applyProtection="1">
      <alignment horizontal="center" vertical="center"/>
    </xf>
    <xf numFmtId="0" fontId="145" fillId="0" borderId="0" xfId="0" applyFont="1">
      <alignment vertical="center"/>
    </xf>
    <xf numFmtId="182" fontId="76" fillId="17" borderId="12" xfId="0"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9" fontId="82"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83" fontId="76" fillId="5" borderId="0" xfId="0" applyNumberFormat="1" applyFont="1" applyFill="1" applyAlignment="1" applyProtection="1">
      <alignment vertical="center"/>
      <protection locked="0"/>
    </xf>
    <xf numFmtId="10" fontId="76" fillId="5" borderId="0" xfId="0" applyNumberFormat="1" applyFont="1" applyFill="1" applyAlignment="1" applyProtection="1">
      <alignment vertical="center"/>
      <protection locked="0"/>
    </xf>
    <xf numFmtId="9" fontId="76" fillId="5" borderId="0" xfId="0" applyNumberFormat="1" applyFont="1" applyFill="1" applyAlignment="1" applyProtection="1">
      <alignment vertical="center"/>
      <protection locked="0"/>
    </xf>
    <xf numFmtId="0" fontId="75" fillId="6" borderId="31" xfId="0" applyFont="1" applyFill="1" applyBorder="1" applyAlignment="1" applyProtection="1">
      <alignment vertical="center"/>
    </xf>
    <xf numFmtId="0" fontId="71" fillId="6" borderId="2" xfId="0" applyFont="1" applyFill="1" applyBorder="1" applyProtection="1">
      <alignment vertical="center"/>
    </xf>
    <xf numFmtId="0" fontId="149" fillId="6" borderId="2" xfId="0" applyFont="1" applyFill="1" applyBorder="1" applyAlignment="1" applyProtection="1">
      <alignment horizontal="center" vertical="center"/>
    </xf>
    <xf numFmtId="0" fontId="149" fillId="6" borderId="5" xfId="0"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0" fontId="76" fillId="6" borderId="16" xfId="0" applyFont="1" applyFill="1" applyBorder="1" applyAlignment="1" applyProtection="1">
      <alignment vertical="center"/>
    </xf>
    <xf numFmtId="0" fontId="76" fillId="6" borderId="0" xfId="0" applyFont="1" applyFill="1" applyProtection="1">
      <alignment vertical="center"/>
    </xf>
    <xf numFmtId="0" fontId="184" fillId="6" borderId="27" xfId="3" applyFont="1" applyFill="1" applyBorder="1" applyAlignment="1" applyProtection="1">
      <alignment horizontal="center" vertical="center" wrapText="1"/>
      <protection locked="0"/>
    </xf>
    <xf numFmtId="0" fontId="95" fillId="18" borderId="6" xfId="3" applyFont="1" applyFill="1" applyBorder="1" applyAlignment="1" applyProtection="1">
      <alignment horizontal="center" vertical="center" wrapText="1"/>
    </xf>
    <xf numFmtId="0" fontId="277" fillId="0" borderId="2" xfId="0" applyFont="1" applyBorder="1" applyAlignment="1">
      <alignment horizontal="center" vertical="center" wrapText="1"/>
    </xf>
    <xf numFmtId="0" fontId="0" fillId="0" borderId="0" xfId="0" applyAlignment="1">
      <alignment horizontal="center" vertical="center"/>
    </xf>
    <xf numFmtId="0" fontId="145" fillId="0" borderId="0" xfId="0" applyFont="1" applyAlignment="1">
      <alignment horizontal="center" vertical="center"/>
    </xf>
    <xf numFmtId="0" fontId="277" fillId="9" borderId="2" xfId="0" applyFont="1" applyFill="1" applyBorder="1" applyAlignment="1">
      <alignment horizontal="center" vertical="center" wrapText="1"/>
    </xf>
    <xf numFmtId="0" fontId="277" fillId="17" borderId="2" xfId="0" applyFont="1" applyFill="1" applyBorder="1" applyAlignment="1">
      <alignment horizontal="center" vertical="center" wrapText="1"/>
    </xf>
    <xf numFmtId="0" fontId="277" fillId="17" borderId="5" xfId="0" applyFont="1" applyFill="1" applyBorder="1" applyAlignment="1">
      <alignment horizontal="center" vertical="center" wrapText="1"/>
    </xf>
    <xf numFmtId="0" fontId="277" fillId="17" borderId="9" xfId="0" applyFont="1" applyFill="1" applyBorder="1" applyAlignment="1">
      <alignment horizontal="center" vertical="center" wrapText="1"/>
    </xf>
    <xf numFmtId="0" fontId="281" fillId="0" borderId="18" xfId="0" applyFont="1" applyFill="1" applyBorder="1" applyAlignment="1">
      <alignment horizontal="center" vertical="center" wrapText="1"/>
    </xf>
    <xf numFmtId="0" fontId="277" fillId="9" borderId="5" xfId="0" applyFont="1" applyFill="1" applyBorder="1" applyAlignment="1">
      <alignment horizontal="center" vertical="center" wrapText="1"/>
    </xf>
    <xf numFmtId="0" fontId="277" fillId="17" borderId="21" xfId="0" applyFont="1" applyFill="1" applyBorder="1" applyAlignment="1">
      <alignment horizontal="center" vertical="center" wrapText="1"/>
    </xf>
    <xf numFmtId="0" fontId="279" fillId="20" borderId="2" xfId="0" applyFont="1" applyFill="1" applyBorder="1" applyAlignment="1">
      <alignment horizontal="center" vertical="center" wrapText="1"/>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280" fillId="7" borderId="2" xfId="0" applyFont="1" applyFill="1" applyBorder="1" applyAlignment="1">
      <alignment horizontal="center" vertical="center" wrapText="1"/>
    </xf>
    <xf numFmtId="0" fontId="282" fillId="9" borderId="2" xfId="0" applyFont="1" applyFill="1" applyBorder="1" applyAlignment="1">
      <alignment horizontal="center" vertical="center" wrapText="1"/>
    </xf>
    <xf numFmtId="0" fontId="0" fillId="15" borderId="2" xfId="0" applyFill="1" applyBorder="1" applyAlignment="1">
      <alignment horizontal="center" vertical="center"/>
    </xf>
    <xf numFmtId="0" fontId="0" fillId="9" borderId="2" xfId="0" applyFill="1" applyBorder="1" applyAlignment="1">
      <alignment horizontal="center" vertical="center"/>
    </xf>
    <xf numFmtId="0" fontId="280" fillId="9" borderId="2" xfId="0" applyFont="1" applyFill="1" applyBorder="1" applyAlignment="1">
      <alignment horizontal="center" vertical="center" wrapText="1"/>
    </xf>
    <xf numFmtId="0" fontId="282" fillId="20" borderId="0" xfId="0" applyFont="1" applyFill="1" applyBorder="1" applyAlignment="1">
      <alignment horizontal="center" vertical="center" wrapText="1"/>
    </xf>
    <xf numFmtId="0" fontId="282" fillId="7" borderId="0" xfId="0" applyFont="1" applyFill="1" applyBorder="1" applyAlignment="1">
      <alignment horizontal="center" vertical="center" wrapText="1"/>
    </xf>
    <xf numFmtId="0" fontId="282" fillId="20" borderId="5" xfId="0" applyFont="1" applyFill="1" applyBorder="1" applyAlignment="1">
      <alignment horizontal="center" vertical="center" wrapText="1"/>
    </xf>
    <xf numFmtId="0" fontId="146" fillId="20" borderId="2" xfId="0" applyFont="1" applyFill="1" applyBorder="1" applyAlignment="1">
      <alignment horizontal="center" vertical="center"/>
    </xf>
    <xf numFmtId="0" fontId="280" fillId="17" borderId="0" xfId="0" applyFont="1" applyFill="1" applyBorder="1" applyAlignment="1">
      <alignment horizontal="center" vertical="center" wrapText="1"/>
    </xf>
    <xf numFmtId="0" fontId="280" fillId="7" borderId="0" xfId="0" applyFont="1" applyFill="1" applyBorder="1" applyAlignment="1">
      <alignment horizontal="center" vertical="center" wrapText="1"/>
    </xf>
    <xf numFmtId="0" fontId="280" fillId="17" borderId="5" xfId="0" applyFont="1" applyFill="1" applyBorder="1" applyAlignment="1">
      <alignment horizontal="center" vertical="center" wrapText="1"/>
    </xf>
    <xf numFmtId="0" fontId="0" fillId="6" borderId="2" xfId="0" applyFill="1" applyBorder="1" applyAlignment="1">
      <alignment horizontal="center" vertical="center"/>
    </xf>
    <xf numFmtId="0" fontId="0" fillId="17" borderId="2" xfId="0" applyFill="1" applyBorder="1" applyAlignment="1">
      <alignment horizontal="center" vertical="center"/>
    </xf>
    <xf numFmtId="0" fontId="0" fillId="17" borderId="0" xfId="0" applyFill="1" applyAlignment="1">
      <alignment horizontal="center" vertical="center"/>
    </xf>
    <xf numFmtId="0" fontId="145" fillId="17" borderId="2" xfId="0" applyFont="1" applyFill="1" applyBorder="1" applyAlignment="1">
      <alignment horizontal="center" vertical="center"/>
    </xf>
    <xf numFmtId="0" fontId="0" fillId="15" borderId="5" xfId="0" applyFill="1" applyBorder="1" applyAlignment="1">
      <alignment horizontal="center" vertical="center"/>
    </xf>
    <xf numFmtId="0" fontId="146" fillId="19" borderId="2" xfId="0" applyFont="1" applyFill="1" applyBorder="1" applyAlignment="1">
      <alignment horizontal="center" vertical="center"/>
    </xf>
    <xf numFmtId="0" fontId="146" fillId="14" borderId="2" xfId="0" applyFont="1" applyFill="1" applyBorder="1" applyAlignment="1">
      <alignment horizontal="center" vertical="center"/>
    </xf>
    <xf numFmtId="0" fontId="0" fillId="0" borderId="0" xfId="0" applyAlignment="1">
      <alignment horizontal="center" vertical="center"/>
    </xf>
    <xf numFmtId="0" fontId="277" fillId="17" borderId="9" xfId="0" applyFont="1" applyFill="1" applyBorder="1" applyAlignment="1">
      <alignment horizontal="center" vertical="center" wrapText="1"/>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0" fillId="9" borderId="5" xfId="0" applyFill="1" applyBorder="1" applyAlignment="1">
      <alignment horizontal="center" vertical="center"/>
    </xf>
    <xf numFmtId="0" fontId="145" fillId="9" borderId="2" xfId="0" applyFont="1" applyFill="1" applyBorder="1" applyAlignment="1">
      <alignment horizontal="center" vertical="center"/>
    </xf>
    <xf numFmtId="0" fontId="145" fillId="9" borderId="5" xfId="0" applyFont="1" applyFill="1" applyBorder="1" applyAlignment="1">
      <alignment horizontal="center" vertical="center"/>
    </xf>
    <xf numFmtId="0" fontId="145" fillId="6" borderId="2" xfId="0" applyFont="1" applyFill="1" applyBorder="1" applyAlignment="1">
      <alignment horizontal="center" vertical="center"/>
    </xf>
    <xf numFmtId="49" fontId="86" fillId="5" borderId="2" xfId="13" applyNumberFormat="1" applyFont="1" applyFill="1" applyBorder="1" applyAlignment="1" applyProtection="1">
      <alignment horizontal="center" vertical="center" wrapText="1"/>
    </xf>
    <xf numFmtId="10" fontId="152" fillId="8" borderId="0" xfId="10" applyNumberFormat="1" applyFont="1" applyFill="1" applyAlignment="1">
      <alignment horizontal="center" vertical="center"/>
    </xf>
    <xf numFmtId="0" fontId="157" fillId="8" borderId="0" xfId="10" applyFont="1" applyFill="1">
      <alignment vertical="center"/>
    </xf>
    <xf numFmtId="10" fontId="152" fillId="14" borderId="122" xfId="10" applyNumberFormat="1" applyFont="1" applyFill="1" applyBorder="1">
      <alignment vertical="center"/>
    </xf>
    <xf numFmtId="0" fontId="243" fillId="8" borderId="0" xfId="10" applyFont="1" applyFill="1">
      <alignment vertical="center"/>
    </xf>
    <xf numFmtId="0" fontId="241" fillId="12" borderId="120" xfId="13" applyFont="1" applyFill="1" applyBorder="1" applyAlignment="1" applyProtection="1">
      <alignment horizontal="center" vertical="center" wrapText="1"/>
    </xf>
    <xf numFmtId="0" fontId="241" fillId="12" borderId="121" xfId="13" applyFont="1" applyFill="1" applyBorder="1" applyAlignment="1" applyProtection="1">
      <alignment horizontal="center" vertical="center" wrapText="1"/>
    </xf>
    <xf numFmtId="0" fontId="241" fillId="12" borderId="120" xfId="13" applyFont="1" applyFill="1" applyBorder="1" applyAlignment="1" applyProtection="1">
      <alignment horizontal="center" vertical="center" wrapText="1"/>
    </xf>
    <xf numFmtId="0" fontId="241" fillId="12" borderId="121" xfId="13" applyFont="1" applyFill="1" applyBorder="1" applyAlignment="1" applyProtection="1">
      <alignment horizontal="center" vertical="center" wrapText="1"/>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49" fontId="86" fillId="14" borderId="2" xfId="13" applyNumberFormat="1" applyFont="1" applyFill="1" applyBorder="1" applyAlignment="1" applyProtection="1">
      <alignment horizontal="center" vertical="center" wrapText="1"/>
    </xf>
    <xf numFmtId="0" fontId="241" fillId="14" borderId="124" xfId="13" applyFont="1" applyFill="1" applyBorder="1" applyAlignment="1" applyProtection="1">
      <alignment horizontal="center" vertical="center" wrapText="1"/>
    </xf>
    <xf numFmtId="0" fontId="157" fillId="14" borderId="0" xfId="13" applyFont="1" applyFill="1">
      <alignment vertical="center"/>
    </xf>
    <xf numFmtId="0" fontId="243" fillId="14" borderId="0" xfId="13" applyFont="1" applyFill="1" applyBorder="1" applyAlignment="1" applyProtection="1">
      <alignment horizontal="center" vertical="center"/>
      <protection locked="0"/>
    </xf>
    <xf numFmtId="10" fontId="157" fillId="14" borderId="0" xfId="10" applyNumberFormat="1" applyFont="1" applyFill="1">
      <alignment vertical="center"/>
    </xf>
    <xf numFmtId="195" fontId="152" fillId="0" borderId="0" xfId="10" applyNumberFormat="1" applyFont="1">
      <alignment vertical="center"/>
    </xf>
    <xf numFmtId="178" fontId="76" fillId="21" borderId="2" xfId="2" applyNumberFormat="1" applyFont="1" applyFill="1" applyBorder="1" applyAlignment="1" applyProtection="1">
      <alignment horizontal="center" vertical="center"/>
      <protection locked="0"/>
    </xf>
    <xf numFmtId="9" fontId="76" fillId="21"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277" fillId="17" borderId="5" xfId="0" applyFont="1" applyFill="1" applyBorder="1" applyAlignment="1">
      <alignment horizontal="center" vertical="center" wrapText="1"/>
    </xf>
    <xf numFmtId="0" fontId="277" fillId="17" borderId="9" xfId="0" applyFont="1" applyFill="1" applyBorder="1" applyAlignment="1">
      <alignment horizontal="center" vertical="center" wrapText="1"/>
    </xf>
    <xf numFmtId="0" fontId="145" fillId="0" borderId="0" xfId="0" applyFont="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279" fillId="0" borderId="0" xfId="0" applyFont="1" applyBorder="1" applyAlignment="1">
      <alignment horizontal="left" vertical="center" wrapText="1"/>
    </xf>
    <xf numFmtId="0" fontId="277" fillId="0" borderId="0" xfId="0" applyFont="1" applyBorder="1" applyAlignment="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2</xdr:row>
      <xdr:rowOff>116416</xdr:rowOff>
    </xdr:from>
    <xdr:to>
      <xdr:col>10</xdr:col>
      <xdr:colOff>100835</xdr:colOff>
      <xdr:row>31</xdr:row>
      <xdr:rowOff>148167</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0" y="455083"/>
          <a:ext cx="6916502" cy="4942417"/>
        </a:xfrm>
        <a:prstGeom prst="rect">
          <a:avLst/>
        </a:prstGeom>
      </xdr:spPr>
    </xdr:pic>
    <xdr:clientData/>
  </xdr:twoCellAnchor>
  <xdr:twoCellAnchor editAs="oneCell">
    <xdr:from>
      <xdr:col>10</xdr:col>
      <xdr:colOff>211667</xdr:colOff>
      <xdr:row>2</xdr:row>
      <xdr:rowOff>84666</xdr:rowOff>
    </xdr:from>
    <xdr:to>
      <xdr:col>20</xdr:col>
      <xdr:colOff>116525</xdr:colOff>
      <xdr:row>31</xdr:row>
      <xdr:rowOff>39139</xdr:rowOff>
    </xdr:to>
    <xdr:pic>
      <xdr:nvPicPr>
        <xdr:cNvPr id="3" name="图片 2"/>
        <xdr:cNvPicPr>
          <a:picLocks noChangeAspect="1"/>
        </xdr:cNvPicPr>
      </xdr:nvPicPr>
      <xdr:blipFill>
        <a:blip xmlns:r="http://schemas.openxmlformats.org/officeDocument/2006/relationships" r:embed="rId2"/>
        <a:stretch>
          <a:fillRect/>
        </a:stretch>
      </xdr:blipFill>
      <xdr:spPr>
        <a:xfrm>
          <a:off x="7090834" y="423333"/>
          <a:ext cx="6784024" cy="4865139"/>
        </a:xfrm>
        <a:prstGeom prst="rect">
          <a:avLst/>
        </a:prstGeom>
      </xdr:spPr>
    </xdr:pic>
    <xdr:clientData/>
  </xdr:twoCellAnchor>
  <xdr:twoCellAnchor editAs="oneCell">
    <xdr:from>
      <xdr:col>0</xdr:col>
      <xdr:colOff>0</xdr:colOff>
      <xdr:row>38</xdr:row>
      <xdr:rowOff>0</xdr:rowOff>
    </xdr:from>
    <xdr:to>
      <xdr:col>13</xdr:col>
      <xdr:colOff>514227</xdr:colOff>
      <xdr:row>50</xdr:row>
      <xdr:rowOff>110857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34667"/>
          <a:ext cx="9457144" cy="2142857"/>
        </a:xfrm>
        <a:prstGeom prst="rect">
          <a:avLst/>
        </a:prstGeom>
      </xdr:spPr>
    </xdr:pic>
    <xdr:clientData/>
  </xdr:twoCellAnchor>
  <xdr:twoCellAnchor editAs="oneCell">
    <xdr:from>
      <xdr:col>0</xdr:col>
      <xdr:colOff>0</xdr:colOff>
      <xdr:row>51</xdr:row>
      <xdr:rowOff>0</xdr:rowOff>
    </xdr:from>
    <xdr:to>
      <xdr:col>13</xdr:col>
      <xdr:colOff>190417</xdr:colOff>
      <xdr:row>62</xdr:row>
      <xdr:rowOff>51619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6000"/>
          <a:ext cx="9133334" cy="1914286"/>
        </a:xfrm>
        <a:prstGeom prst="rect">
          <a:avLst/>
        </a:prstGeom>
      </xdr:spPr>
    </xdr:pic>
    <xdr:clientData/>
  </xdr:twoCellAnchor>
  <xdr:twoCellAnchor editAs="oneCell">
    <xdr:from>
      <xdr:col>0</xdr:col>
      <xdr:colOff>0</xdr:colOff>
      <xdr:row>63</xdr:row>
      <xdr:rowOff>0</xdr:rowOff>
    </xdr:from>
    <xdr:to>
      <xdr:col>13</xdr:col>
      <xdr:colOff>352322</xdr:colOff>
      <xdr:row>75</xdr:row>
      <xdr:rowOff>15619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668000"/>
          <a:ext cx="9295239" cy="2047619"/>
        </a:xfrm>
        <a:prstGeom prst="rect">
          <a:avLst/>
        </a:prstGeom>
      </xdr:spPr>
    </xdr:pic>
    <xdr:clientData/>
  </xdr:twoCellAnchor>
  <xdr:twoCellAnchor editAs="oneCell">
    <xdr:from>
      <xdr:col>0</xdr:col>
      <xdr:colOff>0</xdr:colOff>
      <xdr:row>76</xdr:row>
      <xdr:rowOff>0</xdr:rowOff>
    </xdr:from>
    <xdr:to>
      <xdr:col>13</xdr:col>
      <xdr:colOff>409465</xdr:colOff>
      <xdr:row>87</xdr:row>
      <xdr:rowOff>127809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69333"/>
          <a:ext cx="9352382" cy="1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313172</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28572" cy="2371429"/>
        </a:xfrm>
        <a:prstGeom prst="rect">
          <a:avLst/>
        </a:prstGeom>
      </xdr:spPr>
    </xdr:pic>
    <xdr:clientData/>
  </xdr:twoCellAnchor>
  <xdr:twoCellAnchor editAs="oneCell">
    <xdr:from>
      <xdr:col>0</xdr:col>
      <xdr:colOff>0</xdr:colOff>
      <xdr:row>15</xdr:row>
      <xdr:rowOff>0</xdr:rowOff>
    </xdr:from>
    <xdr:to>
      <xdr:col>13</xdr:col>
      <xdr:colOff>417934</xdr:colOff>
      <xdr:row>28</xdr:row>
      <xdr:rowOff>142579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9333334" cy="2371429"/>
        </a:xfrm>
        <a:prstGeom prst="rect">
          <a:avLst/>
        </a:prstGeom>
      </xdr:spPr>
    </xdr:pic>
    <xdr:clientData/>
  </xdr:twoCellAnchor>
  <xdr:twoCellAnchor editAs="oneCell">
    <xdr:from>
      <xdr:col>0</xdr:col>
      <xdr:colOff>0</xdr:colOff>
      <xdr:row>29</xdr:row>
      <xdr:rowOff>0</xdr:rowOff>
    </xdr:from>
    <xdr:to>
      <xdr:col>12</xdr:col>
      <xdr:colOff>465639</xdr:colOff>
      <xdr:row>42</xdr:row>
      <xdr:rowOff>47341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8695239" cy="2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7-4&#27979;&#31639;&#65288;&#21830;&#19994;&#65289;YZ00-0803-0802&#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7-4&#27979;&#31639;&#65288;&#21150;&#20844;&#65289;YZ00-0803-080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地价"/>
      <sheetName val="剩余法--商业"/>
      <sheetName val="收益还原法-住宅"/>
      <sheetName val="基准地价-商业"/>
      <sheetName val="剩余法-商业"/>
      <sheetName val="不动产比较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成交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71563</v>
          </cell>
          <cell r="D19">
            <v>145401</v>
          </cell>
        </row>
        <row r="20">
          <cell r="D20">
            <v>14454</v>
          </cell>
          <cell r="G20">
            <v>12252</v>
          </cell>
        </row>
      </sheetData>
      <sheetData sheetId="18">
        <row r="29">
          <cell r="C29">
            <v>7114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地价"/>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71604</v>
          </cell>
          <cell r="D19">
            <v>142314</v>
          </cell>
        </row>
        <row r="20">
          <cell r="C20">
            <v>7118</v>
          </cell>
          <cell r="D20">
            <v>14147</v>
          </cell>
          <cell r="G20">
            <v>12038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2659</v>
      </c>
      <c r="B1" s="2888" t="s">
        <v>2756</v>
      </c>
    </row>
    <row r="2" spans="1:55" s="2892" customFormat="1" ht="15" thickTop="1">
      <c r="A2" s="2890" t="s">
        <v>2663</v>
      </c>
      <c r="B2" s="2891" t="str">
        <f>'预评函-封皮'!B37</f>
        <v>北京市出让国有建设用地使用权市场价格预评估</v>
      </c>
      <c r="AX2" s="2893"/>
      <c r="AZ2" s="2893"/>
      <c r="BA2" s="2894"/>
      <c r="BC2" s="2894"/>
    </row>
    <row r="3" spans="1:55" s="2895" customFormat="1">
      <c r="A3" s="2874" t="s">
        <v>2664</v>
      </c>
      <c r="B3" s="2877">
        <f>'预评函-封皮'!B40</f>
        <v>0</v>
      </c>
    </row>
    <row r="4" spans="1:55" s="2876" customFormat="1">
      <c r="A4" s="2874" t="s">
        <v>2665</v>
      </c>
      <c r="B4" s="2875" t="str">
        <f>'预评函-封皮'!B46</f>
        <v>叶凌、杨红英</v>
      </c>
      <c r="N4" s="2876" t="str">
        <f>'预评函-1'!A28</f>
        <v>——</v>
      </c>
    </row>
    <row r="5" spans="1:55" s="2889" customFormat="1" ht="15" thickBot="1">
      <c r="A5" s="2896" t="s">
        <v>2666</v>
      </c>
      <c r="B5" s="2897" t="str">
        <f>'预评函-封皮'!B49</f>
        <v>康正预评字号</v>
      </c>
    </row>
    <row r="6" spans="1:55" s="2898" customFormat="1" ht="15" thickTop="1">
      <c r="A6" s="2890" t="s">
        <v>2708</v>
      </c>
      <c r="B6" s="2891" t="str">
        <f>'预评函-1'!A4</f>
        <v>受贵公司委托，我公司对北京市出让国有建设用地使用权市场价格进行了预评估。</v>
      </c>
      <c r="AM6" s="2899"/>
    </row>
    <row r="7" spans="1:55" s="2873" customFormat="1">
      <c r="A7" s="2874" t="s">
        <v>2660</v>
      </c>
      <c r="B7" s="2875" t="str">
        <f>'预评函-1'!A6</f>
        <v>估价对象为使用的、位于北京市出让国有建设用地使用权。根据《国有土地使用证》[]，估价对象（分摊）出让国有建设用地使用权面积为45889.5平方米。根据《建设工程规划许可证》[]、《出让合同》[]，估价对象规划建筑面积为100957平方米。</v>
      </c>
    </row>
    <row r="8" spans="1:55" s="2873" customFormat="1">
      <c r="A8" s="2874" t="s">
        <v>2661</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2711</v>
      </c>
      <c r="B9" s="2875" t="str">
        <f>'预评函-1'!A9</f>
        <v>本次评估为委托估价方了解标的物之市场价格提供参考依据而评估出让国有建设用地使用权市场价格。</v>
      </c>
    </row>
    <row r="10" spans="1:55" s="2873" customFormat="1">
      <c r="A10" s="2874" t="s">
        <v>2662</v>
      </c>
      <c r="B10" s="2875" t="str">
        <f>'预评函-1'!A11</f>
        <v>2019年7月4日</v>
      </c>
    </row>
    <row r="11" spans="1:55" s="2873" customFormat="1">
      <c r="A11" s="2874" t="s">
        <v>2668</v>
      </c>
      <c r="B11" s="2875" t="str">
        <f>'预评函-1'!A14</f>
        <v>根据《国有土地使用证》[]，本次评估估价对象证载（地类）用途为。</v>
      </c>
    </row>
    <row r="12" spans="1:55" s="2873" customFormat="1">
      <c r="A12" s="2874" t="s">
        <v>2669</v>
      </c>
      <c r="B12" s="2875" t="str">
        <f>'预评函-1'!A15</f>
        <v>本次评估设定用途即为证载用途。</v>
      </c>
    </row>
    <row r="13" spans="1:55" s="2873" customFormat="1">
      <c r="A13" s="2874" t="s">
        <v>2670</v>
      </c>
      <c r="B13" s="2875" t="str">
        <f>'预评函-1'!A17</f>
        <v>根据委托估价方介绍及评估专业人员现场勘查，本次评估估价对象实际土地开发程度为红线外市政基础设施达“七通”（即、、、、、、）、宗地红线内场地平整。</v>
      </c>
    </row>
    <row r="14" spans="1:55" s="2873" customFormat="1">
      <c r="A14" s="2874" t="s">
        <v>2671</v>
      </c>
      <c r="B14" s="2875" t="str">
        <f>'预评函-1'!A18</f>
        <v>。本次评估设定土地开发程度为红线外市政基础设施达“七通”、宗地红线内场地平整。</v>
      </c>
    </row>
    <row r="15" spans="1:55" s="2873" customFormat="1">
      <c r="A15" s="2874" t="s">
        <v>2667</v>
      </c>
      <c r="B15" s="2875" t="str">
        <f>'预评函-1'!A20</f>
        <v>根据《国有土地使用证》[]，估价对象（分摊）出让国有建设用地使用权面积为45889.5平方米。根据《建设工程规划许可证》[]、《出让合同》[]，估价对象规划建筑面积为100957平方米。</v>
      </c>
    </row>
    <row r="16" spans="1:55" s="2873" customFormat="1">
      <c r="A16" s="2874" t="s">
        <v>2672</v>
      </c>
      <c r="B16" s="28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7日、商业2059年12月7日、办公2069年12月7日。截至估价期日，出让国有建设用地使用权剩余土地使用年限为。</v>
      </c>
    </row>
    <row r="17" spans="1:48" s="2873" customFormat="1">
      <c r="A17" s="2874" t="s">
        <v>2673</v>
      </c>
      <c r="B17" s="2875" t="str">
        <f>'预评函-1'!A23</f>
        <v>本次评估设定估价对象剩余土地使用年限为。</v>
      </c>
    </row>
    <row r="18" spans="1:48" s="2873" customFormat="1">
      <c r="A18" s="2874" t="s">
        <v>2674</v>
      </c>
      <c r="B18" s="2875" t="str">
        <f>'预评函-1'!A25</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19" spans="1:48" s="2873" customFormat="1">
      <c r="A19" s="2874" t="s">
        <v>2675</v>
      </c>
      <c r="B19" s="2875" t="str">
        <f>'预评函-1'!A26</f>
        <v>——</v>
      </c>
    </row>
    <row r="20" spans="1:48" s="2873" customFormat="1">
      <c r="A20" s="2874" t="s">
        <v>2676</v>
      </c>
      <c r="B20" s="2875" t="str">
        <f>'预评函-1'!A27</f>
        <v>——</v>
      </c>
    </row>
    <row r="21" spans="1:48" s="2889" customFormat="1" ht="15" thickBot="1">
      <c r="A21" s="2896" t="s">
        <v>2677</v>
      </c>
      <c r="B21" s="2897" t="str">
        <f>'预评函-1'!A28</f>
        <v>——</v>
      </c>
    </row>
    <row r="22" spans="1:48" ht="15" thickTop="1">
      <c r="A22" s="2885" t="s">
        <v>2678</v>
      </c>
      <c r="B22" s="288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4" t="s">
        <v>2679</v>
      </c>
      <c r="B23" s="2875" t="str">
        <f>'预评函-2'!K2</f>
        <v>估价期日：2019年7月4日</v>
      </c>
    </row>
    <row r="24" spans="1:48">
      <c r="A24" s="2874" t="s">
        <v>2680</v>
      </c>
      <c r="B24" s="2875" t="str">
        <f>'预评函-2'!R2</f>
        <v>估价期日的国有建设用地使用权性质：出让</v>
      </c>
    </row>
    <row r="25" spans="1:48">
      <c r="A25" s="2874" t="s">
        <v>2736</v>
      </c>
      <c r="B25" s="2875" t="str">
        <f>'预评函-2'!A3</f>
        <v>估价期日土地使用者</v>
      </c>
    </row>
    <row r="26" spans="1:48">
      <c r="A26" s="2874" t="s">
        <v>2712</v>
      </c>
      <c r="B26" s="2875" t="str">
        <f>'预评函-2'!A5</f>
        <v>中信开发</v>
      </c>
    </row>
    <row r="27" spans="1:48">
      <c r="A27" s="2874" t="s">
        <v>2737</v>
      </c>
      <c r="B27" s="2875" t="str">
        <f>'预评函-2'!B3</f>
        <v>宗地编号/不动产单元号</v>
      </c>
    </row>
    <row r="28" spans="1:48">
      <c r="A28" s="2874" t="s">
        <v>2713</v>
      </c>
      <c r="B28" s="2875" t="str">
        <f>'预评函-2'!B5</f>
        <v>11111111111</v>
      </c>
    </row>
    <row r="29" spans="1:48">
      <c r="A29" s="2874" t="s">
        <v>2739</v>
      </c>
      <c r="B29" s="2875">
        <f>'预评函-2'!C5</f>
        <v>22</v>
      </c>
    </row>
    <row r="30" spans="1:48">
      <c r="A30" s="2874" t="s">
        <v>2740</v>
      </c>
      <c r="B30" s="2875" t="str">
        <f>'预评函-2'!D3</f>
        <v>土地使用证编号/不动产权证书编号</v>
      </c>
    </row>
    <row r="31" spans="1:48">
      <c r="A31" s="2874" t="s">
        <v>2714</v>
      </c>
      <c r="B31" s="2875" t="str">
        <f>'预评函-2'!D5</f>
        <v>京国土字第111号</v>
      </c>
    </row>
    <row r="32" spans="1:48">
      <c r="A32" s="2874" t="s">
        <v>2715</v>
      </c>
      <c r="B32" s="2875">
        <f>'预评函-2'!E5</f>
        <v>0</v>
      </c>
      <c r="AV32" s="2879"/>
    </row>
    <row r="33" spans="1:2">
      <c r="A33" s="2874" t="s">
        <v>2716</v>
      </c>
      <c r="B33" s="2875">
        <f>'预评函-2'!F5</f>
        <v>258</v>
      </c>
    </row>
    <row r="34" spans="1:2">
      <c r="A34" s="2874" t="s">
        <v>2717</v>
      </c>
      <c r="B34" s="2875">
        <f>'预评函-2'!G5</f>
        <v>0</v>
      </c>
    </row>
    <row r="35" spans="1:2">
      <c r="A35" s="2874" t="s">
        <v>2718</v>
      </c>
      <c r="B35" s="2875">
        <f>'预评函-2'!H5</f>
        <v>1.5</v>
      </c>
    </row>
    <row r="36" spans="1:2">
      <c r="A36" s="2874" t="s">
        <v>2719</v>
      </c>
      <c r="B36" s="2875">
        <f>'预评函-2'!I5</f>
        <v>1.5</v>
      </c>
    </row>
    <row r="37" spans="1:2">
      <c r="A37" s="2874" t="s">
        <v>2720</v>
      </c>
      <c r="B37" s="2875">
        <f>'预评函-2'!J5</f>
        <v>1.5</v>
      </c>
    </row>
    <row r="38" spans="1:2">
      <c r="A38" s="2874" t="s">
        <v>2721</v>
      </c>
      <c r="B38" s="2875" t="str">
        <f>'预评函-2'!K5</f>
        <v>红线外七通、宗地红线内</v>
      </c>
    </row>
    <row r="39" spans="1:2">
      <c r="A39" s="2874" t="s">
        <v>2722</v>
      </c>
      <c r="B39" s="2875" t="str">
        <f>'预评函-2'!L5</f>
        <v>红线外七通、宗地红线内场地</v>
      </c>
    </row>
    <row r="40" spans="1:2">
      <c r="A40" s="2874" t="s">
        <v>2741</v>
      </c>
      <c r="B40" s="2875" t="str">
        <f>'预评函-2'!M3</f>
        <v>（剩余）土地使用年限/年</v>
      </c>
    </row>
    <row r="41" spans="1:2">
      <c r="A41" s="2874" t="s">
        <v>2723</v>
      </c>
      <c r="B41" s="2875">
        <f>'预评函-2'!M5</f>
        <v>0</v>
      </c>
    </row>
    <row r="42" spans="1:2">
      <c r="A42" s="2874" t="s">
        <v>2742</v>
      </c>
      <c r="B42" s="2875" t="str">
        <f>'预评函-2'!N3</f>
        <v>（分摊）出让国有建设用地使用权面积/㎡</v>
      </c>
    </row>
    <row r="43" spans="1:2">
      <c r="A43" s="2874" t="s">
        <v>2724</v>
      </c>
      <c r="B43" s="2875">
        <f>'预评函-2'!N5</f>
        <v>45889.5</v>
      </c>
    </row>
    <row r="44" spans="1:2">
      <c r="A44" s="2874" t="s">
        <v>2743</v>
      </c>
      <c r="B44" s="2875" t="str">
        <f>'预评函-2'!O3</f>
        <v>规划建筑面积/㎡</v>
      </c>
    </row>
    <row r="45" spans="1:2">
      <c r="A45" s="2874" t="s">
        <v>2725</v>
      </c>
      <c r="B45" s="2875">
        <f>'预评函-2'!O5</f>
        <v>100957</v>
      </c>
    </row>
    <row r="46" spans="1:2">
      <c r="A46" s="2874" t="s">
        <v>2726</v>
      </c>
      <c r="B46" s="2875">
        <f ca="1">'预评函-2'!P5</f>
        <v>44971</v>
      </c>
    </row>
    <row r="47" spans="1:2">
      <c r="A47" s="2874" t="s">
        <v>2727</v>
      </c>
      <c r="B47" s="2875">
        <f ca="1">'预评函-2'!Q5</f>
        <v>20441</v>
      </c>
    </row>
    <row r="48" spans="1:2">
      <c r="A48" s="2874" t="s">
        <v>2728</v>
      </c>
      <c r="B48" s="2875">
        <f ca="1">'预评函-2'!R5</f>
        <v>206371</v>
      </c>
    </row>
    <row r="49" spans="1:2">
      <c r="A49" s="2874" t="s">
        <v>2744</v>
      </c>
      <c r="B49" s="2875" t="str">
        <f>'预评函-2'!A6</f>
        <v>——</v>
      </c>
    </row>
    <row r="50" spans="1:2">
      <c r="A50" s="2874" t="s">
        <v>2729</v>
      </c>
      <c r="B50" s="2875" t="str">
        <f>'预评函-2'!R6</f>
        <v>——</v>
      </c>
    </row>
    <row r="51" spans="1:2">
      <c r="A51" s="2874" t="s">
        <v>2745</v>
      </c>
      <c r="B51" s="2875" t="str">
        <f>'预评函-2'!A7</f>
        <v>——</v>
      </c>
    </row>
    <row r="52" spans="1:2">
      <c r="A52" s="2874" t="s">
        <v>2730</v>
      </c>
      <c r="B52" s="2875" t="str">
        <f>'预评函-2'!R7</f>
        <v>——</v>
      </c>
    </row>
    <row r="53" spans="1:2">
      <c r="A53" s="2874" t="s">
        <v>2746</v>
      </c>
      <c r="B53" s="2875" t="str">
        <f>'预评函-2'!A8</f>
        <v>——</v>
      </c>
    </row>
    <row r="54" spans="1:2" s="2889" customFormat="1" ht="15" thickBot="1">
      <c r="A54" s="2896" t="s">
        <v>2731</v>
      </c>
      <c r="B54" s="2897" t="str">
        <f>'预评函-2'!R8</f>
        <v>——</v>
      </c>
    </row>
    <row r="55" spans="1:2" ht="15" thickTop="1">
      <c r="A55" s="2885" t="s">
        <v>2681</v>
      </c>
      <c r="B55" s="2886" t="str">
        <f>'预评函-3'!A2</f>
        <v>1.权利限制：根据估价对象《不动产权证书》原件、《国有土地使用权》复印件，截至估价期日，估价对象抵押权未见登记。未设定租赁等其他他项权利。</v>
      </c>
    </row>
    <row r="56" spans="1:2">
      <c r="A56" s="2874" t="s">
        <v>2682</v>
      </c>
      <c r="B56" s="2875" t="str">
        <f>'预评函-3'!A3</f>
        <v>2.基础设施条件：估价对象实际开发程度为红线外七通、宗地红线内；本次评估设定开发程度为红线外七通、宗地红线内场地。</v>
      </c>
    </row>
    <row r="57" spans="1:2">
      <c r="A57" s="2874" t="s">
        <v>2683</v>
      </c>
      <c r="B57" s="2875" t="str">
        <f>'预评函-3'!A4</f>
        <v>3.估价规划限制条件：详见《建设工程规划许可证》[]、《出让合同》[]。</v>
      </c>
    </row>
    <row r="58" spans="1:2" s="2889" customFormat="1" ht="15" thickBot="1">
      <c r="A58" s="2896" t="s">
        <v>2732</v>
      </c>
      <c r="B58" s="2897" t="str">
        <f>'预评函-3'!A5</f>
        <v>4.影响价格的其他限定条件：无。</v>
      </c>
    </row>
    <row r="59" spans="1:2" ht="15" thickTop="1">
      <c r="A59" s="2885" t="s">
        <v>2684</v>
      </c>
      <c r="B59" s="2886" t="str">
        <f>'预评函-3'!A8</f>
        <v>2.本次评估设定估价对象宗地权属无争议，未被查封或者以其他形式限制其房地产权利，未设定抵押权等他项权利，不涉及第三方权利义务。</v>
      </c>
    </row>
    <row r="60" spans="1:2">
      <c r="A60" s="2874" t="s">
        <v>2685</v>
      </c>
      <c r="B60" s="2875" t="str">
        <f>'预评函-3'!A9</f>
        <v>——</v>
      </c>
    </row>
    <row r="61" spans="1:2">
      <c r="A61" s="2874" t="s">
        <v>2687</v>
      </c>
      <c r="B61" s="2875" t="str">
        <f>'预评函-3'!A10</f>
        <v>——</v>
      </c>
    </row>
    <row r="62" spans="1:2">
      <c r="A62" s="2874" t="s">
        <v>2686</v>
      </c>
      <c r="B62" s="2875" t="str">
        <f>'预评函-3'!A11</f>
        <v>——</v>
      </c>
    </row>
    <row r="63" spans="1:2">
      <c r="A63" s="2874" t="s">
        <v>2688</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2689</v>
      </c>
      <c r="B64" s="2880" t="str">
        <f>'预评函-3'!A13</f>
        <v>（3）。</v>
      </c>
    </row>
    <row r="65" spans="1:2">
      <c r="A65" s="2874" t="s">
        <v>2690</v>
      </c>
      <c r="B65" s="2881" t="str">
        <f>'预评函-3'!A14</f>
        <v>——</v>
      </c>
    </row>
    <row r="66" spans="1:2">
      <c r="A66" s="2874" t="s">
        <v>2691</v>
      </c>
      <c r="B66" s="288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2692</v>
      </c>
      <c r="B67" s="288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2695</v>
      </c>
      <c r="B68" s="2900">
        <f>'预评函-3'!D30</f>
        <v>42558</v>
      </c>
    </row>
    <row r="69" spans="1:2" ht="15" thickTop="1">
      <c r="A69" s="2885" t="s">
        <v>2693</v>
      </c>
      <c r="B69" s="2886" t="str">
        <f>'预评函-3'!A20</f>
        <v>叶凌</v>
      </c>
    </row>
    <row r="70" spans="1:2">
      <c r="A70" s="2874" t="s">
        <v>2693</v>
      </c>
      <c r="B70" s="2881">
        <f ca="1">'预评函-3'!B20</f>
        <v>94010078</v>
      </c>
    </row>
    <row r="71" spans="1:2">
      <c r="A71" s="2874" t="s">
        <v>2694</v>
      </c>
      <c r="B71" s="2875" t="str">
        <f>'预评函-3'!A21</f>
        <v>杨红英</v>
      </c>
    </row>
    <row r="72" spans="1:2" s="2889" customFormat="1" ht="15" thickBot="1">
      <c r="A72" s="2896" t="s">
        <v>2694</v>
      </c>
      <c r="B72" s="2902">
        <f>'预评函-3'!B21</f>
        <v>2004110128</v>
      </c>
    </row>
    <row r="73" spans="1:2" ht="15" thickTop="1">
      <c r="A73" s="2885" t="s">
        <v>2753</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2754</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2755</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2790</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F17"/>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303" t="str">
        <f>IF(B10="北京市","北京市",C10)&amp;F10&amp;B16&amp;"国有建设用地使用权"&amp;B9&amp;"预评估"</f>
        <v>北京市出让国有建设用地使用权市场价格预评估</v>
      </c>
      <c r="C1" s="3304"/>
      <c r="D1" s="3304"/>
      <c r="E1" s="3304"/>
      <c r="F1" s="3304"/>
      <c r="G1" s="3304"/>
      <c r="H1" s="3304"/>
      <c r="I1" s="3305"/>
      <c r="J1" s="1691"/>
      <c r="K1" s="2453" t="str">
        <f>IF(B10="北京市","北京市",C10)&amp;F10&amp;B16&amp;"国有建设用地使用权"&amp;B9</f>
        <v>北京市出让国有建设用地使用权市场价格</v>
      </c>
      <c r="L1" s="1720"/>
      <c r="M1" s="1720"/>
      <c r="N1" s="1691"/>
      <c r="O1" s="1692"/>
      <c r="P1" s="1691"/>
      <c r="Q1" s="1691"/>
      <c r="R1" s="1691"/>
      <c r="S1" s="1691"/>
      <c r="T1" s="1691"/>
      <c r="U1" s="1691"/>
    </row>
    <row r="2" spans="1:21">
      <c r="A2" s="1657" t="s">
        <v>1941</v>
      </c>
      <c r="B2" s="1839"/>
      <c r="D2" s="1691"/>
      <c r="E2" s="1691"/>
      <c r="F2" s="1691"/>
      <c r="G2" s="1691"/>
      <c r="H2" s="1657"/>
      <c r="I2" s="1692"/>
      <c r="J2" s="1691"/>
      <c r="K2" s="2453"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1942</v>
      </c>
      <c r="B3" s="1659">
        <v>43654</v>
      </c>
      <c r="C3" s="1660" t="s">
        <v>1998</v>
      </c>
      <c r="D3" s="1659">
        <v>43650</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2997</v>
      </c>
      <c r="C4" s="1843">
        <f ca="1">SUMIF(土地估价师,B4,估价师及机构信息!E3:E24)</f>
        <v>94010078</v>
      </c>
      <c r="D4" s="1840" t="s">
        <v>2998</v>
      </c>
      <c r="E4" s="1843">
        <f>SUMIF(土地估价师,D4,估价师及机构信息!E3:E24)</f>
        <v>2004110128</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叶凌、杨红英</v>
      </c>
      <c r="L4" s="1720"/>
      <c r="M4" s="1720"/>
      <c r="N4" s="1691"/>
      <c r="O4" s="1692"/>
      <c r="P4" s="1691"/>
      <c r="Q4" s="1691"/>
      <c r="R4" s="1691"/>
      <c r="S4" s="1691"/>
      <c r="T4" s="1691"/>
      <c r="U4" s="1691"/>
    </row>
    <row r="5" spans="1:21" ht="15" thickTop="1">
      <c r="A5" s="1662" t="s">
        <v>1944</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2709</v>
      </c>
      <c r="B6" s="1786"/>
      <c r="C6" s="1758"/>
      <c r="D6" s="1665"/>
      <c r="E6" s="1691"/>
      <c r="F6" s="1691"/>
      <c r="G6" s="1691"/>
      <c r="H6" s="1657"/>
      <c r="I6" s="1692"/>
      <c r="J6" s="1691"/>
      <c r="K6" s="3052" t="str">
        <f>IF(COUNTIF(B6,"*上海银行*"),"上海银行","")</f>
        <v/>
      </c>
      <c r="L6" s="1720"/>
      <c r="M6" s="1720"/>
      <c r="N6" s="1691"/>
      <c r="O6" s="1692"/>
      <c r="P6" s="1691"/>
      <c r="Q6" s="1691"/>
      <c r="R6" s="1691"/>
      <c r="S6" s="1691"/>
      <c r="T6" s="1691"/>
      <c r="U6" s="1691"/>
    </row>
    <row r="7" spans="1:21">
      <c r="A7" s="1666" t="s">
        <v>2710</v>
      </c>
      <c r="B7" s="1786"/>
      <c r="C7" s="1758"/>
      <c r="D7" s="1665"/>
      <c r="E7" s="1691"/>
      <c r="F7" s="1691"/>
      <c r="G7" s="1691"/>
      <c r="H7" s="1657"/>
      <c r="I7" s="1692"/>
      <c r="J7" s="1691"/>
      <c r="K7" s="1771"/>
      <c r="L7" s="1720"/>
      <c r="M7" s="1720"/>
      <c r="N7" s="1691"/>
      <c r="O7" s="1692"/>
      <c r="P7" s="1691"/>
      <c r="Q7" s="1691"/>
      <c r="R7" s="1691"/>
      <c r="S7" s="1691"/>
      <c r="T7" s="1691"/>
      <c r="U7" s="1691"/>
    </row>
    <row r="8" spans="1:21" ht="15" customHeight="1">
      <c r="A8" s="1666" t="s">
        <v>1945</v>
      </c>
      <c r="B8" s="1667" t="s">
        <v>2999</v>
      </c>
      <c r="C8" s="1668"/>
      <c r="D8" s="3309" t="s">
        <v>1947</v>
      </c>
      <c r="E8" s="1841"/>
      <c r="F8" s="1669"/>
      <c r="G8" s="1657"/>
      <c r="H8" s="1657"/>
      <c r="I8" s="1704"/>
      <c r="J8" s="1691"/>
      <c r="K8" s="1771"/>
      <c r="L8" s="1720"/>
      <c r="M8" s="1720"/>
      <c r="N8" s="1691"/>
      <c r="O8" s="1692"/>
      <c r="P8" s="1691"/>
      <c r="Q8" s="1691"/>
      <c r="R8" s="1691"/>
      <c r="S8" s="1691"/>
      <c r="T8" s="1691"/>
      <c r="U8" s="1691"/>
    </row>
    <row r="9" spans="1:21" ht="15" customHeight="1" thickBot="1">
      <c r="A9" s="1670" t="s">
        <v>1946</v>
      </c>
      <c r="B9" s="1671" t="s">
        <v>3000</v>
      </c>
      <c r="C9" s="1672"/>
      <c r="D9" s="3310"/>
      <c r="E9" s="1671"/>
      <c r="F9" s="1744"/>
      <c r="G9" s="1739"/>
      <c r="H9" s="1739"/>
      <c r="I9" s="1740"/>
      <c r="J9" s="1691"/>
      <c r="K9" s="1771"/>
      <c r="L9" s="1720"/>
      <c r="M9" s="1720"/>
      <c r="N9" s="1691"/>
      <c r="O9" s="1692"/>
      <c r="P9" s="1691"/>
      <c r="Q9" s="1691"/>
      <c r="R9" s="1691"/>
      <c r="S9" s="1691"/>
      <c r="T9" s="1691"/>
      <c r="U9" s="1691"/>
    </row>
    <row r="10" spans="1:21" ht="15" customHeight="1" thickTop="1">
      <c r="A10" s="1741" t="s">
        <v>2002</v>
      </c>
      <c r="B10" s="1716" t="s">
        <v>1948</v>
      </c>
      <c r="C10" s="1673"/>
      <c r="D10" s="1664"/>
      <c r="E10" s="1674" t="s">
        <v>1949</v>
      </c>
      <c r="F10" s="1675"/>
      <c r="G10" s="1742"/>
      <c r="H10" s="1743"/>
      <c r="I10" s="1664"/>
      <c r="J10" s="1691"/>
      <c r="K10" s="1771"/>
      <c r="L10" s="1720"/>
      <c r="M10" s="1720"/>
      <c r="N10" s="1691"/>
      <c r="O10" s="1692"/>
      <c r="P10" s="1691"/>
      <c r="Q10" s="1691"/>
      <c r="R10" s="1691"/>
      <c r="S10" s="1691"/>
      <c r="T10" s="1691"/>
      <c r="U10" s="1691"/>
    </row>
    <row r="11" spans="1:21" ht="15" customHeight="1">
      <c r="A11" s="1694" t="s">
        <v>2003</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ht="15" customHeight="1">
      <c r="A12" s="1782" t="s">
        <v>2061</v>
      </c>
      <c r="B12" s="3306"/>
      <c r="C12" s="3307"/>
      <c r="D12" s="3308"/>
      <c r="E12" s="1696" t="s">
        <v>2064</v>
      </c>
      <c r="F12" s="3324" t="s">
        <v>2892</v>
      </c>
      <c r="G12" s="3325"/>
      <c r="H12" s="3325"/>
      <c r="I12" s="3326"/>
      <c r="J12" s="1691"/>
      <c r="K12" s="1771"/>
      <c r="L12" s="1720"/>
      <c r="M12" s="1720"/>
      <c r="N12" s="1691"/>
      <c r="O12" s="1692"/>
      <c r="P12" s="1691"/>
      <c r="Q12" s="1691"/>
      <c r="R12" s="1691"/>
      <c r="S12" s="1691"/>
      <c r="T12" s="1691"/>
      <c r="U12" s="1691"/>
    </row>
    <row r="13" spans="1:21" ht="15" customHeight="1">
      <c r="A13" s="1684" t="s">
        <v>2062</v>
      </c>
      <c r="B13" s="3306"/>
      <c r="C13" s="3307"/>
      <c r="D13" s="3308"/>
      <c r="E13" s="1696" t="s">
        <v>2064</v>
      </c>
      <c r="F13" s="3324" t="s">
        <v>2893</v>
      </c>
      <c r="G13" s="3325"/>
      <c r="H13" s="3325"/>
      <c r="I13" s="3326"/>
      <c r="J13" s="1691"/>
      <c r="K13" s="1771"/>
      <c r="L13" s="1720"/>
      <c r="M13" s="1720"/>
      <c r="N13" s="1691"/>
      <c r="O13" s="1692"/>
      <c r="P13" s="1691"/>
      <c r="Q13" s="1691"/>
      <c r="R13" s="1691"/>
      <c r="S13" s="1691"/>
      <c r="T13" s="1691"/>
      <c r="U13" s="1691"/>
    </row>
    <row r="14" spans="1:21" ht="15" customHeight="1">
      <c r="A14" s="1658" t="s">
        <v>2065</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t="15" customHeight="1">
      <c r="A15" s="2643"/>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15" customHeight="1">
      <c r="A16" s="1677" t="s">
        <v>1950</v>
      </c>
      <c r="B16" s="1678" t="s">
        <v>3001</v>
      </c>
      <c r="C16" s="1696" t="s">
        <v>1951</v>
      </c>
      <c r="D16" s="2644" t="s">
        <v>1952</v>
      </c>
      <c r="E16" s="1719" t="s">
        <v>3002</v>
      </c>
      <c r="F16" s="1719" t="s">
        <v>1678</v>
      </c>
      <c r="G16" s="1719"/>
      <c r="H16" s="1719"/>
      <c r="I16" s="1683" t="s">
        <v>1957</v>
      </c>
      <c r="J16" s="1691"/>
      <c r="K16" s="2454" t="str">
        <f>IF(D17="","",D16&amp;TEXT(D17,"yyyy年m月d日;;"))</f>
        <v>住宅2089年12月7日</v>
      </c>
      <c r="L16" s="1696" t="str">
        <f>IF(OR(K16="",M16=""),"","、")</f>
        <v>、</v>
      </c>
      <c r="M16" s="2454" t="str">
        <f>IF(E17="","",E16&amp;TEXT(E17,"yyyy年m月d日;;"))</f>
        <v>商业2059年12月7日</v>
      </c>
      <c r="N16" s="1696" t="str">
        <f>IF(OR(M16="",O16=""),"","、")</f>
        <v>、</v>
      </c>
      <c r="O16" s="2454" t="str">
        <f>IF(F17="","",F16&amp;TEXT(F17,"yyyy年m月d日;;"))</f>
        <v>办公2069年12月7日</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ht="15" customHeight="1">
      <c r="A17" s="1760"/>
      <c r="B17" s="1679"/>
      <c r="C17" s="1680" t="s">
        <v>1958</v>
      </c>
      <c r="D17" s="1697">
        <v>69374</v>
      </c>
      <c r="E17" s="1697">
        <v>58416</v>
      </c>
      <c r="F17" s="1697">
        <v>62069</v>
      </c>
      <c r="G17" s="1697"/>
      <c r="H17" s="1697"/>
      <c r="I17" s="1697"/>
      <c r="J17" s="1691"/>
      <c r="K17" s="2453" t="str">
        <f>CONCATENATE(K16,L16,M16,N16,O16,P16,Q16,R16,S16,T16,,U16)</f>
        <v>住宅2089年12月7日、商业2059年12月7日、办公2069年12月7日</v>
      </c>
      <c r="L17" s="1720"/>
      <c r="M17" s="1720"/>
      <c r="N17" s="1691"/>
      <c r="O17" s="1692"/>
      <c r="P17" s="1691"/>
      <c r="Q17" s="1691"/>
      <c r="R17" s="1691"/>
      <c r="S17" s="1691"/>
      <c r="T17" s="1691"/>
      <c r="U17" s="1691"/>
    </row>
    <row r="18" spans="1:21">
      <c r="A18" s="1760"/>
      <c r="B18" s="1679"/>
      <c r="C18" s="1680" t="s">
        <v>1959</v>
      </c>
      <c r="D18" s="1681">
        <v>70</v>
      </c>
      <c r="E18" s="1681">
        <v>40</v>
      </c>
      <c r="F18" s="1681">
        <v>50</v>
      </c>
      <c r="G18" s="1681"/>
      <c r="H18" s="1681"/>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70</v>
      </c>
      <c r="E19" s="1682">
        <f>IF(B16="出让",IF(E17="","",ROUNDDOWN(MIN((E17-$D$3)/365,E18),2)),E18)</f>
        <v>40</v>
      </c>
      <c r="F19" s="1682">
        <f>IF(B16="出让",IF(F17="","",ROUNDDOWN(MIN((F17-$D$3)/365,F18),2)),F18)</f>
        <v>50</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2063</v>
      </c>
      <c r="D20" s="3321"/>
      <c r="E20" s="3322"/>
      <c r="F20" s="3322"/>
      <c r="G20" s="3322"/>
      <c r="H20" s="3322"/>
      <c r="I20" s="3323"/>
      <c r="J20" s="1691"/>
      <c r="K20" s="1771"/>
      <c r="L20" s="1720"/>
      <c r="M20" s="1720"/>
      <c r="N20" s="1691"/>
      <c r="O20" s="1692"/>
      <c r="P20" s="1691"/>
      <c r="Q20" s="1691"/>
      <c r="R20" s="1691"/>
      <c r="S20" s="1691"/>
      <c r="T20" s="1691"/>
      <c r="U20" s="1691"/>
    </row>
    <row r="21" spans="1:21">
      <c r="A21" s="1760" t="s">
        <v>1961</v>
      </c>
      <c r="B21" s="1761" t="s">
        <v>1962</v>
      </c>
      <c r="C21" s="1756">
        <f>'数据-汇总表'!E3</f>
        <v>100957</v>
      </c>
      <c r="D21" s="1757" t="s">
        <v>1963</v>
      </c>
      <c r="E21" s="3311" t="s">
        <v>2001</v>
      </c>
      <c r="F21" s="3312"/>
      <c r="G21" s="3312"/>
      <c r="H21" s="3312"/>
      <c r="I21" s="3313"/>
      <c r="J21" s="1691"/>
      <c r="K21" s="1771"/>
      <c r="L21" s="1720"/>
      <c r="M21" s="1720"/>
      <c r="N21" s="1691"/>
      <c r="O21" s="1692"/>
      <c r="P21" s="1691"/>
      <c r="Q21" s="1691"/>
      <c r="R21" s="1691"/>
      <c r="S21" s="1691"/>
      <c r="T21" s="1691"/>
      <c r="U21" s="1691"/>
    </row>
    <row r="22" spans="1:21">
      <c r="A22" s="3141" t="s">
        <v>952</v>
      </c>
      <c r="B22" s="1658" t="s">
        <v>1964</v>
      </c>
      <c r="C22" s="1683">
        <f>'数据-汇总表'!D3</f>
        <v>45889.5</v>
      </c>
      <c r="D22" s="1684" t="s">
        <v>1963</v>
      </c>
      <c r="E22" s="3311" t="s">
        <v>2894</v>
      </c>
      <c r="F22" s="3312"/>
      <c r="G22" s="3312"/>
      <c r="H22" s="3312"/>
      <c r="I22" s="3313"/>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314" t="s">
        <v>1969</v>
      </c>
      <c r="C24" s="3315"/>
      <c r="D24" s="3316" t="s">
        <v>1970</v>
      </c>
      <c r="E24" s="3317"/>
      <c r="F24" s="1705" t="s">
        <v>1971</v>
      </c>
      <c r="G24" s="1691"/>
      <c r="H24" s="1691"/>
      <c r="I24" s="1704"/>
      <c r="J24" s="1691"/>
      <c r="K24" s="3302" t="s">
        <v>1972</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2328</v>
      </c>
      <c r="C25" s="1706" t="s">
        <v>1973</v>
      </c>
      <c r="D25" s="1707"/>
      <c r="E25" s="1708" t="s">
        <v>952</v>
      </c>
      <c r="F25" s="1709"/>
      <c r="G25" s="1691"/>
      <c r="H25" s="1691"/>
      <c r="I25" s="1704"/>
      <c r="J25" s="1691"/>
      <c r="K25" s="3302"/>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2329</v>
      </c>
      <c r="D26" s="1657"/>
      <c r="E26" s="1657"/>
      <c r="F26" s="1685"/>
      <c r="G26" s="1691"/>
      <c r="H26" s="1691"/>
      <c r="I26" s="1704"/>
      <c r="J26" s="1691"/>
      <c r="K26" s="3302"/>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49"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50"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50"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51"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88" t="s">
        <v>2004</v>
      </c>
      <c r="B31" s="1761" t="s">
        <v>2005</v>
      </c>
      <c r="C31" s="3327"/>
      <c r="D31" s="3328"/>
      <c r="E31" s="1691"/>
      <c r="F31" s="1691"/>
      <c r="G31" s="1691"/>
      <c r="H31" s="1691"/>
      <c r="I31" s="1704"/>
      <c r="J31" s="1691"/>
      <c r="K31" s="2456"/>
      <c r="L31" s="1691"/>
      <c r="M31" s="1691"/>
      <c r="N31" s="1691"/>
      <c r="O31" s="1691"/>
      <c r="P31" s="1691"/>
      <c r="Q31" s="1691"/>
      <c r="R31" s="1691"/>
      <c r="S31" s="1691"/>
      <c r="T31" s="1691"/>
      <c r="U31" s="1691"/>
    </row>
    <row r="32" spans="1:21">
      <c r="A32" s="3288"/>
      <c r="B32" s="1658" t="s">
        <v>2006</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88"/>
      <c r="B33" s="1658" t="s">
        <v>2007</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89"/>
      <c r="B34" s="1658" t="s">
        <v>2008</v>
      </c>
      <c r="C34" s="3290"/>
      <c r="D34" s="3291"/>
      <c r="E34" s="1691"/>
      <c r="F34" s="1691"/>
      <c r="G34" s="1691"/>
      <c r="H34" s="1691"/>
      <c r="I34" s="1704"/>
      <c r="J34" s="1691"/>
      <c r="K34" s="2456"/>
      <c r="L34" s="1691"/>
      <c r="M34" s="1691"/>
      <c r="N34" s="1691"/>
      <c r="O34" s="1691"/>
      <c r="P34" s="1691"/>
      <c r="Q34" s="1691"/>
      <c r="R34" s="1691"/>
      <c r="S34" s="1691"/>
      <c r="T34" s="1691"/>
      <c r="U34" s="1691"/>
    </row>
    <row r="35" spans="1:21">
      <c r="A35" s="3292" t="s">
        <v>847</v>
      </c>
      <c r="B35" s="1719"/>
      <c r="C35" s="1773" t="str">
        <f>IF(B35="场地平整","——","具体情况：")</f>
        <v>具体情况：</v>
      </c>
      <c r="D35" s="3294"/>
      <c r="E35" s="3295"/>
      <c r="F35" s="3295"/>
      <c r="G35" s="3295"/>
      <c r="H35" s="3295"/>
      <c r="I35" s="3296"/>
      <c r="J35" s="1691"/>
      <c r="K35" s="1772"/>
      <c r="L35" s="1720"/>
      <c r="M35" s="1720"/>
      <c r="N35" s="1691"/>
      <c r="O35" s="1692"/>
      <c r="P35" s="1691"/>
      <c r="Q35" s="1691"/>
      <c r="R35" s="1691"/>
      <c r="S35" s="1691"/>
      <c r="T35" s="1691"/>
      <c r="U35" s="1691"/>
    </row>
    <row r="36" spans="1:21">
      <c r="A36" s="3288"/>
      <c r="B36" s="3297" t="s">
        <v>2057</v>
      </c>
      <c r="C36" s="3298"/>
      <c r="D36" s="1789"/>
      <c r="E36" s="3299"/>
      <c r="F36" s="3299"/>
      <c r="G36" s="1684" t="str">
        <f>IF(B35="场地未平整","估价结果处理","")</f>
        <v/>
      </c>
      <c r="H36" s="3300"/>
      <c r="I36" s="3300"/>
      <c r="J36" s="1691"/>
      <c r="K36" s="1772"/>
      <c r="L36" s="1720"/>
      <c r="M36" s="1720"/>
      <c r="N36" s="1691"/>
      <c r="O36" s="1692"/>
      <c r="P36" s="1691"/>
      <c r="Q36" s="1691"/>
      <c r="R36" s="1691"/>
      <c r="S36" s="1691"/>
      <c r="T36" s="1691"/>
      <c r="U36" s="1691"/>
    </row>
    <row r="37" spans="1:21" ht="28.5">
      <c r="A37" s="3288"/>
      <c r="B37" s="3318"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88"/>
      <c r="B38" s="3319"/>
      <c r="C38" s="1666" t="s">
        <v>850</v>
      </c>
      <c r="D38" s="1788">
        <f>ROUNDDOWN(MIN(('数据-取费表'!$B$2-D37)/365,D34),1)</f>
        <v>119.5</v>
      </c>
      <c r="E38" s="1724" t="s">
        <v>851</v>
      </c>
      <c r="F38" s="1691"/>
      <c r="G38" s="1691"/>
      <c r="H38" s="1691"/>
      <c r="I38" s="1704"/>
      <c r="J38" s="1691"/>
      <c r="K38" s="1772"/>
      <c r="L38" s="1691"/>
      <c r="M38" s="1691"/>
      <c r="N38" s="1691"/>
      <c r="O38" s="1691"/>
      <c r="P38" s="1691"/>
      <c r="Q38" s="1691"/>
      <c r="R38" s="1691"/>
      <c r="S38" s="1691"/>
      <c r="T38" s="1691"/>
      <c r="U38" s="1691"/>
    </row>
    <row r="39" spans="1:21">
      <c r="A39" s="3289"/>
      <c r="B39" s="3320"/>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c r="C40" s="1687"/>
      <c r="D40" s="1687"/>
      <c r="E40" s="1687"/>
      <c r="F40" s="1687"/>
      <c r="G40" s="1687"/>
      <c r="H40" s="1687"/>
      <c r="I40" s="1704"/>
      <c r="J40" s="1691"/>
      <c r="K40" s="1727">
        <f>COUNTIF(B40:H40,"——")</f>
        <v>0</v>
      </c>
      <c r="L40" s="1696" t="s">
        <v>1981</v>
      </c>
      <c r="M40" s="1693" t="s">
        <v>1982</v>
      </c>
      <c r="N40" s="1693" t="s">
        <v>1983</v>
      </c>
      <c r="O40" s="1693" t="s">
        <v>1984</v>
      </c>
      <c r="P40" s="1693" t="s">
        <v>1985</v>
      </c>
      <c r="Q40" s="1693" t="s">
        <v>1986</v>
      </c>
      <c r="R40" s="1693" t="s">
        <v>1987</v>
      </c>
      <c r="S40" s="3301" t="s">
        <v>1988</v>
      </c>
      <c r="T40" s="1728" t="str">
        <f>NUMBERSTRING(7-K40,1)&amp;"通"</f>
        <v>七通</v>
      </c>
      <c r="U40" s="1691"/>
    </row>
    <row r="41" spans="1:21">
      <c r="A41" s="1660"/>
      <c r="B41" s="3293" t="s">
        <v>1722</v>
      </c>
      <c r="C41" s="3293"/>
      <c r="D41" s="3293"/>
      <c r="E41" s="3293"/>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301"/>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t="s">
        <v>1414</v>
      </c>
      <c r="C43" s="1735" t="s">
        <v>1414</v>
      </c>
      <c r="D43" s="1735" t="s">
        <v>1414</v>
      </c>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t="s">
        <v>3023</v>
      </c>
      <c r="C44" s="1735" t="s">
        <v>3023</v>
      </c>
      <c r="D44" s="1735" t="s">
        <v>3023</v>
      </c>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2895</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2009</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2010</v>
      </c>
      <c r="B48" s="1683" t="s">
        <v>2011</v>
      </c>
      <c r="C48" s="1683" t="s">
        <v>2012</v>
      </c>
      <c r="D48" s="1683" t="s">
        <v>2013</v>
      </c>
      <c r="E48" s="1683" t="s">
        <v>2014</v>
      </c>
      <c r="F48" s="1683" t="s">
        <v>2015</v>
      </c>
      <c r="G48" s="1683" t="s">
        <v>2016</v>
      </c>
      <c r="H48" s="1683" t="s">
        <v>2017</v>
      </c>
      <c r="I48" s="1683" t="s">
        <v>2018</v>
      </c>
      <c r="J48" s="1769" t="s">
        <v>2019</v>
      </c>
      <c r="K48" s="1763" t="s">
        <v>2020</v>
      </c>
      <c r="L48" s="1763" t="s">
        <v>2021</v>
      </c>
      <c r="M48" s="1763" t="s">
        <v>2022</v>
      </c>
      <c r="N48" s="1683" t="s">
        <v>2023</v>
      </c>
      <c r="O48" s="1683" t="s">
        <v>2024</v>
      </c>
      <c r="P48" s="1683" t="s">
        <v>2025</v>
      </c>
      <c r="Q48" s="1696" t="s">
        <v>2026</v>
      </c>
      <c r="R48" s="1696" t="s">
        <v>2027</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C23" sqref="C23"/>
    </sheetView>
  </sheetViews>
  <sheetFormatPr defaultColWidth="8.875" defaultRowHeight="14.25"/>
  <cols>
    <col min="1" max="1" width="13"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8" t="s">
        <v>2336</v>
      </c>
      <c r="BA2" s="2359" t="s">
        <v>2335</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f>26776.373+19113.13</f>
        <v>45889.502999999997</v>
      </c>
      <c r="B3" s="22">
        <f>IF(C3="否",G5-AT5,G5)</f>
        <v>100957</v>
      </c>
      <c r="C3" s="23" t="s">
        <v>952</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60"/>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100957</v>
      </c>
      <c r="H5" s="27">
        <f t="shared" ref="H5:AT5" si="0">SUM(H13:H641)</f>
        <v>100595</v>
      </c>
      <c r="I5" s="27">
        <f t="shared" si="0"/>
        <v>100595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362</v>
      </c>
      <c r="AD5" s="27">
        <f t="shared" si="0"/>
        <v>0</v>
      </c>
      <c r="AE5" s="27">
        <f t="shared" si="0"/>
        <v>0</v>
      </c>
      <c r="AF5" s="27">
        <f t="shared" si="0"/>
        <v>0</v>
      </c>
      <c r="AG5" s="27">
        <f t="shared" si="0"/>
        <v>0</v>
      </c>
      <c r="AH5" s="27">
        <f t="shared" si="0"/>
        <v>0</v>
      </c>
      <c r="AI5" s="27">
        <f t="shared" si="0"/>
        <v>0</v>
      </c>
      <c r="AJ5" s="27">
        <f t="shared" si="0"/>
        <v>0</v>
      </c>
      <c r="AK5" s="27">
        <f t="shared" si="0"/>
        <v>0</v>
      </c>
      <c r="AL5" s="27">
        <f t="shared" si="0"/>
        <v>362</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100957</v>
      </c>
      <c r="BA5" s="29">
        <f t="shared" si="1"/>
        <v>100595</v>
      </c>
      <c r="BB5" s="29">
        <f t="shared" si="1"/>
        <v>100595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362</v>
      </c>
      <c r="BM5" s="29">
        <f t="shared" si="1"/>
        <v>0</v>
      </c>
      <c r="BN5" s="29">
        <f t="shared" si="1"/>
        <v>0</v>
      </c>
      <c r="BO5" s="29">
        <f t="shared" si="1"/>
        <v>0</v>
      </c>
      <c r="BP5" s="29">
        <f t="shared" si="1"/>
        <v>0</v>
      </c>
      <c r="BQ5" s="29">
        <f t="shared" si="1"/>
        <v>362</v>
      </c>
      <c r="BR5" s="29">
        <f t="shared" si="1"/>
        <v>0</v>
      </c>
      <c r="BS5" s="29">
        <f t="shared" si="1"/>
        <v>0</v>
      </c>
      <c r="BT5" s="30">
        <f t="shared" si="1"/>
        <v>0</v>
      </c>
    </row>
    <row r="6" spans="1:72" s="37" customFormat="1" ht="12.75">
      <c r="A6" s="26" t="s">
        <v>169</v>
      </c>
      <c r="B6" s="31"/>
      <c r="C6" s="31"/>
      <c r="D6" s="32"/>
      <c r="E6" s="27">
        <f>H6+AC6+AT6</f>
        <v>45889.51</v>
      </c>
      <c r="F6" s="27" t="s">
        <v>1</v>
      </c>
      <c r="G6" s="27" t="s">
        <v>2</v>
      </c>
      <c r="H6" s="33">
        <f>SUMIF(I$12:AB$12,"总值",I6:AB6)</f>
        <v>45724.959999999999</v>
      </c>
      <c r="I6" s="27">
        <f t="shared" ref="I6:AB6" si="2">ROUND($A$3*I5/$B$3,2)</f>
        <v>45724.959999999999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164.55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164.55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45889.5</v>
      </c>
      <c r="AZ6" s="27" t="s">
        <v>3</v>
      </c>
      <c r="BA6" s="27">
        <f>ROUND($AY$6*BA5/$AZ$5,2)</f>
        <v>45724.95</v>
      </c>
      <c r="BB6" s="27">
        <f>ROUND($AY$6*BB5/$AZ$5,2)</f>
        <v>45724.95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164.55</v>
      </c>
      <c r="BM6" s="27">
        <f t="shared" si="5"/>
        <v>0</v>
      </c>
      <c r="BN6" s="27">
        <f t="shared" si="5"/>
        <v>0</v>
      </c>
      <c r="BO6" s="27">
        <f t="shared" si="5"/>
        <v>0</v>
      </c>
      <c r="BP6" s="27">
        <f t="shared" si="5"/>
        <v>0</v>
      </c>
      <c r="BQ6" s="27">
        <f t="shared" si="5"/>
        <v>164.55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5"/>
      <c r="AT8" s="2326"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15" t="s">
        <v>3003</v>
      </c>
      <c r="J9" s="51"/>
      <c r="K9" s="3015" t="s">
        <v>3003</v>
      </c>
      <c r="L9" s="51"/>
      <c r="M9" s="3015" t="s">
        <v>3003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7"/>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15" t="s">
        <v>923</v>
      </c>
      <c r="J10" s="51"/>
      <c r="K10" s="3017" t="s">
        <v>3002</v>
      </c>
      <c r="L10" s="51"/>
      <c r="M10" s="3017" t="s">
        <v>1678</v>
      </c>
      <c r="N10" s="51"/>
      <c r="O10" s="66"/>
      <c r="P10" s="51"/>
      <c r="Q10" s="66"/>
      <c r="R10" s="51"/>
      <c r="S10" s="66"/>
      <c r="T10" s="51"/>
      <c r="U10" s="66"/>
      <c r="V10" s="51"/>
      <c r="W10" s="66"/>
      <c r="X10" s="51"/>
      <c r="Y10" s="66"/>
      <c r="Z10" s="51"/>
      <c r="AA10" s="66"/>
      <c r="AB10" s="51"/>
      <c r="AC10" s="55"/>
      <c r="AD10" s="2312" t="s">
        <v>2320</v>
      </c>
      <c r="AE10" s="2334"/>
      <c r="AF10" s="2312" t="s">
        <v>2320</v>
      </c>
      <c r="AG10" s="2334"/>
      <c r="AH10" s="2312" t="s">
        <v>2321</v>
      </c>
      <c r="AI10" s="2334"/>
      <c r="AJ10" s="26" t="s">
        <v>2334</v>
      </c>
      <c r="AK10" s="2331"/>
      <c r="AL10" s="2312" t="s">
        <v>2322</v>
      </c>
      <c r="AM10" s="2313"/>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6" t="s">
        <v>3024</v>
      </c>
      <c r="J11" s="71"/>
      <c r="K11" s="3016"/>
      <c r="L11" s="71"/>
      <c r="M11" s="70"/>
      <c r="N11" s="71"/>
      <c r="O11" s="70"/>
      <c r="P11" s="71"/>
      <c r="Q11" s="70"/>
      <c r="R11" s="71"/>
      <c r="S11" s="70"/>
      <c r="T11" s="71"/>
      <c r="U11" s="70"/>
      <c r="V11" s="71"/>
      <c r="W11" s="70"/>
      <c r="X11" s="71"/>
      <c r="Y11" s="70"/>
      <c r="Z11" s="71"/>
      <c r="AA11" s="70"/>
      <c r="AB11" s="71"/>
      <c r="AC11" s="55"/>
      <c r="AD11" s="2332" t="s">
        <v>2333</v>
      </c>
      <c r="AE11" s="999"/>
      <c r="AF11" s="2332" t="s">
        <v>2333</v>
      </c>
      <c r="AG11" s="999"/>
      <c r="AH11" s="2332" t="s">
        <v>2332</v>
      </c>
      <c r="AI11" s="2333"/>
      <c r="AJ11" s="2332" t="s">
        <v>2332</v>
      </c>
      <c r="AK11" s="2331"/>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t="str">
        <f>M10</f>
        <v>办公</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51">
      <c r="A13" s="3010"/>
      <c r="B13" s="3010"/>
      <c r="C13" s="3010" t="s">
        <v>3031</v>
      </c>
      <c r="D13" s="3011" t="s">
        <v>1679</v>
      </c>
      <c r="E13" s="27">
        <f t="shared" ref="E13:E20" si="6">IF($C$3="是",ROUND($A$3*G13/$B$3,2),ROUND($A$3*(G13-AT13)/$B$3,2))</f>
        <v>45889.5</v>
      </c>
      <c r="F13" s="81"/>
      <c r="G13" s="82">
        <f t="shared" ref="G13:G20" si="7">H13+AC13+AT13</f>
        <v>100957</v>
      </c>
      <c r="H13" s="33">
        <f t="shared" ref="H13:H20" si="8">SUMIF(I$12:AB$12,"总值",I13:AB13)</f>
        <v>100595</v>
      </c>
      <c r="I13" s="81">
        <f>100957-AL13</f>
        <v>100595</v>
      </c>
      <c r="J13" s="3014"/>
      <c r="K13" s="81"/>
      <c r="L13" s="3014"/>
      <c r="M13" s="81"/>
      <c r="N13" s="83"/>
      <c r="O13" s="83"/>
      <c r="P13" s="83"/>
      <c r="Q13" s="83"/>
      <c r="R13" s="83"/>
      <c r="S13" s="83"/>
      <c r="T13" s="83"/>
      <c r="U13" s="83"/>
      <c r="V13" s="83"/>
      <c r="W13" s="83"/>
      <c r="X13" s="83"/>
      <c r="Y13" s="83"/>
      <c r="Z13" s="83"/>
      <c r="AA13" s="83"/>
      <c r="AB13" s="83"/>
      <c r="AC13" s="27">
        <f t="shared" ref="AC13:AC20" si="9">SUMIF(AD$12:AS$12,"总值",AD13:AS13)</f>
        <v>362</v>
      </c>
      <c r="AD13" s="3018"/>
      <c r="AE13" s="3018"/>
      <c r="AF13" s="3018"/>
      <c r="AG13" s="3018"/>
      <c r="AH13" s="3018"/>
      <c r="AI13" s="3018"/>
      <c r="AJ13" s="3018"/>
      <c r="AK13" s="3018"/>
      <c r="AL13" s="3018">
        <f>350+12</f>
        <v>362</v>
      </c>
      <c r="AM13" s="3018"/>
      <c r="AN13" s="3018"/>
      <c r="AO13" s="3018"/>
      <c r="AP13" s="3018"/>
      <c r="AQ13" s="3018"/>
      <c r="AR13" s="3018"/>
      <c r="AS13" s="3018"/>
      <c r="AT13" s="3019"/>
      <c r="AU13" s="3020"/>
      <c r="AV13" s="17">
        <f t="shared" ref="AV13:AX20" si="10">A13</f>
        <v>0</v>
      </c>
      <c r="AW13" s="17">
        <f t="shared" si="10"/>
        <v>0</v>
      </c>
      <c r="AX13" s="17" t="str">
        <f t="shared" si="10"/>
        <v>YZ00-0803-0802、YZ00-0803-6021</v>
      </c>
      <c r="AY13" s="993">
        <f t="shared" ref="AY13:AY20" si="11">ROUND($AY$6*AZ13/$AZ$5,2)</f>
        <v>45889.5</v>
      </c>
      <c r="AZ13" s="27">
        <f t="shared" ref="AZ13:AZ20" si="12">BA13+BL13</f>
        <v>100957</v>
      </c>
      <c r="BA13" s="27">
        <f t="shared" ref="BA13:BA20" si="13">SUM(BB13:BK13)</f>
        <v>100595</v>
      </c>
      <c r="BB13" s="27">
        <f t="shared" ref="BB13:BB20" si="14">IF($D13="是",I13-J13,0)</f>
        <v>100595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362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362</v>
      </c>
      <c r="BR13" s="27">
        <f t="shared" ref="BR13:BR20" si="30">IF($D13="是",AN13-AO13,0)</f>
        <v>0</v>
      </c>
      <c r="BS13" s="27">
        <f t="shared" ref="BS13:BS20" si="31">IF($D13="是",AP13-AQ13,0)</f>
        <v>0</v>
      </c>
      <c r="BT13" s="36">
        <f t="shared" ref="BT13:BT20" si="32">IF($D13="是",AR13-AS13,0)</f>
        <v>0</v>
      </c>
    </row>
    <row r="14" spans="1:72" s="18" customFormat="1" ht="12.75">
      <c r="A14" s="3010"/>
      <c r="B14" s="3010"/>
      <c r="C14" s="3010"/>
      <c r="D14" s="3011" t="s">
        <v>952</v>
      </c>
      <c r="E14" s="27">
        <f t="shared" si="6"/>
        <v>0</v>
      </c>
      <c r="F14" s="81"/>
      <c r="G14" s="82">
        <f t="shared" si="7"/>
        <v>0</v>
      </c>
      <c r="H14" s="33">
        <f t="shared" si="8"/>
        <v>0</v>
      </c>
      <c r="I14" s="81"/>
      <c r="J14" s="3014"/>
      <c r="K14" s="81"/>
      <c r="L14" s="3014"/>
      <c r="M14" s="81"/>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3"/>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9" t="s">
        <v>0</v>
      </c>
      <c r="B1" s="3329" t="s">
        <v>4</v>
      </c>
      <c r="C1" s="3329" t="s">
        <v>5</v>
      </c>
      <c r="D1" s="3330" t="s">
        <v>40</v>
      </c>
      <c r="E1" s="3330" t="s">
        <v>41</v>
      </c>
      <c r="F1" s="3330"/>
      <c r="G1" s="3330"/>
      <c r="H1" s="3330"/>
      <c r="I1" s="3330"/>
      <c r="J1" s="3330"/>
      <c r="K1" s="3330"/>
      <c r="L1" s="3330"/>
      <c r="M1" s="3330"/>
    </row>
    <row r="2" spans="1:13" ht="27" customHeight="1">
      <c r="A2" s="3329"/>
      <c r="B2" s="3329"/>
      <c r="C2" s="3329"/>
      <c r="D2" s="3330"/>
      <c r="E2" s="3330" t="s">
        <v>24</v>
      </c>
      <c r="F2" s="3330" t="s">
        <v>25</v>
      </c>
      <c r="G2" s="3330"/>
      <c r="H2" s="3330"/>
      <c r="I2" s="3330"/>
      <c r="J2" s="3330" t="s">
        <v>26</v>
      </c>
      <c r="K2" s="3330"/>
      <c r="L2" s="3330"/>
      <c r="M2" s="3330"/>
    </row>
    <row r="3" spans="1:13" ht="28.5">
      <c r="A3" s="3329"/>
      <c r="B3" s="3329"/>
      <c r="C3" s="3329"/>
      <c r="D3" s="3330"/>
      <c r="E3" s="333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0" t="s">
        <v>42</v>
      </c>
      <c r="B9" s="3330"/>
      <c r="C9" s="333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4" sqref="E2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40" t="s">
        <v>203</v>
      </c>
      <c r="B2" s="3340"/>
      <c r="C2" s="3340"/>
      <c r="D2" s="1973" t="s">
        <v>204</v>
      </c>
      <c r="E2" s="106" t="s">
        <v>205</v>
      </c>
      <c r="F2" s="1982"/>
      <c r="G2" s="1195"/>
      <c r="H2" s="1196"/>
      <c r="I2" s="1197" t="s">
        <v>857</v>
      </c>
      <c r="J2" s="1982"/>
      <c r="K2" s="1982"/>
      <c r="L2" s="1982"/>
    </row>
    <row r="3" spans="1:16" ht="15.75" thickBot="1">
      <c r="A3" s="3341" t="s">
        <v>206</v>
      </c>
      <c r="B3" s="3341"/>
      <c r="C3" s="3341"/>
      <c r="D3" s="107">
        <f>'数据-基础表'!AY6</f>
        <v>45889.5</v>
      </c>
      <c r="E3" s="107">
        <f>'数据-基础表'!AZ5</f>
        <v>100957</v>
      </c>
      <c r="F3" s="1982"/>
      <c r="G3" s="277" t="s">
        <v>858</v>
      </c>
      <c r="H3" s="275" t="s">
        <v>859</v>
      </c>
      <c r="I3" s="1974">
        <f>ROUND('数据-基础表'!B3/'数据-基础表'!A3,1)</f>
        <v>2.2000000000000002</v>
      </c>
      <c r="J3" s="1982"/>
      <c r="K3" s="1982"/>
      <c r="L3" s="1982"/>
    </row>
    <row r="4" spans="1:16" ht="15">
      <c r="A4" s="3342"/>
      <c r="B4" s="3343"/>
      <c r="C4" s="3344"/>
      <c r="D4" s="108" t="s">
        <v>204</v>
      </c>
      <c r="E4" s="109" t="s">
        <v>205</v>
      </c>
      <c r="F4" s="1982"/>
      <c r="G4" s="1198"/>
      <c r="H4" s="275" t="s">
        <v>860</v>
      </c>
      <c r="I4" s="1974">
        <f>ROUND(SUMIF('数据-基础表'!I9:AS9,"地上",'数据-基础表'!I5:AS5)/'数据-基础表'!A3,1)</f>
        <v>2.2000000000000002</v>
      </c>
      <c r="J4" s="1982"/>
      <c r="K4" s="1982"/>
      <c r="L4" s="1982"/>
    </row>
    <row r="5" spans="1:16">
      <c r="A5" s="110" t="s">
        <v>207</v>
      </c>
      <c r="B5" s="3345" t="s">
        <v>230</v>
      </c>
      <c r="C5" s="3345"/>
      <c r="D5" s="111">
        <f>ROUND($D$3*E5/$E$3,2)</f>
        <v>45724.95</v>
      </c>
      <c r="E5" s="112">
        <f>SUMIF('数据-基础表'!$11:$11,"住宅",'数据-基础表'!$5:$5)</f>
        <v>100595</v>
      </c>
      <c r="F5" s="1982"/>
      <c r="G5" s="277" t="s">
        <v>861</v>
      </c>
      <c r="H5" s="275" t="s">
        <v>859</v>
      </c>
      <c r="I5" s="1974">
        <f>ROUND(E31/D31,1)</f>
        <v>2.2000000000000002</v>
      </c>
      <c r="J5" s="1982"/>
      <c r="K5" s="1982"/>
      <c r="L5" s="1982"/>
    </row>
    <row r="6" spans="1:16" ht="15" thickBot="1">
      <c r="A6" s="113"/>
      <c r="B6" s="3345" t="s">
        <v>208</v>
      </c>
      <c r="C6" s="3345"/>
      <c r="D6" s="111">
        <f>ROUND($D$3*E6/$E$3,2)</f>
        <v>164.55</v>
      </c>
      <c r="E6" s="112">
        <f>E3-E5</f>
        <v>362</v>
      </c>
      <c r="F6" s="1982"/>
      <c r="G6" s="1198"/>
      <c r="H6" s="275" t="s">
        <v>860</v>
      </c>
      <c r="I6" s="1974">
        <f>ROUND(F31/D31,1)</f>
        <v>2.2000000000000002</v>
      </c>
      <c r="J6" s="1982"/>
      <c r="K6" s="1982"/>
      <c r="L6" s="1982"/>
    </row>
    <row r="7" spans="1:16" ht="15">
      <c r="A7" s="3337"/>
      <c r="B7" s="3338"/>
      <c r="C7" s="3339"/>
      <c r="D7" s="108" t="s">
        <v>204</v>
      </c>
      <c r="E7" s="114" t="s">
        <v>231</v>
      </c>
      <c r="F7" s="1982"/>
      <c r="G7" s="1153" t="s">
        <v>1646</v>
      </c>
      <c r="H7" s="1154"/>
      <c r="I7" s="1844">
        <v>2.2000000000000002</v>
      </c>
      <c r="J7" s="1982"/>
      <c r="K7" s="1982"/>
      <c r="L7" s="1982"/>
    </row>
    <row r="8" spans="1:16">
      <c r="A8" s="110" t="s">
        <v>209</v>
      </c>
      <c r="B8" s="115" t="s">
        <v>210</v>
      </c>
      <c r="C8" s="111" t="s">
        <v>211</v>
      </c>
      <c r="D8" s="111">
        <f t="shared" ref="D8:D15" si="0">ROUND($D$3*E8/$E$3,2)</f>
        <v>45724.95</v>
      </c>
      <c r="E8" s="116">
        <f>SUMIF('数据-基础表'!BB10:BK10,"地上",'数据-基础表'!BB5:BK5)</f>
        <v>100595</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2330</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2337</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45724.95</v>
      </c>
      <c r="E16" s="120">
        <f>SUM(E8:E15)</f>
        <v>100595</v>
      </c>
      <c r="F16" s="1982"/>
      <c r="G16" s="1984"/>
      <c r="H16" s="965" t="s">
        <v>219</v>
      </c>
      <c r="I16" s="966"/>
      <c r="J16" s="1982"/>
      <c r="K16" s="3331" t="s">
        <v>2569</v>
      </c>
      <c r="L16" s="3332"/>
      <c r="M16" s="3332"/>
      <c r="N16" s="3332"/>
      <c r="O16" s="3332"/>
      <c r="P16" s="3333"/>
    </row>
    <row r="17" spans="1:19" ht="15">
      <c r="A17" s="121" t="s">
        <v>216</v>
      </c>
      <c r="B17" s="122" t="s">
        <v>217</v>
      </c>
      <c r="C17" s="2296" t="s">
        <v>2316</v>
      </c>
      <c r="D17" s="108" t="s">
        <v>204</v>
      </c>
      <c r="E17" s="124" t="s">
        <v>205</v>
      </c>
      <c r="F17" s="125"/>
      <c r="G17" s="1363"/>
      <c r="H17" s="967" t="s">
        <v>218</v>
      </c>
      <c r="I17" s="968" t="s">
        <v>2315</v>
      </c>
      <c r="J17" s="1982"/>
      <c r="K17" s="3334" t="s">
        <v>2570</v>
      </c>
      <c r="L17" s="3335"/>
      <c r="M17" s="3336"/>
      <c r="N17" s="3334" t="s">
        <v>2571</v>
      </c>
      <c r="O17" s="3335"/>
      <c r="P17" s="3336"/>
      <c r="R17" s="2297" t="s">
        <v>2314</v>
      </c>
      <c r="S17" s="144"/>
    </row>
    <row r="18" spans="1:19" ht="15">
      <c r="A18" s="117"/>
      <c r="B18" s="128"/>
      <c r="C18" s="129"/>
      <c r="D18" s="2640"/>
      <c r="E18" s="130" t="s">
        <v>220</v>
      </c>
      <c r="F18" s="131" t="s">
        <v>221</v>
      </c>
      <c r="G18" s="1364" t="s">
        <v>222</v>
      </c>
      <c r="H18" s="969" t="s">
        <v>223</v>
      </c>
      <c r="I18" s="970" t="s">
        <v>224</v>
      </c>
      <c r="J18" s="1982"/>
      <c r="K18" s="2603" t="s">
        <v>2572</v>
      </c>
      <c r="L18" s="2604" t="s">
        <v>2573</v>
      </c>
      <c r="M18" s="2605" t="s">
        <v>2574</v>
      </c>
      <c r="N18" s="2603" t="s">
        <v>2572</v>
      </c>
      <c r="O18" s="2604" t="s">
        <v>2573</v>
      </c>
      <c r="P18" s="2605" t="s">
        <v>2574</v>
      </c>
      <c r="R18" s="2298" t="s">
        <v>2312</v>
      </c>
      <c r="S18" s="2298" t="s">
        <v>2313</v>
      </c>
    </row>
    <row r="19" spans="1:19" ht="23.25" customHeight="1">
      <c r="A19" s="133"/>
      <c r="B19" s="115" t="s">
        <v>225</v>
      </c>
      <c r="C19" s="3010" t="str">
        <f>'数据-基础表'!C13</f>
        <v>YZ00-0803-0802、YZ00-0803-6021</v>
      </c>
      <c r="D19" s="111">
        <f t="shared" ref="D19:D26" si="1">ROUND($D$3*E19/$E$3,2)</f>
        <v>45724.95</v>
      </c>
      <c r="E19" s="134">
        <f t="shared" ref="E19:E26" si="2">SUM(F19:G19)</f>
        <v>100595</v>
      </c>
      <c r="F19" s="135">
        <f>'数据-基础表'!BB13</f>
        <v>100595</v>
      </c>
      <c r="G19" s="1365"/>
      <c r="H19" s="971">
        <f>ROUND($D$3*I19/$E$3,2)</f>
        <v>164.55</v>
      </c>
      <c r="I19" s="116">
        <f>IF($I$17="自定义",P19,M19)</f>
        <v>362</v>
      </c>
      <c r="J19" s="1982"/>
      <c r="K19" s="2606">
        <f t="shared" ref="K19:K26" si="3">ROUND(E$28*E19/E$27,2)</f>
        <v>362</v>
      </c>
      <c r="L19" s="275">
        <f t="shared" ref="L19:L26" si="4">ROUND(IF(COUNTIF(C19,"*住宅*")&gt;0,E$29*E19/E$32,0),2)</f>
        <v>0</v>
      </c>
      <c r="M19" s="2607">
        <f>K19+L19</f>
        <v>362</v>
      </c>
      <c r="N19" s="2608"/>
      <c r="O19" s="2609"/>
      <c r="P19" s="2610">
        <f>N19+O19</f>
        <v>0</v>
      </c>
      <c r="R19" s="275">
        <f t="shared" ref="R19:S26" si="5">D19+H19</f>
        <v>45889.5</v>
      </c>
      <c r="S19" s="2299">
        <f t="shared" si="5"/>
        <v>100957</v>
      </c>
    </row>
    <row r="20" spans="1:19">
      <c r="A20" s="138"/>
      <c r="B20" s="115" t="s">
        <v>226</v>
      </c>
      <c r="C20" s="3010"/>
      <c r="D20" s="111">
        <f t="shared" si="1"/>
        <v>0</v>
      </c>
      <c r="E20" s="134">
        <f t="shared" si="2"/>
        <v>0</v>
      </c>
      <c r="F20" s="135"/>
      <c r="G20" s="1365"/>
      <c r="H20" s="971">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1"/>
      <c r="D21" s="111">
        <f t="shared" si="1"/>
        <v>0</v>
      </c>
      <c r="E21" s="134">
        <f t="shared" si="2"/>
        <v>0</v>
      </c>
      <c r="F21" s="135"/>
      <c r="G21" s="1365"/>
      <c r="H21" s="971">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1362"/>
      <c r="D22" s="111">
        <f t="shared" si="1"/>
        <v>0</v>
      </c>
      <c r="E22" s="134">
        <f t="shared" si="2"/>
        <v>0</v>
      </c>
      <c r="F22" s="140"/>
      <c r="G22" s="1366"/>
      <c r="H22" s="971">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6"/>
      <c r="H23" s="971">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6"/>
      <c r="H24" s="971">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6"/>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6"/>
      <c r="H26" s="110">
        <f t="shared" si="6"/>
        <v>0</v>
      </c>
      <c r="I26" s="116">
        <f t="shared" si="7"/>
        <v>0</v>
      </c>
      <c r="J26" s="1982"/>
      <c r="K26" s="2611">
        <f t="shared" si="3"/>
        <v>0</v>
      </c>
      <c r="L26" s="277">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45724.95</v>
      </c>
      <c r="E27" s="143">
        <f>IF(SUM(E19:E26)='数据-基础表'!BA5,SUM(E19:E26),IF(F27="地上面积有误","面积有误","地下面积有误"))</f>
        <v>100595</v>
      </c>
      <c r="F27" s="134">
        <f>IF(SUM(F19:F26)=E8,SUM(F19:F26),"地上面积有误")</f>
        <v>100595</v>
      </c>
      <c r="G27" s="112">
        <f>SUM(G19:G26)</f>
        <v>0</v>
      </c>
      <c r="H27" s="972">
        <f>SUM(H19:H26)</f>
        <v>164.55</v>
      </c>
      <c r="I27" s="973">
        <f>SUM(I19:I26)</f>
        <v>362</v>
      </c>
      <c r="J27" s="1982"/>
      <c r="K27" s="2615">
        <f>SUM(K19:K26)</f>
        <v>362</v>
      </c>
      <c r="L27" s="2616">
        <f>SUM(L19:L26)</f>
        <v>0</v>
      </c>
      <c r="M27" s="2617">
        <f>SUM(M19:M26)</f>
        <v>362</v>
      </c>
      <c r="N27" s="2615">
        <f t="shared" ref="N27:O27" si="10">SUM(N19:N26)</f>
        <v>0</v>
      </c>
      <c r="O27" s="2616">
        <f t="shared" si="10"/>
        <v>0</v>
      </c>
      <c r="P27" s="2618">
        <f>SUM(P19:P26)</f>
        <v>0</v>
      </c>
      <c r="R27" s="2303">
        <f>IF(SUM(R19:R26)=$D$3,SUM(R19:R26),SUM(R19:R26)&amp;"误差"&amp;ROUND(SUM(R19:R26)-$D$3,2))</f>
        <v>45889.5</v>
      </c>
      <c r="S27" s="275">
        <f>IF(SUM(S19:S26)=$E$3,SUM(S19:S26),SUM(S19:S26)&amp;"误差"&amp;ROUND(SUM(S19:S26)-E3,2))</f>
        <v>100957</v>
      </c>
    </row>
    <row r="28" spans="1:19">
      <c r="A28" s="138"/>
      <c r="B28" s="115" t="s">
        <v>227</v>
      </c>
      <c r="C28" s="136" t="s">
        <v>228</v>
      </c>
      <c r="D28" s="111">
        <f>ROUND($D$3*E28/$E$3,2)</f>
        <v>164.55</v>
      </c>
      <c r="E28" s="134">
        <f>SUM(F28:G28)</f>
        <v>362</v>
      </c>
      <c r="F28" s="144">
        <f>'数据-基础表'!BQ5+'数据-基础表'!BS5</f>
        <v>362</v>
      </c>
      <c r="G28" s="145">
        <f>'数据-基础表'!BR5+'数据-基础表'!BT5</f>
        <v>0</v>
      </c>
      <c r="H28" s="1982"/>
      <c r="I28" s="1982"/>
      <c r="J28" s="1982"/>
      <c r="K28" s="1982"/>
      <c r="L28" s="1982"/>
    </row>
    <row r="29" spans="1:19">
      <c r="A29" s="138"/>
      <c r="B29" s="115" t="s">
        <v>227</v>
      </c>
      <c r="C29" s="2311" t="s">
        <v>2323</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164.55</v>
      </c>
      <c r="E30" s="134">
        <f>SUM(E28:E29)</f>
        <v>362</v>
      </c>
      <c r="F30" s="134">
        <f>SUM(F28:F29)</f>
        <v>362</v>
      </c>
      <c r="G30" s="112">
        <f>SUM(G28:G29)</f>
        <v>0</v>
      </c>
      <c r="H30" s="1982"/>
      <c r="I30" s="1982"/>
      <c r="J30" s="1982"/>
      <c r="K30" s="1982"/>
      <c r="L30" s="1982"/>
    </row>
    <row r="31" spans="1:19" ht="32.25" customHeight="1" thickBot="1">
      <c r="A31" s="1367"/>
      <c r="B31" s="1368" t="s">
        <v>229</v>
      </c>
      <c r="C31" s="2328" t="s">
        <v>2325</v>
      </c>
      <c r="D31" s="1369">
        <f>D27+D30</f>
        <v>45889.5</v>
      </c>
      <c r="E31" s="1369">
        <f>E27+E30</f>
        <v>100957</v>
      </c>
      <c r="F31" s="1370">
        <f>F27+F30</f>
        <v>100957</v>
      </c>
      <c r="G31" s="1371">
        <f>G27+G30</f>
        <v>0</v>
      </c>
      <c r="H31" s="1982"/>
      <c r="I31" s="1982"/>
      <c r="J31" s="1982"/>
      <c r="K31" s="1982"/>
      <c r="L31" s="1982"/>
    </row>
    <row r="32" spans="1:19">
      <c r="A32" s="1982"/>
      <c r="B32" s="2361" t="s">
        <v>2324</v>
      </c>
      <c r="C32" s="2645"/>
      <c r="D32" s="1198"/>
      <c r="E32" s="1198">
        <f>SUMIF(C19:C26,"*住宅*",E19:E26)</f>
        <v>0</v>
      </c>
      <c r="F32" s="1198"/>
      <c r="G32" s="1198"/>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M29" sqref="M29"/>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6"/>
    <col min="42" max="42" width="0" style="1996" hidden="1" customWidth="1"/>
    <col min="43" max="83" width="13.75" style="1996"/>
    <col min="84" max="16384" width="13.75" style="1200"/>
  </cols>
  <sheetData>
    <row r="1" spans="1:83" ht="19.5" thickBot="1">
      <c r="A1" s="148" t="s">
        <v>234</v>
      </c>
      <c r="B1" s="1199"/>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3" customFormat="1" ht="15.75" thickBot="1">
      <c r="A2" s="149" t="s">
        <v>235</v>
      </c>
      <c r="B2" s="2336">
        <f>项目基本情况!D3</f>
        <v>43650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3" customFormat="1" ht="15" thickBot="1">
      <c r="A3" s="1204"/>
      <c r="B3" s="1201"/>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09" customFormat="1" ht="40.5">
      <c r="A5" s="2302"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19" t="s">
        <v>2575</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2326</v>
      </c>
      <c r="AI5" s="171" t="s">
        <v>2295</v>
      </c>
      <c r="AJ5" s="171" t="s">
        <v>258</v>
      </c>
      <c r="AK5" s="159" t="s">
        <v>259</v>
      </c>
      <c r="AL5" s="159" t="s">
        <v>260</v>
      </c>
      <c r="AM5" s="172" t="s">
        <v>261</v>
      </c>
      <c r="AN5" s="2389" t="s">
        <v>2376</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3" customFormat="1" ht="14.25">
      <c r="A6" s="2300" t="str">
        <f>'数据-汇总表'!C19</f>
        <v>YZ00-0803-0802、YZ00-0803-6021</v>
      </c>
      <c r="B6" s="2335" t="str">
        <f>IF(A6=0,"","经营性")</f>
        <v>经营性</v>
      </c>
      <c r="C6" s="173" t="s">
        <v>923</v>
      </c>
      <c r="D6" s="2306">
        <f>SUMIF(项目基本情况!D$15:I$15,C6,项目基本情况!D$18:I$18)</f>
        <v>70</v>
      </c>
      <c r="E6" s="2307">
        <f>IF(B6="","",SUMIF(项目基本情况!D$15:I$15,C6,项目基本情况!D$17:I$17))</f>
        <v>69374</v>
      </c>
      <c r="F6" s="174">
        <f>SUMIF(项目基本情况!D$15:I$15,C6,项目基本情况!D$19:I$19)</f>
        <v>70</v>
      </c>
      <c r="G6" s="175">
        <f>IF(ISERROR(ROUND(POWER(1+H6,D6-F6)*(POWER(1+H6,F6)-1)/(POWER(1+H6,D6)-1),3)),0,ROUND(POWER(1+H6,D6-F6)*(POWER(1+H6,F6)-1)/(POWER(1+H6,D6)-1),3))</f>
        <v>1</v>
      </c>
      <c r="H6" s="3022">
        <v>0.04</v>
      </c>
      <c r="I6" s="3022">
        <v>4.4999999999999998E-2</v>
      </c>
      <c r="J6" s="176">
        <v>8.5000000000000006E-2</v>
      </c>
      <c r="K6" s="179">
        <f>SUMIF('数据-汇总表'!C$19:C$33,'数据-取费表'!A6,'数据-汇总表'!E$19:E$33)</f>
        <v>100595</v>
      </c>
      <c r="L6" s="3258">
        <v>5000</v>
      </c>
      <c r="M6" s="177">
        <f t="shared" ref="M6:M14" si="0">ROUND(K6*L6/10000,0)</f>
        <v>50298</v>
      </c>
      <c r="N6" s="3024">
        <v>0</v>
      </c>
      <c r="O6" s="177">
        <f>IF($N$5="成新度","——",ROUND(M6*N6,0))</f>
        <v>0</v>
      </c>
      <c r="P6" s="178">
        <f>IF($N$5="成新度","——",M6-O6)</f>
        <v>50298</v>
      </c>
      <c r="Q6" s="3259">
        <v>0.4</v>
      </c>
      <c r="R6" s="179">
        <f>SUMIF('数据-汇总表'!C$19:C$33,A6,'数据-汇总表'!R$19:R$33)</f>
        <v>45889.5</v>
      </c>
      <c r="S6" s="132">
        <f>IF('数据-汇总表'!$I$17="按面积比例",SUMIF('数据-汇总表'!C$19:C$33,A6,'数据-汇总表'!K$19:K$33),SUMIF('数据-汇总表'!C$19:C$33,A6,'数据-汇总表'!N$19:N$33))</f>
        <v>362</v>
      </c>
      <c r="T6" s="2232">
        <f>IF($T$4="按面积比例",IF(ISERROR(ROUND($M$14*S6/S$16,0)),"0",ROUND($M$14*S6/S$16,0)),"需自行计算录入")</f>
        <v>127</v>
      </c>
      <c r="U6" s="180">
        <v>1.8</v>
      </c>
      <c r="V6" s="181">
        <v>0</v>
      </c>
      <c r="W6" s="181">
        <v>0.05</v>
      </c>
      <c r="X6" s="2319"/>
      <c r="Y6" s="182">
        <v>1</v>
      </c>
      <c r="Z6" s="183"/>
      <c r="AA6" s="176"/>
      <c r="AB6" s="176"/>
      <c r="AC6" s="2322"/>
      <c r="AD6" s="184"/>
      <c r="AE6" s="969">
        <f ca="1">IF(AN6="",0,SUMIF(INDIRECT("'"&amp;AN6&amp;"'"&amp;"!E:E"),$AE$5,INDIRECT("'"&amp;AN6&amp;"'"&amp;"!F:F")))</f>
        <v>68</v>
      </c>
      <c r="AF6" s="141"/>
      <c r="AG6" s="1210">
        <f>IF(AF6="",0,AE6-AF6)</f>
        <v>0</v>
      </c>
      <c r="AH6" s="141"/>
      <c r="AI6" s="187">
        <v>365</v>
      </c>
      <c r="AJ6" s="188"/>
      <c r="AK6" s="189">
        <v>1.4999999999999999E-2</v>
      </c>
      <c r="AL6" s="190">
        <v>1.5E-3</v>
      </c>
      <c r="AM6" s="3036">
        <v>1.4999999999999999E-2</v>
      </c>
      <c r="AN6" s="2390" t="s">
        <v>3025</v>
      </c>
      <c r="AO6" s="1998"/>
      <c r="AP6" s="1201">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3" customFormat="1" ht="14.25" hidden="1">
      <c r="A7" s="2300">
        <f>'数据-汇总表'!C20</f>
        <v>0</v>
      </c>
      <c r="B7" s="2335" t="str">
        <f t="shared" ref="B7:B13" si="1">IF(A7=0,"","经营性")</f>
        <v/>
      </c>
      <c r="C7" s="173" t="s">
        <v>923</v>
      </c>
      <c r="D7" s="2306">
        <f>SUMIF(项目基本情况!D$15:I$15,C7,项目基本情况!D$18:I$18)</f>
        <v>70</v>
      </c>
      <c r="E7" s="2307" t="str">
        <f>IF(B7="","",SUMIF(项目基本情况!D$15:I$15,C7,项目基本情况!D$17:I$17))</f>
        <v/>
      </c>
      <c r="F7" s="174">
        <f>SUMIF(项目基本情况!D$15:I$15,C7,项目基本情况!D$19:I$19)</f>
        <v>70</v>
      </c>
      <c r="G7" s="175">
        <f t="shared" ref="G7:G11" si="2">IF(ISERROR(ROUND(POWER(1+H7,D7-F7)*(POWER(1+H7,F7)-1)/(POWER(1+H7,D7)-1),3)),0,ROUND(POWER(1+H7,D7-F7)*(POWER(1+H7,F7)-1)/(POWER(1+H7,D7)-1),3))</f>
        <v>1</v>
      </c>
      <c r="H7" s="3022">
        <v>0.04</v>
      </c>
      <c r="I7" s="3022">
        <v>4.4999999999999998E-2</v>
      </c>
      <c r="J7" s="176">
        <v>8.5000000000000006E-2</v>
      </c>
      <c r="K7" s="179">
        <f>SUMIF('数据-汇总表'!C$19:C$33,'数据-取费表'!A7,'数据-汇总表'!E$19:E$33)</f>
        <v>0</v>
      </c>
      <c r="L7" s="3023">
        <v>2800</v>
      </c>
      <c r="M7" s="177">
        <f t="shared" si="0"/>
        <v>0</v>
      </c>
      <c r="N7" s="3024">
        <v>0</v>
      </c>
      <c r="O7" s="177">
        <f t="shared" ref="O7:O14" si="3">IF($N$5="成新度","——",ROUND(M7*N7,0))</f>
        <v>0</v>
      </c>
      <c r="P7" s="178">
        <f t="shared" ref="P7:P14" si="4">IF($N$5="成新度","——",M7-O7)</f>
        <v>0</v>
      </c>
      <c r="Q7" s="3025">
        <v>0.25</v>
      </c>
      <c r="R7" s="179">
        <f>SUMIF('数据-汇总表'!C$19:C$33,A7,'数据-汇总表'!R$19:R$33)</f>
        <v>0</v>
      </c>
      <c r="S7" s="132">
        <f>IF('数据-汇总表'!$I$17="按面积比例",SUMIF('数据-汇总表'!C$19:C$33,A7,'数据-汇总表'!K$19:K$33),SUMIF('数据-汇总表'!C$19:C$33,A7,'数据-汇总表'!N$19:N$33))</f>
        <v>0</v>
      </c>
      <c r="T7" s="2232">
        <f t="shared" ref="T7:T13" si="5">IF($T$4="按面积比例",IF(ISERROR(ROUND($M$14*S7/S$16,0)),"0",ROUND($M$14*S7/S$16,0)),"需自行计算录入")</f>
        <v>0</v>
      </c>
      <c r="U7" s="180">
        <v>2</v>
      </c>
      <c r="V7" s="181">
        <v>2.5000000000000001E-2</v>
      </c>
      <c r="W7" s="181">
        <v>0.1</v>
      </c>
      <c r="X7" s="2319"/>
      <c r="Y7" s="182">
        <v>1</v>
      </c>
      <c r="Z7" s="183"/>
      <c r="AA7" s="176"/>
      <c r="AB7" s="176"/>
      <c r="AC7" s="2322"/>
      <c r="AD7" s="184"/>
      <c r="AE7" s="969">
        <f t="shared" ref="AE7:AE13" ca="1" si="6">IF(AN7="",0,SUMIF(INDIRECT("'"&amp;AN7&amp;"'"&amp;"!E:E"),$AE$5,INDIRECT("'"&amp;AN7&amp;"'"&amp;"!F:F")))</f>
        <v>0</v>
      </c>
      <c r="AF7" s="141">
        <v>70</v>
      </c>
      <c r="AG7" s="1210">
        <f t="shared" ref="AG7:AG13" ca="1" si="7">IF(AF7="",0,AE7-AF7)</f>
        <v>-70</v>
      </c>
      <c r="AH7" s="141"/>
      <c r="AI7" s="187">
        <v>365</v>
      </c>
      <c r="AJ7" s="188"/>
      <c r="AK7" s="189"/>
      <c r="AL7" s="190"/>
      <c r="AM7" s="2388"/>
      <c r="AN7" s="2390"/>
      <c r="AO7" s="1998"/>
      <c r="AP7" s="1201">
        <f t="shared" ref="AP7:AP13" si="8">ROUND(1-1/(1+H7)^F7,3)</f>
        <v>0.93600000000000005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3" customFormat="1" ht="14.25" hidden="1">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2"/>
      <c r="I8" s="3022"/>
      <c r="J8" s="176"/>
      <c r="K8" s="179">
        <f>SUMIF('数据-汇总表'!C$19:C$33,'数据-取费表'!A8,'数据-汇总表'!E$19:E$33)</f>
        <v>0</v>
      </c>
      <c r="L8" s="3023"/>
      <c r="M8" s="177">
        <f>ROUND(K8*L8/10000,0)</f>
        <v>0</v>
      </c>
      <c r="N8" s="3024"/>
      <c r="O8" s="177">
        <f t="shared" si="3"/>
        <v>0</v>
      </c>
      <c r="P8" s="178">
        <f t="shared" si="4"/>
        <v>0</v>
      </c>
      <c r="Q8" s="3025"/>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69">
        <f t="shared" ca="1" si="6"/>
        <v>0</v>
      </c>
      <c r="AF8" s="141"/>
      <c r="AG8" s="1210">
        <f t="shared" si="7"/>
        <v>0</v>
      </c>
      <c r="AH8" s="141"/>
      <c r="AI8" s="187"/>
      <c r="AJ8" s="188"/>
      <c r="AK8" s="189"/>
      <c r="AL8" s="190"/>
      <c r="AM8" s="2388"/>
      <c r="AN8" s="2390"/>
      <c r="AO8" s="1998"/>
      <c r="AP8" s="1201">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3"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69">
        <f t="shared" ca="1" si="6"/>
        <v>0</v>
      </c>
      <c r="AF9" s="141"/>
      <c r="AG9" s="1210">
        <f t="shared" si="7"/>
        <v>0</v>
      </c>
      <c r="AH9" s="141"/>
      <c r="AI9" s="187"/>
      <c r="AJ9" s="188"/>
      <c r="AK9" s="189"/>
      <c r="AL9" s="190"/>
      <c r="AM9" s="2388"/>
      <c r="AN9" s="2390"/>
      <c r="AO9" s="1998"/>
      <c r="AP9" s="1201">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3"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69">
        <f t="shared" ca="1" si="6"/>
        <v>0</v>
      </c>
      <c r="AF10" s="141"/>
      <c r="AG10" s="1210">
        <f t="shared" si="7"/>
        <v>0</v>
      </c>
      <c r="AH10" s="141"/>
      <c r="AI10" s="187"/>
      <c r="AJ10" s="188"/>
      <c r="AK10" s="189"/>
      <c r="AL10" s="190"/>
      <c r="AM10" s="2388"/>
      <c r="AN10" s="2390"/>
      <c r="AO10" s="1998"/>
      <c r="AP10" s="1201">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3"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69">
        <f t="shared" ca="1" si="6"/>
        <v>0</v>
      </c>
      <c r="AF11" s="141"/>
      <c r="AG11" s="1210">
        <f t="shared" si="7"/>
        <v>0</v>
      </c>
      <c r="AH11" s="141"/>
      <c r="AI11" s="187"/>
      <c r="AJ11" s="188"/>
      <c r="AK11" s="196"/>
      <c r="AL11" s="197"/>
      <c r="AM11" s="1815"/>
      <c r="AN11" s="2390"/>
      <c r="AO11" s="1998"/>
      <c r="AP11" s="1201">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3"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69">
        <f t="shared" ca="1" si="6"/>
        <v>0</v>
      </c>
      <c r="AF12" s="141"/>
      <c r="AG12" s="1210">
        <f t="shared" si="7"/>
        <v>0</v>
      </c>
      <c r="AH12" s="141"/>
      <c r="AI12" s="187"/>
      <c r="AJ12" s="188"/>
      <c r="AK12" s="196"/>
      <c r="AL12" s="197"/>
      <c r="AM12" s="1815"/>
      <c r="AN12" s="2390"/>
      <c r="AO12" s="1998"/>
      <c r="AP12" s="1201">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3"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69">
        <f t="shared" ca="1" si="6"/>
        <v>0</v>
      </c>
      <c r="AF13" s="141"/>
      <c r="AG13" s="1210">
        <f t="shared" si="7"/>
        <v>0</v>
      </c>
      <c r="AH13" s="141"/>
      <c r="AI13" s="187"/>
      <c r="AJ13" s="188"/>
      <c r="AK13" s="189"/>
      <c r="AL13" s="190"/>
      <c r="AM13" s="2388"/>
      <c r="AN13" s="2390"/>
      <c r="AO13" s="1998"/>
      <c r="AP13" s="1201">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3" customFormat="1" ht="14.25">
      <c r="A14" s="2301" t="s">
        <v>2317</v>
      </c>
      <c r="B14" s="2304" t="s">
        <v>1680</v>
      </c>
      <c r="C14" s="2305" t="s">
        <v>2317</v>
      </c>
      <c r="D14" s="2306"/>
      <c r="E14" s="2307"/>
      <c r="F14" s="174"/>
      <c r="G14" s="175"/>
      <c r="H14" s="2308"/>
      <c r="I14" s="2308"/>
      <c r="J14" s="2308"/>
      <c r="K14" s="179">
        <f>SUMIF('数据-汇总表'!C$19:C$33,'数据-取费表'!A14,'数据-汇总表'!E$19:E$33)</f>
        <v>362</v>
      </c>
      <c r="L14" s="193">
        <v>3500</v>
      </c>
      <c r="M14" s="177">
        <f t="shared" si="0"/>
        <v>127</v>
      </c>
      <c r="N14" s="194">
        <v>0</v>
      </c>
      <c r="O14" s="177">
        <f t="shared" si="3"/>
        <v>0</v>
      </c>
      <c r="P14" s="178">
        <f t="shared" si="4"/>
        <v>127</v>
      </c>
      <c r="Q14" s="2316"/>
      <c r="R14" s="179"/>
      <c r="S14" s="132"/>
      <c r="T14" s="2315"/>
      <c r="U14" s="971"/>
      <c r="V14" s="2318"/>
      <c r="W14" s="2318"/>
      <c r="X14" s="2319"/>
      <c r="Y14" s="2320"/>
      <c r="Z14" s="136"/>
      <c r="AA14" s="2321"/>
      <c r="AB14" s="2321"/>
      <c r="AC14" s="2322"/>
      <c r="AD14" s="2319"/>
      <c r="AE14" s="969"/>
      <c r="AF14" s="2294"/>
      <c r="AG14" s="1210"/>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3" customFormat="1" ht="29.25" customHeight="1">
      <c r="A15" s="2310" t="s">
        <v>2319</v>
      </c>
      <c r="B15" s="2304" t="s">
        <v>1680</v>
      </c>
      <c r="C15" s="2305" t="s">
        <v>2318</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1"/>
      <c r="V15" s="2318"/>
      <c r="W15" s="2318"/>
      <c r="X15" s="2319"/>
      <c r="Y15" s="2320"/>
      <c r="Z15" s="136"/>
      <c r="AA15" s="2321"/>
      <c r="AB15" s="2321"/>
      <c r="AC15" s="2322"/>
      <c r="AD15" s="2319"/>
      <c r="AE15" s="969"/>
      <c r="AF15" s="2294"/>
      <c r="AG15" s="1210"/>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3"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100957</v>
      </c>
      <c r="L16" s="206">
        <f>ROUND(M16*10000/SUM(K6:K14),0)</f>
        <v>4995</v>
      </c>
      <c r="M16" s="206">
        <f>SUM(M6:M14)</f>
        <v>50425</v>
      </c>
      <c r="N16" s="207">
        <f>ROUND(SUMPRODUCT(M6:M14,N6:N14)/M16,3)</f>
        <v>0</v>
      </c>
      <c r="O16" s="206">
        <f>SUM(O6:O14)</f>
        <v>0</v>
      </c>
      <c r="P16" s="206">
        <f>SUM(P6:P14)</f>
        <v>50425</v>
      </c>
      <c r="Q16" s="208">
        <f>ROUND(SUMPRODUCT(Q6:Q13,K6:K13)/SUMPRODUCT((Q6:Q13&gt;0)*(K6:K13)),2)</f>
        <v>0.4</v>
      </c>
      <c r="R16" s="2309">
        <f>SUM(R6:R13)</f>
        <v>45889.5</v>
      </c>
      <c r="S16" s="209">
        <f>SUM(S6:S13)</f>
        <v>362</v>
      </c>
      <c r="T16" s="210">
        <f>IF(SUMIF(T6:T13,"&lt;9E307")=M14,SUMIF(T6:T13,"&lt;9E307"),"有误，请检查")</f>
        <v>127</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1">
        <f>ROUND(SUMPRODUCT(AP6:AP13,K6:K13)/SUMPRODUCT((AP6:AP13&gt;0)*(K6:K13)),3)</f>
        <v>0.93600000000000005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1"/>
      <c r="B17" s="1199"/>
      <c r="C17" s="1987"/>
      <c r="D17" s="1988"/>
      <c r="E17" s="1988"/>
      <c r="F17" s="1987"/>
      <c r="G17" s="3186"/>
      <c r="H17" s="3187"/>
      <c r="I17" s="3189"/>
      <c r="J17" s="3190"/>
      <c r="K17" s="1989"/>
      <c r="L17" s="1989"/>
      <c r="M17" s="1987"/>
      <c r="N17" s="1987"/>
      <c r="O17" s="1987"/>
      <c r="P17" s="1987"/>
      <c r="Q17" s="3191"/>
      <c r="R17" s="1987"/>
      <c r="S17" s="1987"/>
      <c r="T17" s="1987"/>
      <c r="U17" s="1987"/>
      <c r="V17" s="3191"/>
      <c r="W17" s="3191"/>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1"/>
      <c r="C18" s="1990"/>
      <c r="D18" s="1991"/>
      <c r="E18" s="1990"/>
      <c r="F18" s="1990"/>
      <c r="G18" s="2362"/>
      <c r="H18" s="3188"/>
      <c r="I18" s="3188"/>
      <c r="J18" s="3188"/>
      <c r="K18" s="1989"/>
      <c r="L18" s="1989"/>
      <c r="M18" s="1987"/>
      <c r="N18" s="1987"/>
      <c r="O18" s="1987"/>
      <c r="P18" s="1987"/>
      <c r="Q18" s="3191"/>
      <c r="R18" s="1987"/>
      <c r="S18" s="1987"/>
      <c r="T18" s="1987"/>
      <c r="U18" s="1987"/>
      <c r="V18" s="3191"/>
      <c r="W18" s="3191"/>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2339</v>
      </c>
      <c r="D19" s="1991"/>
      <c r="E19" s="1990"/>
      <c r="F19" s="1990"/>
      <c r="G19" s="1990"/>
      <c r="H19" s="1990"/>
      <c r="I19" s="1990"/>
      <c r="J19" s="1990"/>
      <c r="K19" s="1989"/>
      <c r="L19" s="1989"/>
      <c r="M19" s="1987"/>
      <c r="N19" s="1987"/>
      <c r="O19" s="1987"/>
      <c r="P19" s="1987"/>
      <c r="Q19" s="1987"/>
      <c r="R19" s="1987"/>
      <c r="S19" s="1987"/>
      <c r="T19" s="1987"/>
      <c r="U19" s="1987"/>
      <c r="V19" s="3191"/>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2338</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4"/>
      <c r="B25" s="1201"/>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2" customFormat="1" ht="27.75">
      <c r="A27" s="226" t="s">
        <v>2341</v>
      </c>
      <c r="B27" s="227">
        <v>150</v>
      </c>
      <c r="C27" s="2365" t="s">
        <v>2345</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2" customFormat="1" ht="27.75">
      <c r="A28" s="228" t="s">
        <v>2342</v>
      </c>
      <c r="B28" s="229">
        <v>190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2" customFormat="1" ht="28.5" thickBot="1">
      <c r="A29" s="231" t="s">
        <v>2340</v>
      </c>
      <c r="B29" s="232">
        <v>0</v>
      </c>
      <c r="C29" s="1550" t="s">
        <v>2343</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2" customFormat="1" ht="27">
      <c r="A30" s="235" t="s">
        <v>273</v>
      </c>
      <c r="B30" s="975">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2"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2" customFormat="1" ht="27.75" thickBot="1">
      <c r="A32" s="237" t="s">
        <v>275</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2" customFormat="1" ht="14.25">
      <c r="A33" s="226" t="s">
        <v>278</v>
      </c>
      <c r="B33" s="1376">
        <v>0.03</v>
      </c>
      <c r="C33" s="2363" t="s">
        <v>2896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3185">
        <v>0.05</v>
      </c>
      <c r="C34" s="2363" t="s">
        <v>2897</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2899</v>
      </c>
      <c r="D36" s="1988"/>
      <c r="E36" s="1199"/>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2900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2900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2459</v>
      </c>
      <c r="B39" s="797">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2460</v>
      </c>
      <c r="B40" s="2479">
        <f ca="1">存贷款利率!E2</f>
        <v>4.7500000000000001E-2</v>
      </c>
      <c r="C40" s="2363" t="s">
        <v>2344</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6" t="s">
        <v>283</v>
      </c>
      <c r="B42" s="240">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6" t="s">
        <v>284</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63" t="s">
        <v>2901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2902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2903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1" t="s">
        <v>2904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2" t="s">
        <v>2905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2" t="s">
        <v>2906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1410</v>
      </c>
      <c r="C53" s="3073" t="s">
        <v>2907</v>
      </c>
      <c r="D53" s="3074" t="s">
        <v>2908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6" t="s">
        <v>2909</v>
      </c>
      <c r="B54" s="186">
        <v>30</v>
      </c>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6" t="s">
        <v>2910</v>
      </c>
      <c r="B55" s="186">
        <v>24</v>
      </c>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6" t="s">
        <v>2911</v>
      </c>
      <c r="B56" s="186">
        <v>18</v>
      </c>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6" t="s">
        <v>2912</v>
      </c>
      <c r="B57" s="186">
        <v>12</v>
      </c>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6" t="s">
        <v>2913</v>
      </c>
      <c r="B58" s="186">
        <v>3</v>
      </c>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6" t="s">
        <v>2914</v>
      </c>
      <c r="B59" s="186">
        <v>1.5</v>
      </c>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6" t="s">
        <v>2915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6" t="s">
        <v>2916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6" t="s">
        <v>2917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2918</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46" t="s">
        <v>1664</v>
      </c>
      <c r="B1" s="3347"/>
      <c r="C1" s="3347"/>
      <c r="D1" s="3347"/>
      <c r="E1" s="3347"/>
      <c r="F1" s="3347"/>
      <c r="G1" s="3347"/>
      <c r="H1" s="2000"/>
      <c r="I1" s="2001"/>
      <c r="J1" s="2002"/>
      <c r="K1" s="2000"/>
      <c r="L1" s="2001"/>
      <c r="M1" s="2002"/>
      <c r="N1" s="2000"/>
      <c r="O1" s="2001"/>
      <c r="P1" s="2002"/>
      <c r="Q1" s="2003"/>
      <c r="R1" s="2004"/>
    </row>
    <row r="2" spans="1:18" ht="14.25" thickBot="1">
      <c r="A2" s="1218"/>
      <c r="B2" s="1219"/>
      <c r="C2" s="1220" t="s">
        <v>1665</v>
      </c>
      <c r="D2" s="1221"/>
      <c r="E2" s="1222"/>
      <c r="F2" s="1223"/>
      <c r="G2" s="1220" t="s">
        <v>1666</v>
      </c>
      <c r="H2" s="2006"/>
      <c r="I2" s="2006"/>
      <c r="J2" s="2006"/>
      <c r="K2" s="2006"/>
      <c r="L2" s="2006"/>
      <c r="M2" s="2006"/>
      <c r="N2" s="2006"/>
      <c r="O2" s="2006"/>
      <c r="P2" s="2006"/>
      <c r="Q2" s="2006"/>
      <c r="R2" s="2006"/>
    </row>
    <row r="3" spans="1:18" ht="54">
      <c r="A3" s="1224" t="s">
        <v>1667</v>
      </c>
      <c r="B3" s="1225" t="s">
        <v>1654</v>
      </c>
      <c r="C3" s="3078" t="s">
        <v>2925</v>
      </c>
      <c r="D3" s="2007"/>
      <c r="E3" s="1226" t="s">
        <v>1667</v>
      </c>
      <c r="F3" s="1227" t="s">
        <v>1655</v>
      </c>
      <c r="G3" s="3082" t="s">
        <v>2924</v>
      </c>
      <c r="H3" s="2006"/>
      <c r="I3" s="2006"/>
      <c r="J3" s="2006"/>
      <c r="K3" s="2006"/>
      <c r="L3" s="2006"/>
      <c r="M3" s="2006"/>
      <c r="N3" s="2006"/>
      <c r="O3" s="2006"/>
      <c r="P3" s="2006"/>
      <c r="Q3" s="2006"/>
      <c r="R3" s="2006"/>
    </row>
    <row r="4" spans="1:18" ht="41.25">
      <c r="A4" s="1226"/>
      <c r="B4" s="1228" t="s">
        <v>1668</v>
      </c>
      <c r="C4" s="3079" t="s">
        <v>2926</v>
      </c>
      <c r="D4" s="2007"/>
      <c r="E4" s="1229"/>
      <c r="F4" s="1230" t="s">
        <v>1669</v>
      </c>
      <c r="G4" s="3080" t="s">
        <v>2921</v>
      </c>
      <c r="H4" s="2006"/>
      <c r="I4" s="2006"/>
      <c r="J4" s="2006"/>
      <c r="K4" s="2006"/>
      <c r="L4" s="2006"/>
      <c r="M4" s="2006"/>
      <c r="N4" s="2006"/>
      <c r="O4" s="2006"/>
      <c r="P4" s="2006"/>
      <c r="Q4" s="2006"/>
      <c r="R4" s="2006"/>
    </row>
    <row r="5" spans="1:18" ht="41.25">
      <c r="A5" s="1226"/>
      <c r="B5" s="1228" t="s">
        <v>1670</v>
      </c>
      <c r="C5" s="3079" t="s">
        <v>2927</v>
      </c>
      <c r="D5" s="2007"/>
      <c r="E5" s="1229"/>
      <c r="F5" s="1228" t="s">
        <v>2549</v>
      </c>
      <c r="G5" s="3080" t="s">
        <v>2922</v>
      </c>
      <c r="H5" s="2006"/>
      <c r="I5" s="2006"/>
      <c r="J5" s="2006"/>
      <c r="K5" s="2006"/>
      <c r="L5" s="2006"/>
      <c r="M5" s="2006"/>
      <c r="N5" s="2006"/>
      <c r="O5" s="2006"/>
      <c r="P5" s="2006"/>
      <c r="Q5" s="2006"/>
      <c r="R5" s="2006"/>
    </row>
    <row r="6" spans="1:18" ht="54">
      <c r="A6" s="1226"/>
      <c r="B6" s="1228" t="s">
        <v>1656</v>
      </c>
      <c r="C6" s="3080" t="s">
        <v>2921</v>
      </c>
      <c r="D6" s="2007"/>
      <c r="E6" s="1229"/>
      <c r="F6" s="1228" t="s">
        <v>2550</v>
      </c>
      <c r="G6" s="3080" t="s">
        <v>2919</v>
      </c>
      <c r="H6" s="2006"/>
      <c r="I6" s="2006"/>
      <c r="J6" s="2006"/>
      <c r="K6" s="2006"/>
      <c r="L6" s="2006"/>
      <c r="M6" s="2006"/>
      <c r="N6" s="2006"/>
      <c r="O6" s="2006"/>
      <c r="P6" s="2006"/>
      <c r="Q6" s="2006"/>
      <c r="R6" s="2006"/>
    </row>
    <row r="7" spans="1:18" ht="41.25" thickBot="1">
      <c r="A7" s="1226"/>
      <c r="B7" s="1228" t="s">
        <v>2549</v>
      </c>
      <c r="C7" s="3080" t="s">
        <v>2922</v>
      </c>
      <c r="D7" s="2008"/>
      <c r="E7" s="1231"/>
      <c r="F7" s="1232" t="s">
        <v>1671</v>
      </c>
      <c r="G7" s="3083" t="s">
        <v>2923</v>
      </c>
      <c r="H7" s="2006"/>
      <c r="I7" s="2006"/>
      <c r="J7" s="2006"/>
      <c r="K7" s="2006"/>
      <c r="L7" s="2006"/>
      <c r="M7" s="2006"/>
      <c r="N7" s="2006"/>
      <c r="O7" s="2006"/>
      <c r="P7" s="2006"/>
      <c r="Q7" s="2006"/>
      <c r="R7" s="2006"/>
    </row>
    <row r="8" spans="1:18" ht="27">
      <c r="A8" s="1226"/>
      <c r="B8" s="1228" t="s">
        <v>2550</v>
      </c>
      <c r="C8" s="3080" t="s">
        <v>2919</v>
      </c>
      <c r="D8" s="2008"/>
      <c r="E8" s="2008"/>
      <c r="F8" s="1551"/>
      <c r="G8" s="1551"/>
      <c r="H8" s="2006"/>
      <c r="I8" s="2006"/>
      <c r="J8" s="2006"/>
      <c r="K8" s="2006"/>
      <c r="L8" s="2006"/>
      <c r="M8" s="2006"/>
      <c r="N8" s="2006"/>
      <c r="O8" s="2006"/>
      <c r="P8" s="2006"/>
      <c r="Q8" s="2006"/>
      <c r="R8" s="2006"/>
    </row>
    <row r="9" spans="1:18" ht="40.5">
      <c r="A9" s="1226"/>
      <c r="B9" s="1228" t="s">
        <v>1657</v>
      </c>
      <c r="C9" s="3079" t="s">
        <v>2920</v>
      </c>
      <c r="D9" s="2007"/>
      <c r="E9" s="2008"/>
      <c r="F9" s="1551"/>
      <c r="G9" s="1551"/>
      <c r="H9" s="2006"/>
      <c r="I9" s="2006"/>
      <c r="J9" s="2006"/>
      <c r="K9" s="2006"/>
      <c r="L9" s="2006"/>
      <c r="M9" s="2006"/>
      <c r="N9" s="2006"/>
      <c r="O9" s="2006"/>
      <c r="P9" s="2006"/>
      <c r="Q9" s="2006"/>
      <c r="R9" s="2006"/>
    </row>
    <row r="10" spans="1:18" s="2014" customFormat="1" ht="15" thickBot="1">
      <c r="A10" s="1233"/>
      <c r="B10" s="1234" t="s">
        <v>1672</v>
      </c>
      <c r="C10" s="3081"/>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1"/>
      <c r="E13" s="2576"/>
      <c r="F13" s="2576"/>
      <c r="G13" s="2576"/>
    </row>
    <row r="14" spans="1:18" ht="14.25" thickBot="1">
      <c r="A14" s="1235"/>
      <c r="B14" s="1236"/>
      <c r="C14" s="1237" t="s">
        <v>1665</v>
      </c>
      <c r="D14" s="2007"/>
      <c r="E14" s="1238"/>
      <c r="F14" s="1238"/>
      <c r="G14" s="1220" t="s">
        <v>1666</v>
      </c>
    </row>
    <row r="15" spans="1:18" ht="54">
      <c r="A15" s="2586" t="s">
        <v>1658</v>
      </c>
      <c r="B15" s="1239" t="s">
        <v>1654</v>
      </c>
      <c r="C15" s="1240" t="str">
        <f>C3</f>
        <v>估价对象周边居住用地比例、居住小区规模和社区发展完善程度，综合评价居住社区成熟度一般</v>
      </c>
      <c r="D15" s="2007"/>
      <c r="E15" s="2583" t="s">
        <v>1659</v>
      </c>
      <c r="F15" s="1239" t="s">
        <v>1674</v>
      </c>
      <c r="G15" s="1241" t="str">
        <f>G3</f>
        <v>估价对象位于XX开发区，园区建设成熟度XX，产业集聚程度XX</v>
      </c>
    </row>
    <row r="16" spans="1:18" ht="40.5">
      <c r="A16" s="2587"/>
      <c r="B16" s="1242" t="s">
        <v>1668</v>
      </c>
      <c r="C16" s="1243" t="str">
        <f>C4</f>
        <v>估价对象位于XX商圈，周边商业氛围成熟，人流量大，商业繁华度好</v>
      </c>
      <c r="D16" s="2007"/>
      <c r="E16" s="2584"/>
      <c r="F16" s="1244" t="s">
        <v>1669</v>
      </c>
      <c r="G16" s="1002" t="str">
        <f>G4</f>
        <v>估价对象周边道路状况、公共交通通达情况、停车便捷程度，综合评价交通便捷度较好</v>
      </c>
    </row>
    <row r="17" spans="1:7" ht="40.5">
      <c r="A17" s="2587"/>
      <c r="B17" s="1242" t="s">
        <v>1670</v>
      </c>
      <c r="C17" s="1243" t="str">
        <f>C5</f>
        <v>估价对象位于XX商圈，周边办公楼项目较多，入驻率高，办公集聚程度较好</v>
      </c>
      <c r="D17" s="2008"/>
      <c r="E17" s="2584"/>
      <c r="F17" s="1244" t="s">
        <v>1675</v>
      </c>
      <c r="G17" s="2791"/>
    </row>
    <row r="18" spans="1:7" ht="54">
      <c r="A18" s="2587"/>
      <c r="B18" s="1244" t="s">
        <v>1656</v>
      </c>
      <c r="C18" s="1002" t="str">
        <f>C6</f>
        <v>估价对象周边道路状况、公共交通通达情况、停车便捷程度，综合评价交通便捷度较好</v>
      </c>
      <c r="D18" s="2008"/>
      <c r="E18" s="2584"/>
      <c r="F18" s="1244" t="s">
        <v>1671</v>
      </c>
      <c r="G18" s="1002" t="str">
        <f>G7</f>
        <v>该园区内是否有污染型企业，绿化情况，卫生条件，整体环境状况判断</v>
      </c>
    </row>
    <row r="19" spans="1:7" ht="27">
      <c r="A19" s="2587"/>
      <c r="B19" s="1244" t="s">
        <v>1660</v>
      </c>
      <c r="C19" s="2791"/>
      <c r="D19" s="2007"/>
      <c r="E19" s="2584"/>
      <c r="F19" s="1228" t="s">
        <v>2549</v>
      </c>
      <c r="G19" s="1002" t="str">
        <f>G5</f>
        <v>估价对象所在区域公共配套设施齐备情况</v>
      </c>
    </row>
    <row r="20" spans="1:7" ht="40.5">
      <c r="A20" s="2587"/>
      <c r="B20" s="1244" t="s">
        <v>1661</v>
      </c>
      <c r="C20" s="1243" t="str">
        <f>C9</f>
        <v>区域自然环境：；人文环境；综合评价环境状况一般</v>
      </c>
      <c r="D20" s="2008"/>
      <c r="E20" s="2584"/>
      <c r="F20" s="1228" t="s">
        <v>2550</v>
      </c>
      <c r="G20" s="1002" t="str">
        <f>G6</f>
        <v>估价对象所在区域基础设施水平</v>
      </c>
    </row>
    <row r="21" spans="1:7" ht="27">
      <c r="A21" s="2587"/>
      <c r="B21" s="1228" t="s">
        <v>2549</v>
      </c>
      <c r="C21" s="1002" t="str">
        <f>C7</f>
        <v>估价对象所在区域公共配套设施齐备情况</v>
      </c>
      <c r="D21" s="2007"/>
      <c r="E21" s="2584"/>
      <c r="F21" s="1244" t="s">
        <v>1662</v>
      </c>
      <c r="G21" s="3084"/>
    </row>
    <row r="22" spans="1:7" ht="27">
      <c r="A22" s="2587"/>
      <c r="B22" s="1228" t="s">
        <v>2550</v>
      </c>
      <c r="C22" s="1002" t="str">
        <f>C8</f>
        <v>估价对象所在区域基础设施水平</v>
      </c>
      <c r="D22" s="2007"/>
      <c r="E22" s="2584"/>
      <c r="F22" s="1244" t="s">
        <v>1672</v>
      </c>
      <c r="G22" s="2791"/>
    </row>
    <row r="23" spans="1:7" ht="15" thickBot="1">
      <c r="A23" s="2587"/>
      <c r="B23" s="1244" t="s">
        <v>1662</v>
      </c>
      <c r="C23" s="3084"/>
      <c r="E23" s="2585"/>
      <c r="F23" s="1245" t="s">
        <v>1676</v>
      </c>
      <c r="G23" s="3085"/>
    </row>
    <row r="24" spans="1:7" ht="14.25" thickBot="1">
      <c r="A24" s="2588"/>
      <c r="B24" s="1245" t="s">
        <v>1663</v>
      </c>
      <c r="C24" s="1246">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81"/>
  <sheetViews>
    <sheetView topLeftCell="A4" zoomScale="70" zoomScaleNormal="70" workbookViewId="0">
      <selection activeCell="R36" sqref="R36"/>
    </sheetView>
  </sheetViews>
  <sheetFormatPr defaultRowHeight="13.5"/>
  <sheetData>
    <row r="1" spans="1:1">
      <c r="A1" s="3184" t="s">
        <v>3004</v>
      </c>
    </row>
    <row r="2" spans="1:1">
      <c r="A2" s="3184" t="s">
        <v>3005</v>
      </c>
    </row>
    <row r="37" spans="1:16">
      <c r="A37" s="3184" t="s">
        <v>3022</v>
      </c>
    </row>
    <row r="44" spans="1:16">
      <c r="P44">
        <v>1.6</v>
      </c>
    </row>
    <row r="55" spans="16:16">
      <c r="P55">
        <v>1.8</v>
      </c>
    </row>
    <row r="68" spans="16:16">
      <c r="P68">
        <v>2</v>
      </c>
    </row>
    <row r="81" spans="16:16">
      <c r="P81">
        <v>2.1</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1" sqref="C11"/>
    </sheetView>
  </sheetViews>
  <sheetFormatPr defaultColWidth="14.625" defaultRowHeight="13.5"/>
  <cols>
    <col min="1" max="1" width="24.375" customWidth="1"/>
  </cols>
  <sheetData>
    <row r="1" spans="1:9" ht="16.5">
      <c r="A1" s="3042" t="s">
        <v>2847</v>
      </c>
      <c r="B1" s="3042">
        <f>SUM(B14:B23)</f>
        <v>100957</v>
      </c>
      <c r="C1" s="3043"/>
      <c r="D1" s="3043"/>
      <c r="E1" s="3043"/>
      <c r="F1" s="3043"/>
    </row>
    <row r="2" spans="1:9" ht="16.5">
      <c r="A2" s="3042" t="s">
        <v>2848</v>
      </c>
      <c r="B2" s="3042">
        <f>SUM(C14:C23)</f>
        <v>45889.5</v>
      </c>
      <c r="C2" s="3043"/>
      <c r="D2" s="3043"/>
      <c r="E2" s="3043"/>
      <c r="F2" s="3043"/>
    </row>
    <row r="3" spans="1:9" ht="16.5">
      <c r="A3" s="3042" t="s">
        <v>2849</v>
      </c>
      <c r="B3" s="3044">
        <f>项目基本情况!D3</f>
        <v>43650</v>
      </c>
      <c r="C3" s="3043"/>
      <c r="D3" s="3043"/>
      <c r="E3" s="3043"/>
      <c r="F3" s="3043"/>
    </row>
    <row r="4" spans="1:9" ht="33">
      <c r="A4" s="3042" t="s">
        <v>2850</v>
      </c>
      <c r="B4" s="3042" t="s">
        <v>2851</v>
      </c>
      <c r="C4" s="3042" t="s">
        <v>2852</v>
      </c>
      <c r="D4" s="3042" t="s">
        <v>2853</v>
      </c>
      <c r="E4" s="3043"/>
      <c r="F4" s="3043"/>
    </row>
    <row r="5" spans="1:9" ht="16.5">
      <c r="A5" s="3042" t="s">
        <v>2854</v>
      </c>
      <c r="B5" s="3042">
        <f ca="1">SUM(D14:D23)</f>
        <v>206371</v>
      </c>
      <c r="C5" s="3042">
        <f ca="1">ROUND(B5*10000/$B$1,0)</f>
        <v>20441</v>
      </c>
      <c r="D5" s="3042">
        <f ca="1">ROUND(B5*10000/$B$2,0)</f>
        <v>44971</v>
      </c>
      <c r="E5" s="3043"/>
      <c r="F5" s="3043"/>
    </row>
    <row r="6" spans="1:9" ht="16.5">
      <c r="A6" s="3042" t="s">
        <v>2855</v>
      </c>
      <c r="B6" s="3042">
        <f>SUM(G14:G23)</f>
        <v>0</v>
      </c>
      <c r="C6" s="3042">
        <f t="shared" ref="C6:C8" si="0">ROUND(B6*10000/$B$1,0)</f>
        <v>0</v>
      </c>
      <c r="D6" s="3042">
        <f t="shared" ref="D6:D8" si="1">ROUND(B6*10000/$B$2,0)</f>
        <v>0</v>
      </c>
      <c r="E6" s="3043"/>
      <c r="F6" s="3043"/>
    </row>
    <row r="7" spans="1:9" ht="16.5">
      <c r="A7" s="3042" t="s">
        <v>2856</v>
      </c>
      <c r="B7" s="3042">
        <f>SUM(H14:H23)</f>
        <v>0</v>
      </c>
      <c r="C7" s="3042">
        <f t="shared" si="0"/>
        <v>0</v>
      </c>
      <c r="D7" s="3042">
        <f t="shared" si="1"/>
        <v>0</v>
      </c>
      <c r="E7" s="3043"/>
      <c r="F7" s="3043"/>
    </row>
    <row r="8" spans="1:9" ht="16.5">
      <c r="A8" s="3042" t="s">
        <v>2857</v>
      </c>
      <c r="B8" s="3042">
        <f>SUM(I14:I23)</f>
        <v>0</v>
      </c>
      <c r="C8" s="3042">
        <f t="shared" si="0"/>
        <v>0</v>
      </c>
      <c r="D8" s="3042">
        <f t="shared" si="1"/>
        <v>0</v>
      </c>
      <c r="E8" s="3043"/>
      <c r="F8" s="3043"/>
    </row>
    <row r="9" spans="1:9" ht="16.5">
      <c r="A9" s="3042" t="s">
        <v>2858</v>
      </c>
      <c r="B9" s="3045"/>
      <c r="C9" s="3043"/>
      <c r="D9" s="3043"/>
      <c r="E9" s="3043"/>
      <c r="F9" s="3043"/>
    </row>
    <row r="10" spans="1:9" ht="16.5">
      <c r="A10" s="3042" t="s">
        <v>2859</v>
      </c>
      <c r="B10" s="3045"/>
      <c r="C10" s="3043"/>
      <c r="D10" s="3043"/>
      <c r="E10" s="3043"/>
      <c r="F10" s="3043"/>
    </row>
    <row r="11" spans="1:9" ht="16.5">
      <c r="A11" s="3042" t="s">
        <v>2876</v>
      </c>
      <c r="B11" s="3045"/>
      <c r="C11" s="3043"/>
      <c r="D11" s="3043"/>
      <c r="E11" s="3043"/>
      <c r="F11" s="3043"/>
    </row>
    <row r="12" spans="1:9" ht="16.5">
      <c r="A12" s="3043"/>
      <c r="B12" s="3043"/>
      <c r="C12" s="3043"/>
      <c r="D12" s="3043"/>
      <c r="E12" s="3043"/>
      <c r="F12" s="3043"/>
    </row>
    <row r="13" spans="1:9" ht="33">
      <c r="A13" s="3048" t="s">
        <v>2875</v>
      </c>
      <c r="B13" s="3046" t="s">
        <v>2847</v>
      </c>
      <c r="C13" s="3046" t="s">
        <v>2848</v>
      </c>
      <c r="D13" s="3046" t="s">
        <v>2860</v>
      </c>
      <c r="E13" s="3042" t="s">
        <v>2874</v>
      </c>
      <c r="F13" s="3042" t="s">
        <v>2853</v>
      </c>
      <c r="G13" s="3046" t="s">
        <v>2861</v>
      </c>
      <c r="H13" s="3046" t="s">
        <v>2862</v>
      </c>
      <c r="I13" s="3046" t="s">
        <v>2863</v>
      </c>
    </row>
    <row r="14" spans="1:9" ht="16.5">
      <c r="A14" s="3049" t="s">
        <v>2873</v>
      </c>
      <c r="B14" s="3046">
        <f>结果表!L38</f>
        <v>100957</v>
      </c>
      <c r="C14" s="3046">
        <f>结果表!K38</f>
        <v>45889.5</v>
      </c>
      <c r="D14" s="3046">
        <f ca="1">结果表!C42</f>
        <v>206371</v>
      </c>
      <c r="E14" s="3046">
        <f ca="1">ROUND(D14*10000/B14,0)</f>
        <v>20441</v>
      </c>
      <c r="F14" s="3046">
        <f ca="1">ROUND(D14*10000/C14,0)</f>
        <v>44971</v>
      </c>
      <c r="G14" s="3046" t="str">
        <f>结果表!C44</f>
        <v>——</v>
      </c>
      <c r="H14" s="3046" t="str">
        <f>结果表!C45</f>
        <v>——</v>
      </c>
      <c r="I14" s="3046" t="str">
        <f>结果表!C46</f>
        <v>——</v>
      </c>
    </row>
    <row r="15" spans="1:9" ht="16.5">
      <c r="A15" s="3049" t="s">
        <v>2864</v>
      </c>
      <c r="B15" s="3050"/>
      <c r="C15" s="3050"/>
      <c r="D15" s="3050"/>
      <c r="E15" s="3046" t="e">
        <f t="shared" ref="E15:E23" si="2">ROUND(D15*10000/B15,0)</f>
        <v>#DIV/0!</v>
      </c>
      <c r="F15" s="3046" t="e">
        <f t="shared" ref="F15:F23" si="3">ROUND(D15*10000/C15,0)</f>
        <v>#DIV/0!</v>
      </c>
      <c r="G15" s="3047"/>
      <c r="H15" s="3047"/>
      <c r="I15" s="3050"/>
    </row>
    <row r="16" spans="1:9" ht="16.5">
      <c r="A16" s="3049" t="s">
        <v>2865</v>
      </c>
      <c r="B16" s="3050"/>
      <c r="C16" s="3050"/>
      <c r="D16" s="3050"/>
      <c r="E16" s="3046" t="e">
        <f t="shared" si="2"/>
        <v>#DIV/0!</v>
      </c>
      <c r="F16" s="3046" t="e">
        <f t="shared" si="3"/>
        <v>#DIV/0!</v>
      </c>
      <c r="G16" s="3047"/>
      <c r="H16" s="3047"/>
      <c r="I16" s="3050"/>
    </row>
    <row r="17" spans="1:9" ht="16.5">
      <c r="A17" s="3049" t="s">
        <v>2866</v>
      </c>
      <c r="B17" s="3050"/>
      <c r="C17" s="3050"/>
      <c r="D17" s="3050"/>
      <c r="E17" s="3046" t="e">
        <f t="shared" si="2"/>
        <v>#DIV/0!</v>
      </c>
      <c r="F17" s="3046" t="e">
        <f t="shared" si="3"/>
        <v>#DIV/0!</v>
      </c>
      <c r="G17" s="3047"/>
      <c r="H17" s="3047"/>
      <c r="I17" s="3050"/>
    </row>
    <row r="18" spans="1:9" ht="16.5">
      <c r="A18" s="3049" t="s">
        <v>2867</v>
      </c>
      <c r="B18" s="3050"/>
      <c r="C18" s="3050"/>
      <c r="D18" s="3050"/>
      <c r="E18" s="3046" t="e">
        <f t="shared" si="2"/>
        <v>#DIV/0!</v>
      </c>
      <c r="F18" s="3046" t="e">
        <f t="shared" si="3"/>
        <v>#DIV/0!</v>
      </c>
      <c r="G18" s="3050"/>
      <c r="H18" s="3050"/>
      <c r="I18" s="3050"/>
    </row>
    <row r="19" spans="1:9" ht="16.5">
      <c r="A19" s="3049" t="s">
        <v>2868</v>
      </c>
      <c r="B19" s="3050"/>
      <c r="C19" s="3050"/>
      <c r="D19" s="3050"/>
      <c r="E19" s="3046" t="e">
        <f t="shared" si="2"/>
        <v>#DIV/0!</v>
      </c>
      <c r="F19" s="3046" t="e">
        <f t="shared" si="3"/>
        <v>#DIV/0!</v>
      </c>
      <c r="G19" s="3050"/>
      <c r="H19" s="3050"/>
      <c r="I19" s="3050"/>
    </row>
    <row r="20" spans="1:9" ht="16.5">
      <c r="A20" s="3049" t="s">
        <v>2869</v>
      </c>
      <c r="B20" s="3050"/>
      <c r="C20" s="3050"/>
      <c r="D20" s="3050"/>
      <c r="E20" s="3046" t="e">
        <f t="shared" si="2"/>
        <v>#DIV/0!</v>
      </c>
      <c r="F20" s="3046" t="e">
        <f t="shared" si="3"/>
        <v>#DIV/0!</v>
      </c>
      <c r="G20" s="3050"/>
      <c r="H20" s="3050"/>
      <c r="I20" s="3050"/>
    </row>
    <row r="21" spans="1:9" ht="16.5">
      <c r="A21" s="3049" t="s">
        <v>2870</v>
      </c>
      <c r="B21" s="3050"/>
      <c r="C21" s="3050"/>
      <c r="D21" s="3050"/>
      <c r="E21" s="3046" t="e">
        <f t="shared" si="2"/>
        <v>#DIV/0!</v>
      </c>
      <c r="F21" s="3046" t="e">
        <f t="shared" si="3"/>
        <v>#DIV/0!</v>
      </c>
      <c r="G21" s="3050"/>
      <c r="H21" s="3050"/>
      <c r="I21" s="3050"/>
    </row>
    <row r="22" spans="1:9" ht="16.5">
      <c r="A22" s="3049" t="s">
        <v>2871</v>
      </c>
      <c r="B22" s="3050"/>
      <c r="C22" s="3050"/>
      <c r="D22" s="3050"/>
      <c r="E22" s="3046" t="e">
        <f t="shared" si="2"/>
        <v>#DIV/0!</v>
      </c>
      <c r="F22" s="3046" t="e">
        <f t="shared" si="3"/>
        <v>#DIV/0!</v>
      </c>
      <c r="G22" s="3050"/>
      <c r="H22" s="3050"/>
      <c r="I22" s="3050"/>
    </row>
    <row r="23" spans="1:9" ht="16.5">
      <c r="A23" s="3049" t="s">
        <v>2872</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4"/>
  <sheetViews>
    <sheetView tabSelected="1" topLeftCell="F4" workbookViewId="0">
      <selection activeCell="H15" sqref="H15:I15"/>
    </sheetView>
  </sheetViews>
  <sheetFormatPr defaultRowHeight="13.5"/>
  <cols>
    <col min="1" max="1" width="3.875" hidden="1" customWidth="1"/>
    <col min="2" max="2" width="16" customWidth="1"/>
    <col min="3" max="3" width="24.25" customWidth="1"/>
    <col min="4" max="4" width="20.875" customWidth="1"/>
    <col min="5" max="5" width="20.125" customWidth="1"/>
    <col min="8" max="8" width="16.125" customWidth="1"/>
    <col min="10" max="10" width="12" bestFit="1" customWidth="1"/>
    <col min="12" max="12" width="12.125" hidden="1" customWidth="1"/>
    <col min="13" max="13" width="0" hidden="1" customWidth="1"/>
    <col min="14" max="14" width="15.375" customWidth="1"/>
    <col min="15" max="15" width="11.625" bestFit="1" customWidth="1"/>
  </cols>
  <sheetData>
    <row r="1" spans="2:15" hidden="1"/>
    <row r="2" spans="2:15" hidden="1"/>
    <row r="3" spans="2:15" hidden="1"/>
    <row r="4" spans="2:15" ht="14.25">
      <c r="D4" s="3202"/>
      <c r="E4" s="3202"/>
      <c r="G4" s="3214" t="s">
        <v>3070</v>
      </c>
      <c r="H4" s="3204" t="s">
        <v>3054</v>
      </c>
      <c r="I4" s="3204" t="s">
        <v>3055</v>
      </c>
      <c r="J4" s="3204" t="s">
        <v>3056</v>
      </c>
      <c r="K4" s="3204" t="s">
        <v>3055</v>
      </c>
      <c r="L4" s="3204" t="s">
        <v>3081</v>
      </c>
      <c r="M4" s="3204" t="s">
        <v>3083</v>
      </c>
      <c r="N4" s="3204" t="s">
        <v>3071</v>
      </c>
      <c r="O4" s="3202"/>
    </row>
    <row r="5" spans="2:15">
      <c r="D5" s="3203" t="s">
        <v>3067</v>
      </c>
      <c r="E5" s="3203" t="s">
        <v>3066</v>
      </c>
      <c r="G5" s="3215" t="s">
        <v>3058</v>
      </c>
      <c r="H5" s="3216">
        <f ca="1">结果表!C20</f>
        <v>8556</v>
      </c>
      <c r="I5" s="3217">
        <v>0.3</v>
      </c>
      <c r="J5" s="3216">
        <f ca="1">结果表!D20</f>
        <v>25640</v>
      </c>
      <c r="K5" s="3217">
        <f>1-I5</f>
        <v>0.7</v>
      </c>
      <c r="L5" s="3238" t="s">
        <v>3084</v>
      </c>
      <c r="M5" s="3238" t="s">
        <v>3084</v>
      </c>
      <c r="N5" s="3216">
        <f ca="1">ROUND(H5*I5+J5*K5,0)</f>
        <v>20515</v>
      </c>
      <c r="O5" s="3202"/>
    </row>
    <row r="6" spans="2:15">
      <c r="D6" s="3202">
        <f>'数据-汇总表'!D3</f>
        <v>45889.5</v>
      </c>
      <c r="E6" s="3202">
        <f>D16</f>
        <v>100595</v>
      </c>
      <c r="G6" s="3215" t="s">
        <v>3059</v>
      </c>
      <c r="H6" s="3216">
        <f ca="1">'[1]基准地价--商业'!$C$29</f>
        <v>7114</v>
      </c>
      <c r="I6" s="3217">
        <v>0.3</v>
      </c>
      <c r="J6" s="3216">
        <f ca="1">[1]结果表!$D$20</f>
        <v>14454</v>
      </c>
      <c r="K6" s="3217">
        <f>1-I6</f>
        <v>0.7</v>
      </c>
      <c r="L6" s="3217"/>
      <c r="M6" s="3217"/>
      <c r="N6" s="3216">
        <f ca="1">ROUND(H6*I6+J6*K6,0)</f>
        <v>12252</v>
      </c>
      <c r="O6" s="3202"/>
    </row>
    <row r="7" spans="2:15">
      <c r="D7" s="3202"/>
      <c r="E7" s="3202"/>
      <c r="G7" s="3215" t="s">
        <v>3060</v>
      </c>
      <c r="H7" s="3216">
        <f ca="1">[2]结果表!$C$20</f>
        <v>7118</v>
      </c>
      <c r="I7" s="3217">
        <v>0.3</v>
      </c>
      <c r="J7" s="3216">
        <f ca="1">[2]结果表!$D$20</f>
        <v>14147</v>
      </c>
      <c r="K7" s="3217">
        <f>1-I7</f>
        <v>0.7</v>
      </c>
      <c r="L7" s="3217"/>
      <c r="M7" s="3217"/>
      <c r="N7" s="3216">
        <f ca="1">ROUND(H7*I7+J7*K7,0)</f>
        <v>12038</v>
      </c>
      <c r="O7" s="3202"/>
    </row>
    <row r="8" spans="2:15">
      <c r="D8" s="3202"/>
      <c r="E8" s="3202"/>
      <c r="G8" s="3202"/>
      <c r="H8" s="3202"/>
      <c r="I8" s="3202"/>
      <c r="J8" s="3202"/>
      <c r="K8" s="3202"/>
      <c r="L8" s="3233"/>
      <c r="M8" s="3233"/>
      <c r="N8" s="3202"/>
      <c r="O8" s="3202"/>
    </row>
    <row r="9" spans="2:15" ht="14.25">
      <c r="D9" s="3202"/>
      <c r="E9" s="3202"/>
      <c r="G9" s="3214" t="s">
        <v>3072</v>
      </c>
      <c r="H9" s="3204" t="s">
        <v>3054</v>
      </c>
      <c r="I9" s="3204" t="s">
        <v>3055</v>
      </c>
      <c r="J9" s="3204" t="s">
        <v>3056</v>
      </c>
      <c r="K9" s="3204" t="s">
        <v>3055</v>
      </c>
      <c r="L9" s="3209" t="s">
        <v>3082</v>
      </c>
      <c r="M9" s="3209" t="s">
        <v>3083</v>
      </c>
      <c r="N9" s="3209" t="s">
        <v>3057</v>
      </c>
      <c r="O9" s="3202"/>
    </row>
    <row r="10" spans="2:15">
      <c r="G10" s="3218" t="s">
        <v>3058</v>
      </c>
      <c r="H10" s="3216">
        <f ca="1">结果表!C19</f>
        <v>86069</v>
      </c>
      <c r="I10" s="3217">
        <v>0.3</v>
      </c>
      <c r="J10" s="3216">
        <f ca="1">结果表!D19</f>
        <v>257929</v>
      </c>
      <c r="K10" s="3217">
        <f>1-I10</f>
        <v>0.7</v>
      </c>
      <c r="L10" s="3239" t="s">
        <v>3084</v>
      </c>
      <c r="M10" s="3239" t="s">
        <v>3084</v>
      </c>
      <c r="N10" s="3230">
        <f ca="1">E16</f>
        <v>206370.64</v>
      </c>
      <c r="O10" s="3202"/>
    </row>
    <row r="11" spans="2:15">
      <c r="C11">
        <f ca="1">C16-C17</f>
        <v>8263</v>
      </c>
      <c r="D11">
        <f ca="1">C16*0.7+C17*0.3</f>
        <v>18036.099999999999</v>
      </c>
      <c r="G11" s="3218" t="s">
        <v>3059</v>
      </c>
      <c r="H11" s="3216">
        <f ca="1">[1]结果表!$C$19</f>
        <v>71563</v>
      </c>
      <c r="I11" s="3217">
        <v>0.3</v>
      </c>
      <c r="J11" s="3216">
        <f ca="1">[1]结果表!$D$19</f>
        <v>145401</v>
      </c>
      <c r="K11" s="3217">
        <f>1-I11</f>
        <v>0.7</v>
      </c>
      <c r="L11" s="3237"/>
      <c r="M11" s="3237"/>
      <c r="N11" s="3230">
        <f ca="1">ROUND(N6*E6/10000,2)</f>
        <v>123248.99</v>
      </c>
      <c r="O11" s="3202"/>
    </row>
    <row r="12" spans="2:15">
      <c r="C12">
        <f ca="1">C17-C18</f>
        <v>214</v>
      </c>
      <c r="G12" s="3218" t="s">
        <v>3060</v>
      </c>
      <c r="H12" s="3216">
        <f ca="1">[2]结果表!$C$19</f>
        <v>71604</v>
      </c>
      <c r="I12" s="3217">
        <v>0.3</v>
      </c>
      <c r="J12" s="3216">
        <f ca="1">[2]结果表!$D$19</f>
        <v>142314</v>
      </c>
      <c r="K12" s="3217">
        <f>1-I12</f>
        <v>0.7</v>
      </c>
      <c r="L12" s="3237"/>
      <c r="M12" s="3237"/>
      <c r="N12" s="3230">
        <f ca="1">ROUND(N7*E6/10000,2)</f>
        <v>121096.26</v>
      </c>
      <c r="O12" s="3202"/>
    </row>
    <row r="13" spans="2:15">
      <c r="B13" s="3352" t="s">
        <v>3090</v>
      </c>
      <c r="C13" s="3353"/>
      <c r="D13" s="3353"/>
      <c r="E13" s="3353"/>
      <c r="G13" s="3202"/>
      <c r="H13" s="3202"/>
      <c r="I13" s="3202"/>
      <c r="J13" s="3202"/>
      <c r="K13" s="3202"/>
      <c r="L13" s="3233"/>
      <c r="M13" s="3233"/>
      <c r="N13" s="3202"/>
      <c r="O13" s="3202"/>
    </row>
    <row r="14" spans="2:15" ht="28.5" customHeight="1">
      <c r="B14" s="3354"/>
      <c r="C14" s="3354"/>
      <c r="D14" s="3354"/>
      <c r="E14" s="3354"/>
      <c r="G14" s="3202"/>
      <c r="H14" s="3202"/>
      <c r="I14" s="3202"/>
      <c r="J14" s="3202"/>
      <c r="K14" s="3202"/>
      <c r="L14" s="3233"/>
      <c r="M14" s="3233"/>
      <c r="N14" s="3202"/>
      <c r="O14" s="3202"/>
    </row>
    <row r="15" spans="2:15" ht="28.5">
      <c r="B15" s="3201"/>
      <c r="C15" s="3201" t="s">
        <v>3035</v>
      </c>
      <c r="D15" s="3201" t="s">
        <v>3036</v>
      </c>
      <c r="E15" s="3201" t="s">
        <v>3037</v>
      </c>
      <c r="G15" s="3219" t="s">
        <v>3061</v>
      </c>
      <c r="H15" s="3348" t="s">
        <v>3054</v>
      </c>
      <c r="I15" s="3349"/>
      <c r="J15" s="3348" t="s">
        <v>3056</v>
      </c>
      <c r="K15" s="3349"/>
      <c r="L15" s="3348" t="s">
        <v>3076</v>
      </c>
      <c r="M15" s="3349"/>
      <c r="N15" s="3211" t="s">
        <v>3055</v>
      </c>
      <c r="O15" s="3211"/>
    </row>
    <row r="16" spans="2:15" ht="14.25">
      <c r="B16" s="3201" t="s">
        <v>3038</v>
      </c>
      <c r="C16" s="3201">
        <f ca="1">结果表!G20</f>
        <v>20515</v>
      </c>
      <c r="D16" s="3201">
        <f>'数据-汇总表'!E8</f>
        <v>100595</v>
      </c>
      <c r="E16" s="3201">
        <f ca="1">ROUND(C16*D16/10000,2)</f>
        <v>206370.64</v>
      </c>
      <c r="G16" s="3220" t="s">
        <v>3074</v>
      </c>
      <c r="H16" s="3212" t="s">
        <v>3065</v>
      </c>
      <c r="I16" s="3213" t="s">
        <v>3068</v>
      </c>
      <c r="J16" s="3212" t="s">
        <v>3065</v>
      </c>
      <c r="K16" s="3213" t="s">
        <v>3068</v>
      </c>
      <c r="L16" s="3235" t="s">
        <v>3078</v>
      </c>
      <c r="M16" s="3236" t="s">
        <v>3068</v>
      </c>
      <c r="N16" s="3211" t="s">
        <v>3068</v>
      </c>
      <c r="O16" s="3211" t="s">
        <v>3075</v>
      </c>
    </row>
    <row r="17" spans="2:15" ht="14.25">
      <c r="B17" s="3201" t="s">
        <v>3039</v>
      </c>
      <c r="C17" s="3201">
        <f ca="1">[1]结果表!$G$20</f>
        <v>12252</v>
      </c>
      <c r="D17" s="3201" t="s">
        <v>3040</v>
      </c>
      <c r="E17" s="3201" t="s">
        <v>3040</v>
      </c>
      <c r="G17" s="3221" t="s">
        <v>3058</v>
      </c>
      <c r="H17" s="3231">
        <f ca="1">ROUND(I17*E6/10000,2)</f>
        <v>21517.27</v>
      </c>
      <c r="I17" s="3232">
        <f ca="1">ROUND(H5*0.25,0)</f>
        <v>2139</v>
      </c>
      <c r="J17" s="3231">
        <f ca="1">ROUND(K17*E6/10000,2)</f>
        <v>64481.4</v>
      </c>
      <c r="K17" s="3232">
        <f ca="1">ROUND(J5*0.25,0)</f>
        <v>6410</v>
      </c>
      <c r="L17" s="3231" t="s">
        <v>3084</v>
      </c>
      <c r="M17" s="3231" t="s">
        <v>3084</v>
      </c>
      <c r="N17" s="3232">
        <f ca="1">ROUND(I17*I5+K17*K5,0)</f>
        <v>5129</v>
      </c>
      <c r="O17" s="3222">
        <f ca="1">ROUND(N17*E6/10000,2)</f>
        <v>51595.18</v>
      </c>
    </row>
    <row r="18" spans="2:15" ht="14.25">
      <c r="B18" s="3201" t="s">
        <v>3041</v>
      </c>
      <c r="C18" s="3201">
        <f ca="1">[2]结果表!$G$20</f>
        <v>12038</v>
      </c>
      <c r="D18" s="3201" t="s">
        <v>3042</v>
      </c>
      <c r="E18" s="3201" t="s">
        <v>3042</v>
      </c>
      <c r="G18" s="3221" t="s">
        <v>3059</v>
      </c>
      <c r="H18" s="3231">
        <f ca="1">ROUND(I18*E6/10000,2)</f>
        <v>17895.849999999999</v>
      </c>
      <c r="I18" s="3232">
        <f t="shared" ref="I18:I19" ca="1" si="0">ROUND(H6*0.25,0)</f>
        <v>1779</v>
      </c>
      <c r="J18" s="3231">
        <f ca="1">ROUND(K18*E6/10000,2)</f>
        <v>36355.03</v>
      </c>
      <c r="K18" s="3232">
        <f t="shared" ref="K18:K19" ca="1" si="1">ROUND(J6*0.25,0)</f>
        <v>3614</v>
      </c>
      <c r="L18" s="3231"/>
      <c r="M18" s="3231"/>
      <c r="N18" s="3232">
        <f ca="1">ROUND(I18*I6+K18*K6,0)</f>
        <v>3064</v>
      </c>
      <c r="O18" s="3222">
        <f ca="1">ROUND(N18*E6/10000,2)</f>
        <v>30822.31</v>
      </c>
    </row>
    <row r="19" spans="2:15" ht="22.5" customHeight="1">
      <c r="B19" s="3201" t="s">
        <v>3043</v>
      </c>
      <c r="C19" s="3201"/>
      <c r="D19" s="3201"/>
      <c r="E19" s="3201">
        <f ca="1">SUM(E16:E18)</f>
        <v>206370.64</v>
      </c>
      <c r="G19" s="3221" t="s">
        <v>3060</v>
      </c>
      <c r="H19" s="3231">
        <f ca="1">ROUND(I19*E6/10000,2)</f>
        <v>17905.91</v>
      </c>
      <c r="I19" s="3232">
        <f t="shared" ca="1" si="0"/>
        <v>1780</v>
      </c>
      <c r="J19" s="3231">
        <f ca="1">ROUND(K19*E6/10000,2)</f>
        <v>35580.449999999997</v>
      </c>
      <c r="K19" s="3232">
        <f t="shared" ca="1" si="1"/>
        <v>3537</v>
      </c>
      <c r="L19" s="3231"/>
      <c r="M19" s="3231"/>
      <c r="N19" s="3232">
        <f ca="1">ROUND(I19*I7+K19*K7,0)</f>
        <v>3010</v>
      </c>
      <c r="O19" s="3222">
        <f ca="1">ROUND(N19*E6/10000,2)</f>
        <v>30279.1</v>
      </c>
    </row>
    <row r="20" spans="2:15">
      <c r="G20" s="3202"/>
      <c r="H20" s="3202"/>
      <c r="I20" s="3202"/>
      <c r="J20" s="3202"/>
      <c r="K20" s="3202"/>
      <c r="L20" s="3233"/>
      <c r="M20" s="3233"/>
      <c r="N20" s="3202"/>
      <c r="O20" s="3202"/>
    </row>
    <row r="21" spans="2:15">
      <c r="G21" s="3202"/>
      <c r="H21" s="3202"/>
      <c r="I21" s="3202"/>
      <c r="J21" s="3202"/>
      <c r="K21" s="3202"/>
      <c r="L21" s="3233"/>
      <c r="M21" s="3233"/>
      <c r="N21" s="3202"/>
      <c r="O21" s="3202"/>
    </row>
    <row r="22" spans="2:15" ht="28.5">
      <c r="B22" s="3201"/>
      <c r="C22" s="3201" t="s">
        <v>3044</v>
      </c>
      <c r="D22" s="3201" t="s">
        <v>3045</v>
      </c>
      <c r="E22" s="3201" t="s">
        <v>3046</v>
      </c>
      <c r="G22" s="3223" t="s">
        <v>3061</v>
      </c>
      <c r="H22" s="3350" t="s">
        <v>3054</v>
      </c>
      <c r="I22" s="3351"/>
      <c r="J22" s="3350" t="s">
        <v>3056</v>
      </c>
      <c r="K22" s="3351"/>
      <c r="L22" s="3350" t="s">
        <v>3077</v>
      </c>
      <c r="M22" s="3351"/>
      <c r="N22" s="3205" t="s">
        <v>3055</v>
      </c>
      <c r="O22" s="3210" t="s">
        <v>3055</v>
      </c>
    </row>
    <row r="23" spans="2:15" ht="22.5" customHeight="1">
      <c r="B23" s="3201" t="s">
        <v>3047</v>
      </c>
      <c r="C23" s="3201">
        <f ca="1">ROUND(C16*0.25,0)</f>
        <v>5129</v>
      </c>
      <c r="D23" s="3201">
        <f>D16</f>
        <v>100595</v>
      </c>
      <c r="E23" s="3201">
        <f ca="1">ROUND(C23*D23/10000,2)</f>
        <v>51595.18</v>
      </c>
      <c r="G23" s="3224" t="s">
        <v>3073</v>
      </c>
      <c r="H23" s="3206" t="s">
        <v>3065</v>
      </c>
      <c r="I23" s="3207" t="s">
        <v>3068</v>
      </c>
      <c r="J23" s="3206" t="s">
        <v>3065</v>
      </c>
      <c r="K23" s="3207" t="s">
        <v>3069</v>
      </c>
      <c r="L23" s="3234" t="s">
        <v>3079</v>
      </c>
      <c r="M23" s="3234" t="s">
        <v>3080</v>
      </c>
      <c r="N23" s="3205" t="s">
        <v>3065</v>
      </c>
      <c r="O23" s="3205" t="s">
        <v>3068</v>
      </c>
    </row>
    <row r="24" spans="2:15" ht="28.5">
      <c r="B24" s="3201" t="s">
        <v>3048</v>
      </c>
      <c r="C24" s="3201">
        <f ca="1">ROUND(C17*0.25,0)</f>
        <v>3063</v>
      </c>
      <c r="D24" s="3201" t="s">
        <v>3049</v>
      </c>
      <c r="E24" s="3201" t="s">
        <v>3049</v>
      </c>
      <c r="F24" s="3208"/>
      <c r="G24" s="3225" t="s">
        <v>3062</v>
      </c>
      <c r="H24" s="3226">
        <f ca="1">ROUND(H10*0.25,2)</f>
        <v>21517.25</v>
      </c>
      <c r="I24" s="3227">
        <f ca="1">ROUND(H24*10000/E6,0)</f>
        <v>2139</v>
      </c>
      <c r="J24" s="3226">
        <f ca="1">ROUND(J10*0.25,2)</f>
        <v>64482.25</v>
      </c>
      <c r="K24" s="3227">
        <f ca="1">ROUND(J24*10000/E6,0)</f>
        <v>6410</v>
      </c>
      <c r="L24" s="3240" t="s">
        <v>3084</v>
      </c>
      <c r="M24" s="3240" t="s">
        <v>3084</v>
      </c>
      <c r="N24" s="3226">
        <f ca="1">ROUND(H24*I10+J24*K10,2)</f>
        <v>51592.75</v>
      </c>
      <c r="O24" s="3227">
        <f ca="1">ROUND(N24*10000/E6,0)</f>
        <v>5129</v>
      </c>
    </row>
    <row r="25" spans="2:15" ht="28.5">
      <c r="B25" s="3201" t="s">
        <v>3050</v>
      </c>
      <c r="C25" s="3201">
        <f ca="1">ROUND(C18*0.25,0)</f>
        <v>3010</v>
      </c>
      <c r="D25" s="3201" t="s">
        <v>3051</v>
      </c>
      <c r="E25" s="3201" t="s">
        <v>3051</v>
      </c>
      <c r="G25" s="3225" t="s">
        <v>3059</v>
      </c>
      <c r="H25" s="3226">
        <f ca="1">ROUND(H11*0.25,2)</f>
        <v>17890.75</v>
      </c>
      <c r="I25" s="3227">
        <f ca="1">ROUND(H25*10000/E6,0)</f>
        <v>1778</v>
      </c>
      <c r="J25" s="3226">
        <f ca="1">ROUND(J11*0.25,2)</f>
        <v>36350.25</v>
      </c>
      <c r="K25" s="3227">
        <f ca="1">ROUND(J25*10000/E6,0)</f>
        <v>3614</v>
      </c>
      <c r="L25" s="3226"/>
      <c r="M25" s="3226"/>
      <c r="N25" s="3226">
        <f ca="1">ROUND(H25*I11+J25*K11,2)</f>
        <v>30812.400000000001</v>
      </c>
      <c r="O25" s="3227">
        <f ca="1">ROUND(N25*10000/E6,0)</f>
        <v>3063</v>
      </c>
    </row>
    <row r="26" spans="2:15" ht="28.5">
      <c r="B26" s="3201" t="s">
        <v>3052</v>
      </c>
      <c r="C26" s="3201" t="s">
        <v>3053</v>
      </c>
      <c r="D26" s="3201"/>
      <c r="E26" s="3201">
        <f ca="1">SUM(E23:E25)</f>
        <v>51595.18</v>
      </c>
      <c r="G26" s="3225" t="s">
        <v>3060</v>
      </c>
      <c r="H26" s="3226">
        <f ca="1">ROUND(H12*0.25,2)</f>
        <v>17901</v>
      </c>
      <c r="I26" s="3227">
        <f ca="1">ROUND(H26*10000/E6,0)</f>
        <v>1780</v>
      </c>
      <c r="J26" s="3226">
        <f ca="1">ROUND(J12*0.25,2)</f>
        <v>35578.5</v>
      </c>
      <c r="K26" s="3227">
        <f ca="1">ROUND(J26*10000/E6,0)</f>
        <v>3537</v>
      </c>
      <c r="L26" s="3226"/>
      <c r="M26" s="3226"/>
      <c r="N26" s="3226">
        <f ca="1">ROUND(H26*I12+J26*K12,2)</f>
        <v>30275.25</v>
      </c>
      <c r="O26" s="3227">
        <f ca="1">ROUND(N26*10000/E6,0)</f>
        <v>3010</v>
      </c>
    </row>
    <row r="27" spans="2:15">
      <c r="G27" s="3228"/>
      <c r="H27" s="3227" t="s">
        <v>3063</v>
      </c>
      <c r="I27" s="3227" t="s">
        <v>3064</v>
      </c>
      <c r="J27" s="3227" t="s">
        <v>3063</v>
      </c>
      <c r="K27" s="3227" t="s">
        <v>3064</v>
      </c>
      <c r="L27" s="3227"/>
      <c r="M27" s="3227"/>
      <c r="N27" s="3229" t="s">
        <v>3063</v>
      </c>
      <c r="O27" s="3229" t="s">
        <v>3064</v>
      </c>
    </row>
    <row r="28" spans="2:15" ht="33.75" customHeight="1">
      <c r="B28" s="3355" t="s">
        <v>3089</v>
      </c>
      <c r="C28" s="3356"/>
      <c r="D28" s="3356"/>
      <c r="E28" s="3356"/>
    </row>
    <row r="29" spans="2:15" ht="36" customHeight="1"/>
    <row r="32" spans="2:15" ht="23.25" customHeight="1"/>
    <row r="33" ht="18.75" customHeight="1"/>
    <row r="34" ht="21" customHeight="1"/>
  </sheetData>
  <mergeCells count="8">
    <mergeCell ref="L15:M15"/>
    <mergeCell ref="L22:M22"/>
    <mergeCell ref="B13:E14"/>
    <mergeCell ref="B28:E28"/>
    <mergeCell ref="H22:I22"/>
    <mergeCell ref="J22:K22"/>
    <mergeCell ref="H15:I15"/>
    <mergeCell ref="J15:K15"/>
  </mergeCells>
  <phoneticPr fontId="27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7"/>
  </cols>
  <sheetData>
    <row r="1" spans="1:22" ht="21.75" customHeight="1" thickBot="1">
      <c r="A1" s="1774" t="s">
        <v>2058</v>
      </c>
      <c r="B1" s="1775"/>
      <c r="C1" s="1803" t="s">
        <v>2059</v>
      </c>
      <c r="D1" s="1804" t="s">
        <v>3018</v>
      </c>
      <c r="E1" s="1803" t="s">
        <v>2060</v>
      </c>
      <c r="F1" s="1805" t="s">
        <v>3019</v>
      </c>
      <c r="G1" s="308"/>
      <c r="H1" s="308"/>
      <c r="I1" s="308"/>
      <c r="J1" s="2027"/>
      <c r="K1" s="2027"/>
      <c r="L1" s="2027"/>
      <c r="M1" s="2027"/>
      <c r="N1" s="2027"/>
      <c r="O1" s="2027"/>
      <c r="P1" s="2027"/>
      <c r="Q1" s="2027"/>
      <c r="R1" s="2027"/>
      <c r="S1" s="2027"/>
      <c r="T1" s="2027"/>
      <c r="U1" s="2027"/>
      <c r="V1" s="2027"/>
    </row>
    <row r="2" spans="1:22" ht="21.75" customHeight="1" thickBot="1">
      <c r="A2" s="3393" t="str">
        <f>项目基本情况!K2</f>
        <v>北京市出让国有建设用地使用权</v>
      </c>
      <c r="B2" s="3394"/>
      <c r="C2" s="3395"/>
      <c r="D2" s="3395"/>
      <c r="E2" s="3395"/>
      <c r="F2" s="3395"/>
      <c r="G2" s="3394"/>
      <c r="H2" s="3394"/>
      <c r="I2" s="3396"/>
      <c r="J2" s="2028"/>
      <c r="K2" s="2027"/>
      <c r="L2" s="2027"/>
      <c r="M2" s="2027"/>
      <c r="N2" s="2027"/>
      <c r="O2" s="2027"/>
      <c r="P2" s="2027"/>
      <c r="Q2" s="2027"/>
      <c r="R2" s="2027"/>
      <c r="S2" s="2027"/>
      <c r="T2" s="2027"/>
      <c r="U2" s="2027"/>
      <c r="V2" s="2027"/>
    </row>
    <row r="3" spans="1:22" ht="14.25">
      <c r="A3" s="3386" t="s">
        <v>298</v>
      </c>
      <c r="B3" s="3387"/>
      <c r="C3" s="3387"/>
      <c r="D3" s="3387"/>
      <c r="E3" s="3387"/>
      <c r="F3" s="3387"/>
      <c r="G3" s="3387"/>
      <c r="H3" s="3387"/>
      <c r="I3" s="3387"/>
      <c r="J3" s="2028"/>
      <c r="K3" s="2027"/>
      <c r="L3" s="2027"/>
      <c r="M3" s="2027"/>
      <c r="N3" s="2027"/>
      <c r="O3" s="2027"/>
      <c r="P3" s="2027"/>
      <c r="Q3" s="2027"/>
      <c r="R3" s="2027"/>
      <c r="S3" s="2027"/>
      <c r="T3" s="2027"/>
      <c r="U3" s="2027"/>
      <c r="V3" s="2027"/>
    </row>
    <row r="4" spans="1:22" ht="14.25">
      <c r="A4" s="258" t="s">
        <v>299</v>
      </c>
      <c r="B4" s="259" t="s">
        <v>300</v>
      </c>
      <c r="C4" s="260" t="s">
        <v>2993</v>
      </c>
      <c r="D4" s="260" t="s">
        <v>3020</v>
      </c>
      <c r="E4" s="3358" t="s">
        <v>301</v>
      </c>
      <c r="F4" s="3359"/>
      <c r="G4" s="3359"/>
      <c r="H4" s="3359"/>
      <c r="I4" s="3388"/>
      <c r="J4" s="2028"/>
      <c r="K4" s="2027"/>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57" t="s">
        <v>302</v>
      </c>
      <c r="B5" s="3383">
        <v>25</v>
      </c>
      <c r="C5" s="3381">
        <v>30</v>
      </c>
      <c r="D5" s="3385">
        <f>100-C5</f>
        <v>70</v>
      </c>
      <c r="E5" s="261" t="s">
        <v>303</v>
      </c>
      <c r="F5" s="262"/>
      <c r="G5" s="262"/>
      <c r="H5" s="262"/>
      <c r="I5" s="263"/>
      <c r="J5" s="2028"/>
      <c r="K5" s="2027"/>
      <c r="L5" s="2027"/>
      <c r="M5" s="2027"/>
      <c r="N5" s="2027"/>
      <c r="O5" s="2027"/>
      <c r="P5" s="2027"/>
      <c r="Q5" s="2027"/>
      <c r="R5" s="2027"/>
      <c r="S5" s="2027"/>
      <c r="T5" s="2027"/>
      <c r="U5" s="2027"/>
      <c r="V5" s="2027"/>
    </row>
    <row r="6" spans="1:22" ht="14.25">
      <c r="A6" s="3357"/>
      <c r="B6" s="3383"/>
      <c r="C6" s="3384"/>
      <c r="D6" s="3385"/>
      <c r="E6" s="261" t="s">
        <v>304</v>
      </c>
      <c r="F6" s="262"/>
      <c r="G6" s="262"/>
      <c r="H6" s="262"/>
      <c r="I6" s="263"/>
      <c r="J6" s="2028"/>
      <c r="K6" s="2027"/>
      <c r="L6" s="2027"/>
      <c r="M6" s="2027"/>
      <c r="N6" s="2027"/>
      <c r="O6" s="2027"/>
      <c r="P6" s="2027"/>
      <c r="Q6" s="2027"/>
      <c r="R6" s="2027"/>
      <c r="S6" s="2027"/>
      <c r="T6" s="2027"/>
      <c r="U6" s="2027"/>
      <c r="V6" s="2027"/>
    </row>
    <row r="7" spans="1:22" ht="14.25">
      <c r="A7" s="3357"/>
      <c r="B7" s="3383"/>
      <c r="C7" s="3382"/>
      <c r="D7" s="3385"/>
      <c r="E7" s="261" t="s">
        <v>305</v>
      </c>
      <c r="F7" s="262"/>
      <c r="G7" s="262"/>
      <c r="H7" s="262"/>
      <c r="I7" s="263"/>
      <c r="J7" s="2028"/>
      <c r="K7" s="2027"/>
      <c r="L7" s="2027"/>
      <c r="M7" s="2027"/>
      <c r="N7" s="2027"/>
      <c r="O7" s="2027"/>
      <c r="P7" s="2027"/>
      <c r="Q7" s="2027"/>
      <c r="R7" s="2027"/>
      <c r="S7" s="2027"/>
      <c r="T7" s="2027"/>
      <c r="U7" s="2027"/>
      <c r="V7" s="2027"/>
    </row>
    <row r="8" spans="1:22" ht="14.25">
      <c r="A8" s="3357" t="s">
        <v>306</v>
      </c>
      <c r="B8" s="3383">
        <v>15</v>
      </c>
      <c r="C8" s="3381"/>
      <c r="D8" s="3385"/>
      <c r="E8" s="261" t="s">
        <v>307</v>
      </c>
      <c r="F8" s="262"/>
      <c r="G8" s="262"/>
      <c r="H8" s="262"/>
      <c r="I8" s="263"/>
      <c r="J8" s="2028"/>
      <c r="K8" s="2027"/>
      <c r="L8" s="2027"/>
      <c r="M8" s="2027"/>
      <c r="N8" s="2027"/>
      <c r="O8" s="2027"/>
      <c r="P8" s="2027"/>
      <c r="Q8" s="2027"/>
      <c r="R8" s="2027"/>
      <c r="S8" s="2027"/>
      <c r="T8" s="2027"/>
      <c r="U8" s="2027"/>
      <c r="V8" s="2027"/>
    </row>
    <row r="9" spans="1:22" ht="14.25">
      <c r="A9" s="3357"/>
      <c r="B9" s="3383"/>
      <c r="C9" s="3382"/>
      <c r="D9" s="3385"/>
      <c r="E9" s="261" t="s">
        <v>308</v>
      </c>
      <c r="F9" s="262"/>
      <c r="G9" s="262"/>
      <c r="H9" s="262"/>
      <c r="I9" s="263"/>
      <c r="J9" s="2028"/>
      <c r="K9" s="2027"/>
      <c r="L9" s="2027"/>
      <c r="M9" s="2027"/>
      <c r="N9" s="2027"/>
      <c r="O9" s="2027"/>
      <c r="P9" s="2027"/>
      <c r="Q9" s="2027"/>
      <c r="R9" s="2027"/>
      <c r="S9" s="2027"/>
      <c r="T9" s="2027"/>
      <c r="U9" s="2027"/>
      <c r="V9" s="2027"/>
    </row>
    <row r="10" spans="1:22" ht="14.25">
      <c r="A10" s="3357" t="s">
        <v>309</v>
      </c>
      <c r="B10" s="3383">
        <v>15</v>
      </c>
      <c r="C10" s="3381"/>
      <c r="D10" s="3385"/>
      <c r="E10" s="261" t="s">
        <v>310</v>
      </c>
      <c r="F10" s="262"/>
      <c r="G10" s="262"/>
      <c r="H10" s="262"/>
      <c r="I10" s="263"/>
      <c r="J10" s="2028"/>
      <c r="K10" s="2027"/>
      <c r="L10" s="2027"/>
      <c r="M10" s="2027"/>
      <c r="N10" s="2027"/>
      <c r="O10" s="2027"/>
      <c r="P10" s="2027"/>
      <c r="Q10" s="2027"/>
      <c r="R10" s="2027"/>
      <c r="S10" s="2027"/>
      <c r="T10" s="2027"/>
      <c r="U10" s="2027"/>
      <c r="V10" s="2027"/>
    </row>
    <row r="11" spans="1:22" ht="14.25">
      <c r="A11" s="3357"/>
      <c r="B11" s="3383"/>
      <c r="C11" s="3382"/>
      <c r="D11" s="3385"/>
      <c r="E11" s="261" t="s">
        <v>311</v>
      </c>
      <c r="F11" s="262"/>
      <c r="G11" s="262"/>
      <c r="H11" s="262"/>
      <c r="I11" s="263"/>
      <c r="J11" s="2028"/>
      <c r="K11" s="2027"/>
      <c r="L11" s="2027"/>
      <c r="M11" s="2027"/>
      <c r="N11" s="2027"/>
      <c r="O11" s="2027"/>
      <c r="P11" s="2027"/>
      <c r="Q11" s="2027"/>
      <c r="R11" s="2027"/>
      <c r="S11" s="2027"/>
      <c r="T11" s="2027"/>
      <c r="U11" s="2027"/>
      <c r="V11" s="2027"/>
    </row>
    <row r="12" spans="1:22" ht="14.25">
      <c r="A12" s="3357" t="s">
        <v>312</v>
      </c>
      <c r="B12" s="3383">
        <v>15</v>
      </c>
      <c r="C12" s="3381"/>
      <c r="D12" s="3385"/>
      <c r="E12" s="261" t="s">
        <v>313</v>
      </c>
      <c r="F12" s="262"/>
      <c r="G12" s="262"/>
      <c r="H12" s="262"/>
      <c r="I12" s="263"/>
      <c r="J12" s="2028"/>
      <c r="K12" s="2027"/>
      <c r="L12" s="2027"/>
      <c r="M12" s="2027"/>
      <c r="N12" s="2027"/>
      <c r="O12" s="2027"/>
      <c r="P12" s="2027"/>
      <c r="Q12" s="2027"/>
      <c r="R12" s="2027"/>
      <c r="S12" s="2027"/>
      <c r="T12" s="2027"/>
      <c r="U12" s="2027"/>
      <c r="V12" s="2027"/>
    </row>
    <row r="13" spans="1:22" ht="14.25">
      <c r="A13" s="3357"/>
      <c r="B13" s="3383"/>
      <c r="C13" s="3382"/>
      <c r="D13" s="3385"/>
      <c r="E13" s="261" t="s">
        <v>314</v>
      </c>
      <c r="F13" s="262"/>
      <c r="G13" s="262"/>
      <c r="H13" s="262"/>
      <c r="I13" s="263"/>
      <c r="J13" s="2028"/>
      <c r="K13" s="2027"/>
      <c r="L13" s="2027"/>
      <c r="M13" s="2027"/>
      <c r="N13" s="2027"/>
      <c r="O13" s="2027"/>
      <c r="P13" s="2027"/>
      <c r="Q13" s="2027"/>
      <c r="R13" s="2027"/>
      <c r="S13" s="2027"/>
      <c r="T13" s="2027"/>
      <c r="U13" s="2027"/>
      <c r="V13" s="2027"/>
    </row>
    <row r="14" spans="1:22" ht="14.25">
      <c r="A14" s="3357" t="s">
        <v>315</v>
      </c>
      <c r="B14" s="3383">
        <v>30</v>
      </c>
      <c r="C14" s="3381"/>
      <c r="D14" s="3385"/>
      <c r="E14" s="261" t="s">
        <v>316</v>
      </c>
      <c r="F14" s="262"/>
      <c r="G14" s="262"/>
      <c r="H14" s="262"/>
      <c r="I14" s="263"/>
      <c r="J14" s="2028"/>
      <c r="K14" s="2027"/>
      <c r="L14" s="2027"/>
      <c r="M14" s="2027"/>
      <c r="N14" s="2027"/>
      <c r="O14" s="2027"/>
      <c r="P14" s="2027"/>
      <c r="Q14" s="2027"/>
      <c r="R14" s="2027"/>
      <c r="S14" s="2027"/>
      <c r="T14" s="2027"/>
      <c r="U14" s="2027"/>
      <c r="V14" s="2027"/>
    </row>
    <row r="15" spans="1:22" ht="14.25">
      <c r="A15" s="3357"/>
      <c r="B15" s="3383"/>
      <c r="C15" s="3384"/>
      <c r="D15" s="3385"/>
      <c r="E15" s="261" t="s">
        <v>317</v>
      </c>
      <c r="F15" s="262"/>
      <c r="G15" s="262"/>
      <c r="H15" s="262"/>
      <c r="I15" s="263"/>
      <c r="J15" s="2028"/>
      <c r="K15" s="2027"/>
      <c r="L15" s="2027"/>
      <c r="M15" s="2027"/>
      <c r="N15" s="2027"/>
      <c r="O15" s="2027"/>
      <c r="P15" s="2027"/>
      <c r="Q15" s="2027"/>
      <c r="R15" s="2027"/>
      <c r="S15" s="2027"/>
      <c r="T15" s="2027"/>
      <c r="U15" s="2027"/>
      <c r="V15" s="2027"/>
    </row>
    <row r="16" spans="1:22" ht="14.25">
      <c r="A16" s="3357"/>
      <c r="B16" s="3383"/>
      <c r="C16" s="3382"/>
      <c r="D16" s="3385"/>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30</v>
      </c>
      <c r="D17" s="265">
        <f>SUM(D5:D16)</f>
        <v>70</v>
      </c>
      <c r="E17" s="308"/>
      <c r="F17" s="308"/>
      <c r="G17" s="308"/>
      <c r="H17" s="308"/>
      <c r="I17" s="308"/>
      <c r="J17" s="2028"/>
      <c r="K17" s="2027"/>
      <c r="L17" s="2027"/>
      <c r="M17" s="2027"/>
      <c r="N17" s="2027"/>
      <c r="O17" s="2027"/>
      <c r="P17" s="2027"/>
      <c r="Q17" s="2027"/>
      <c r="R17" s="2027"/>
      <c r="S17" s="2027"/>
      <c r="T17" s="2027"/>
      <c r="U17" s="2027"/>
      <c r="V17" s="2027"/>
    </row>
    <row r="18" spans="1:26" ht="15.75" thickBot="1">
      <c r="A18" s="266" t="s">
        <v>320</v>
      </c>
      <c r="B18" s="105"/>
      <c r="C18" s="267">
        <f>ROUND(C17/SUM(C17:D17),2)</f>
        <v>0.3</v>
      </c>
      <c r="D18" s="267">
        <f>1-C18</f>
        <v>0.7</v>
      </c>
      <c r="E18" s="308"/>
      <c r="F18" s="308"/>
      <c r="G18" s="308"/>
      <c r="H18" s="308"/>
      <c r="I18" s="308"/>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86069</v>
      </c>
      <c r="D19" s="271">
        <f ca="1">SUMIF(INDIRECT("'"&amp;D4&amp;"'"&amp;"!A:A"),结果表!B19,INDIRECT("'"&amp;D4&amp;"'"&amp;"!B:B"))</f>
        <v>257929</v>
      </c>
      <c r="E19" s="268" t="s">
        <v>323</v>
      </c>
      <c r="F19" s="269" t="s">
        <v>322</v>
      </c>
      <c r="G19" s="272">
        <f ca="1">ROUND(C19*$C$18+D19*$D$18,0)</f>
        <v>206371</v>
      </c>
      <c r="H19" s="273" t="s">
        <v>324</v>
      </c>
      <c r="I19" s="308"/>
      <c r="J19" s="2027"/>
      <c r="K19" s="2027"/>
      <c r="L19" s="2027"/>
      <c r="M19" s="2027"/>
      <c r="N19" s="2027"/>
      <c r="O19" s="2027"/>
      <c r="P19" s="2027"/>
      <c r="Q19" s="2027"/>
      <c r="R19" s="2027"/>
      <c r="S19" s="2027"/>
      <c r="T19" s="2027"/>
      <c r="U19" s="2027"/>
      <c r="V19" s="2027"/>
    </row>
    <row r="20" spans="1:26" s="3198" customFormat="1" ht="15">
      <c r="A20" s="3192"/>
      <c r="B20" s="3193" t="s">
        <v>325</v>
      </c>
      <c r="C20" s="3194">
        <f ca="1">SUMIF(INDIRECT("'"&amp;C4&amp;"'"&amp;"!A:A"),结果表!B20,INDIRECT("'"&amp;C4&amp;"'"&amp;"!B:B"))</f>
        <v>8556</v>
      </c>
      <c r="D20" s="3195">
        <f ca="1">SUMIF(INDIRECT("'"&amp;D4&amp;"'"&amp;"!A:A"),结果表!B20,INDIRECT("'"&amp;D4&amp;"'"&amp;"!B:B"))</f>
        <v>25640</v>
      </c>
      <c r="E20" s="3192"/>
      <c r="F20" s="3193" t="s">
        <v>325</v>
      </c>
      <c r="G20" s="3196">
        <f ca="1">ROUND(C20*$C$18+D20*$D$18,0)</f>
        <v>20515</v>
      </c>
      <c r="H20" s="3197" t="s">
        <v>326</v>
      </c>
      <c r="J20" s="2863"/>
      <c r="K20" s="2863"/>
      <c r="L20" s="2863"/>
      <c r="M20" s="2863"/>
      <c r="N20" s="2863"/>
      <c r="O20" s="2863"/>
      <c r="P20" s="2863"/>
      <c r="Q20" s="2863"/>
      <c r="R20" s="2863"/>
      <c r="S20" s="2863"/>
      <c r="T20" s="2863"/>
      <c r="U20" s="2863"/>
      <c r="V20" s="2863"/>
      <c r="W20" s="2863"/>
      <c r="X20" s="2863"/>
      <c r="Y20" s="2863"/>
      <c r="Z20" s="2863"/>
    </row>
    <row r="21" spans="1:26" ht="15" customHeight="1">
      <c r="A21" s="274"/>
      <c r="B21" s="277" t="s">
        <v>327</v>
      </c>
      <c r="C21" s="278">
        <f ca="1">SUMIF(INDIRECT("'"&amp;C4&amp;"'"&amp;"!A:A"),结果表!B21,INDIRECT("'"&amp;C4&amp;"'"&amp;"!B:B"))</f>
        <v>18756</v>
      </c>
      <c r="D21" s="151">
        <f ca="1">SUMIF(INDIRECT("'"&amp;D4&amp;"'"&amp;"!A:A"),结果表!B21,INDIRECT("'"&amp;D4&amp;"'"&amp;"!B:B"))</f>
        <v>56207</v>
      </c>
      <c r="E21" s="274"/>
      <c r="F21" s="277" t="s">
        <v>327</v>
      </c>
      <c r="G21" s="279">
        <f ca="1">ROUND(C21*$C$18+D21*$D$18,0)</f>
        <v>44972</v>
      </c>
      <c r="H21" s="1248" t="s">
        <v>326</v>
      </c>
      <c r="I21" s="308"/>
      <c r="J21" s="2027"/>
      <c r="K21" s="2027"/>
      <c r="L21" s="2027"/>
      <c r="M21" s="2027"/>
      <c r="N21" s="2027"/>
      <c r="O21" s="2027"/>
      <c r="P21" s="2027"/>
      <c r="Q21" s="2027"/>
      <c r="R21" s="2027"/>
      <c r="S21" s="2027"/>
      <c r="T21" s="2027"/>
      <c r="U21" s="2027"/>
      <c r="V21" s="2027"/>
    </row>
    <row r="22" spans="1:26" ht="15.75" thickBot="1">
      <c r="A22" s="126" t="s">
        <v>328</v>
      </c>
      <c r="B22" s="1249"/>
      <c r="C22" s="1250"/>
      <c r="D22" s="280">
        <f ca="1">IF(C19&lt;D19,D19/C19-1,C19/D19-1)</f>
        <v>1.9967700333453391</v>
      </c>
      <c r="E22" s="281"/>
      <c r="F22" s="282"/>
      <c r="G22" s="283">
        <f ca="1">ROUND(G19/('数据-汇总表'!D3/666.67),0)</f>
        <v>2998</v>
      </c>
      <c r="H22" s="284" t="s">
        <v>329</v>
      </c>
      <c r="I22" s="308"/>
      <c r="J22" s="2027"/>
      <c r="K22" s="2027"/>
      <c r="L22" s="2027"/>
      <c r="M22" s="2027"/>
      <c r="N22" s="2027"/>
      <c r="O22" s="2027"/>
      <c r="P22" s="2027"/>
      <c r="Q22" s="2027"/>
      <c r="R22" s="2027"/>
      <c r="S22" s="2027"/>
      <c r="T22" s="2027"/>
      <c r="U22" s="2027"/>
      <c r="V22" s="2027"/>
    </row>
    <row r="23" spans="1:26" ht="13.5" thickBot="1">
      <c r="A23" s="308"/>
      <c r="B23" s="308"/>
      <c r="C23" s="308"/>
      <c r="D23" s="308"/>
      <c r="E23" s="308"/>
      <c r="F23" s="308"/>
      <c r="G23" s="308"/>
      <c r="H23" s="308"/>
      <c r="I23" s="308"/>
      <c r="J23" s="2027"/>
      <c r="K23" s="2027"/>
      <c r="L23" s="2027"/>
      <c r="M23" s="2027"/>
      <c r="N23" s="2027"/>
      <c r="O23" s="2027"/>
      <c r="P23" s="2027"/>
      <c r="Q23" s="2027"/>
      <c r="R23" s="2027"/>
      <c r="S23" s="2027"/>
      <c r="T23" s="2027"/>
      <c r="U23" s="2027"/>
      <c r="V23" s="2027"/>
    </row>
    <row r="24" spans="1:26" ht="15" thickBot="1">
      <c r="A24" s="3363" t="s">
        <v>330</v>
      </c>
      <c r="B24" s="269" t="s">
        <v>322</v>
      </c>
      <c r="C24" s="285">
        <f>IF(B30=0,0,D30)</f>
        <v>0</v>
      </c>
      <c r="D24" s="286"/>
      <c r="E24" s="308"/>
      <c r="F24" s="308"/>
      <c r="G24" s="308"/>
      <c r="H24" s="308"/>
      <c r="I24" s="308"/>
      <c r="J24" s="2027"/>
      <c r="K24" s="2027"/>
      <c r="L24" s="2027"/>
      <c r="M24" s="2027"/>
      <c r="N24" s="2027"/>
      <c r="O24" s="2027"/>
      <c r="P24" s="2027"/>
      <c r="Q24" s="2027"/>
      <c r="R24" s="2027"/>
      <c r="S24" s="2027"/>
      <c r="T24" s="2027"/>
      <c r="U24" s="2027"/>
      <c r="V24" s="2027"/>
    </row>
    <row r="25" spans="1:26" ht="18">
      <c r="A25" s="3364"/>
      <c r="B25" s="1318" t="s">
        <v>331</v>
      </c>
      <c r="C25" s="287">
        <f>IF(B30=0,0,C30)</f>
        <v>0</v>
      </c>
      <c r="D25" s="288"/>
      <c r="E25" s="308"/>
      <c r="F25" s="308"/>
      <c r="G25" s="308"/>
      <c r="H25" s="308"/>
      <c r="I25" s="308"/>
      <c r="J25" s="2027"/>
      <c r="K25" s="1252" t="str">
        <f ca="1">项目基本情况!B16&amp;"国有建设用地使用权价格："&amp;O38&amp;"万元"</f>
        <v>出让国有建设用地使用权价格：206371万元</v>
      </c>
      <c r="L25" s="1253"/>
      <c r="M25" s="1253"/>
      <c r="N25" s="1253"/>
      <c r="O25" s="1254"/>
      <c r="P25" s="2027"/>
      <c r="Q25" s="2027"/>
      <c r="R25" s="2027"/>
      <c r="S25" s="2027"/>
      <c r="T25" s="2027"/>
      <c r="U25" s="2027"/>
      <c r="V25" s="2027"/>
    </row>
    <row r="26" spans="1:26" s="1251" customFormat="1" ht="18">
      <c r="A26" s="290" t="s">
        <v>332</v>
      </c>
      <c r="B26" s="291" t="s">
        <v>333</v>
      </c>
      <c r="C26" s="291" t="s">
        <v>334</v>
      </c>
      <c r="D26" s="292" t="s">
        <v>335</v>
      </c>
      <c r="E26" s="308"/>
      <c r="F26" s="308"/>
      <c r="G26" s="308"/>
      <c r="H26" s="308"/>
      <c r="I26" s="308"/>
      <c r="J26" s="2027"/>
      <c r="K26" s="1255" t="str">
        <f ca="1">"大写金额：人民币"&amp;NUMBERSTRING(INT(O38*10000),2)&amp;"元整"</f>
        <v>大写金额：人民币贰拾亿陆仟叁佰柒拾壹万元整</v>
      </c>
      <c r="L26" s="1249"/>
      <c r="M26" s="1249"/>
      <c r="N26" s="1249"/>
      <c r="O26" s="1248"/>
      <c r="P26" s="2027"/>
      <c r="Q26" s="2027"/>
      <c r="R26" s="2027"/>
      <c r="S26" s="2027"/>
      <c r="T26" s="2027"/>
      <c r="U26" s="2027"/>
      <c r="V26" s="2027"/>
      <c r="W26" s="289"/>
      <c r="X26" s="289"/>
      <c r="Y26" s="289"/>
      <c r="Z26" s="289"/>
    </row>
    <row r="27" spans="1:26" ht="18">
      <c r="A27" s="290"/>
      <c r="B27" s="291"/>
      <c r="C27" s="291"/>
      <c r="D27" s="292"/>
      <c r="E27" s="308"/>
      <c r="F27" s="308"/>
      <c r="G27" s="308"/>
      <c r="H27" s="308"/>
      <c r="I27" s="308"/>
      <c r="J27" s="2027"/>
      <c r="K27" s="1255" t="str">
        <f ca="1">"单位面积地价："&amp;M38&amp;"元/平方米"</f>
        <v>单位面积地价：44971元/平方米</v>
      </c>
      <c r="L27" s="1249"/>
      <c r="M27" s="1249"/>
      <c r="N27" s="1249"/>
      <c r="O27" s="1248"/>
      <c r="P27" s="2027"/>
      <c r="Q27" s="2027"/>
      <c r="R27" s="2027"/>
      <c r="S27" s="2027"/>
      <c r="T27" s="2027"/>
      <c r="U27" s="2027"/>
      <c r="V27" s="2027"/>
    </row>
    <row r="28" spans="1:26" ht="18.75" customHeight="1">
      <c r="A28" s="290"/>
      <c r="B28" s="291"/>
      <c r="C28" s="291"/>
      <c r="D28" s="292"/>
      <c r="E28" s="308"/>
      <c r="F28" s="308"/>
      <c r="G28" s="308"/>
      <c r="H28" s="308"/>
      <c r="I28" s="308"/>
      <c r="J28" s="2027"/>
      <c r="K28" s="1255" t="str">
        <f ca="1">"楼面地价："&amp;N38&amp;"元/平方米"</f>
        <v>楼面地价：20441元/平方米</v>
      </c>
      <c r="L28" s="1249"/>
      <c r="M28" s="1249"/>
      <c r="N28" s="1249"/>
      <c r="O28" s="1248"/>
      <c r="P28" s="2027"/>
      <c r="V28" s="2027"/>
    </row>
    <row r="29" spans="1:26" ht="18">
      <c r="A29" s="290"/>
      <c r="B29" s="291"/>
      <c r="C29" s="291"/>
      <c r="D29" s="292"/>
      <c r="E29" s="308"/>
      <c r="F29" s="308"/>
      <c r="G29" s="308"/>
      <c r="H29" s="308"/>
      <c r="I29" s="308"/>
      <c r="J29" s="2027"/>
      <c r="K29" s="1255" t="str">
        <f>IF(OR(项目基本情况!E8="抵押价格",项目基本情况!E8="已注销及未注销"),"抵押价格："&amp;O39&amp;"万元","——")</f>
        <v>——</v>
      </c>
      <c r="L29" s="1249"/>
      <c r="M29" s="1249"/>
      <c r="N29" s="1249"/>
      <c r="O29" s="1248"/>
      <c r="P29" s="2027"/>
      <c r="V29" s="2027"/>
    </row>
    <row r="30" spans="1:26" ht="18.75" thickBot="1">
      <c r="A30" s="3124" t="s">
        <v>336</v>
      </c>
      <c r="B30" s="306"/>
      <c r="C30" s="306"/>
      <c r="D30" s="307"/>
      <c r="E30" s="3125" t="s">
        <v>2973</v>
      </c>
      <c r="F30" s="308"/>
      <c r="G30" s="308"/>
      <c r="H30" s="308"/>
      <c r="I30" s="308"/>
      <c r="J30" s="2027"/>
      <c r="K30" s="1255" t="str">
        <f>IF(K29="——","——","大写金额：人民币"&amp;NUMBERSTRING(INT(O39*10000),2)&amp;"元整")</f>
        <v>——</v>
      </c>
      <c r="L30" s="1249"/>
      <c r="M30" s="1249"/>
      <c r="N30" s="1249"/>
      <c r="O30" s="1248"/>
      <c r="P30" s="2027"/>
      <c r="V30" s="2027"/>
    </row>
    <row r="31" spans="1:26" ht="24" customHeight="1" thickBot="1">
      <c r="A31" s="308"/>
      <c r="B31" s="308"/>
      <c r="C31" s="308"/>
      <c r="D31" s="308"/>
      <c r="E31" s="308"/>
      <c r="F31" s="308"/>
      <c r="G31" s="308"/>
      <c r="H31" s="308"/>
      <c r="I31" s="308"/>
      <c r="J31" s="2027"/>
      <c r="K31" s="2467" t="str">
        <f>IF(项目基本情况!E8="抵押价格","——","抵押担保权已注销时的抵押价格："&amp;O40&amp;"万元")</f>
        <v>抵押担保权已注销时的抵押价格：——万元</v>
      </c>
      <c r="L31" s="2463"/>
      <c r="M31" s="2463"/>
      <c r="N31" s="2463"/>
      <c r="O31" s="2464"/>
      <c r="P31" s="2027"/>
      <c r="V31" s="2027"/>
    </row>
    <row r="32" spans="1:26" ht="18.75" thickBot="1">
      <c r="A32" s="268" t="s">
        <v>337</v>
      </c>
      <c r="B32" s="1379" t="s">
        <v>1689</v>
      </c>
      <c r="C32" s="1380">
        <f ca="1">G19-C24</f>
        <v>206371</v>
      </c>
      <c r="D32" s="1381" t="s">
        <v>1690</v>
      </c>
      <c r="E32" s="308"/>
      <c r="F32" s="308"/>
      <c r="G32" s="308"/>
      <c r="H32" s="308"/>
      <c r="I32" s="308"/>
      <c r="J32" s="2027"/>
      <c r="K32" s="2462" t="e">
        <f>IF(K31="——","——","大写金额：人民币"&amp;NUMBERSTRING(INT(O40*10000),2)&amp;"元整")</f>
        <v>#VALUE!</v>
      </c>
      <c r="L32" s="2465"/>
      <c r="M32" s="2465"/>
      <c r="N32" s="2465"/>
      <c r="O32" s="2466"/>
      <c r="P32" s="2027"/>
      <c r="V32" s="2027"/>
    </row>
    <row r="33" spans="1:26" ht="18.75" thickBot="1">
      <c r="A33" s="295" t="s">
        <v>340</v>
      </c>
      <c r="B33" s="1382" t="s">
        <v>1691</v>
      </c>
      <c r="C33" s="264">
        <f ca="1">ROUND(C32*10000/'数据-汇总表'!E3,0)</f>
        <v>20441</v>
      </c>
      <c r="D33" s="1383" t="s">
        <v>1692</v>
      </c>
      <c r="E33" s="3363" t="s">
        <v>338</v>
      </c>
      <c r="F33" s="293" t="s">
        <v>339</v>
      </c>
      <c r="G33" s="294"/>
      <c r="H33" s="977"/>
      <c r="I33" s="1256"/>
      <c r="J33" s="2027"/>
      <c r="K33" s="1255" t="str">
        <f>IF(项目基本情况!E9="——","——","抵押净值："&amp;C46&amp;"万元")</f>
        <v>抵押净值：——万元</v>
      </c>
      <c r="L33" s="1249"/>
      <c r="M33" s="1249"/>
      <c r="N33" s="1249"/>
      <c r="O33" s="1248"/>
      <c r="P33" s="2027"/>
      <c r="V33" s="2027"/>
    </row>
    <row r="34" spans="1:26" s="1251" customFormat="1" ht="18.75" thickBot="1">
      <c r="A34" s="297"/>
      <c r="B34" s="1384" t="s">
        <v>1693</v>
      </c>
      <c r="C34" s="264">
        <f ca="1">ROUND(C32*10000/'数据-汇总表'!D3,0)</f>
        <v>44971</v>
      </c>
      <c r="D34" s="1385" t="s">
        <v>1692</v>
      </c>
      <c r="E34" s="3404"/>
      <c r="F34" s="127" t="s">
        <v>341</v>
      </c>
      <c r="G34" s="296"/>
      <c r="H34" s="105"/>
      <c r="I34" s="308"/>
      <c r="J34" s="2027"/>
      <c r="K34" s="1258" t="e">
        <f>IF(K33="——","——","大写金额：人民币"&amp;NUMBERSTRING(INT(O41*10000),2)&amp;"元整")</f>
        <v>#VALUE!</v>
      </c>
      <c r="L34" s="1259"/>
      <c r="M34" s="1259"/>
      <c r="N34" s="1259"/>
      <c r="O34" s="1260"/>
      <c r="P34" s="2027"/>
      <c r="Q34" s="289"/>
      <c r="R34" s="289"/>
      <c r="S34" s="289"/>
      <c r="T34" s="289"/>
      <c r="U34" s="289"/>
      <c r="V34" s="2027"/>
      <c r="W34" s="289"/>
      <c r="X34" s="289"/>
      <c r="Y34" s="289"/>
      <c r="Z34" s="289"/>
    </row>
    <row r="35" spans="1:26" ht="15.75" thickBot="1">
      <c r="A35" s="281"/>
      <c r="B35" s="1386"/>
      <c r="C35" s="1387">
        <f ca="1">ROUND(C32/('数据-汇总表'!D3/666.67),0)</f>
        <v>2998</v>
      </c>
      <c r="D35" s="1388" t="s">
        <v>1694</v>
      </c>
      <c r="E35" s="3405"/>
      <c r="F35" s="298" t="s">
        <v>342</v>
      </c>
      <c r="G35" s="979"/>
      <c r="H35" s="978" t="s">
        <v>343</v>
      </c>
      <c r="I35" s="308"/>
      <c r="J35" s="2027"/>
      <c r="K35" s="3378" t="s">
        <v>350</v>
      </c>
      <c r="L35" s="3378" t="s">
        <v>351</v>
      </c>
      <c r="M35" s="1261" t="s">
        <v>352</v>
      </c>
      <c r="N35" s="3378" t="s">
        <v>353</v>
      </c>
      <c r="O35" s="3378" t="s">
        <v>354</v>
      </c>
      <c r="P35" s="2027"/>
      <c r="V35" s="2027"/>
    </row>
    <row r="36" spans="1:26" ht="16.5" customHeight="1">
      <c r="A36" s="300" t="s">
        <v>344</v>
      </c>
      <c r="B36" s="301" t="s">
        <v>333</v>
      </c>
      <c r="C36" s="302" t="s">
        <v>345</v>
      </c>
      <c r="D36" s="302" t="s">
        <v>346</v>
      </c>
      <c r="E36" s="303" t="s">
        <v>347</v>
      </c>
      <c r="F36" s="308"/>
      <c r="G36" s="308"/>
      <c r="H36" s="308"/>
      <c r="I36" s="308"/>
      <c r="J36" s="2029"/>
      <c r="K36" s="3379"/>
      <c r="L36" s="3379"/>
      <c r="M36" s="1263" t="s">
        <v>355</v>
      </c>
      <c r="N36" s="3379"/>
      <c r="O36" s="3379"/>
      <c r="P36" s="2027"/>
      <c r="V36" s="2027"/>
    </row>
    <row r="37" spans="1:26" ht="16.5" customHeight="1" thickBot="1">
      <c r="A37" s="1257" t="s">
        <v>348</v>
      </c>
      <c r="B37" s="304"/>
      <c r="C37" s="291"/>
      <c r="D37" s="291"/>
      <c r="E37" s="292"/>
      <c r="F37" s="308"/>
      <c r="G37" s="308"/>
      <c r="H37" s="308"/>
      <c r="I37" s="308"/>
      <c r="J37" s="2029"/>
      <c r="K37" s="3380"/>
      <c r="L37" s="3380"/>
      <c r="M37" s="1264"/>
      <c r="N37" s="3380"/>
      <c r="O37" s="3380"/>
      <c r="P37" s="2027"/>
      <c r="V37" s="2027"/>
    </row>
    <row r="38" spans="1:26" ht="16.5" customHeight="1" thickBot="1">
      <c r="A38" s="1257" t="s">
        <v>349</v>
      </c>
      <c r="B38" s="304"/>
      <c r="C38" s="291"/>
      <c r="D38" s="291"/>
      <c r="E38" s="292"/>
      <c r="F38" s="308"/>
      <c r="G38" s="308"/>
      <c r="H38" s="308"/>
      <c r="I38" s="308"/>
      <c r="J38" s="2029"/>
      <c r="K38" s="1265">
        <f>'数据-汇总表'!D3</f>
        <v>45889.5</v>
      </c>
      <c r="L38" s="1266">
        <f>'数据-汇总表'!E3</f>
        <v>100957</v>
      </c>
      <c r="M38" s="1266">
        <f ca="1">C34</f>
        <v>44971</v>
      </c>
      <c r="N38" s="1266">
        <f ca="1">C33</f>
        <v>20441</v>
      </c>
      <c r="O38" s="1267">
        <f ca="1">C32</f>
        <v>206371</v>
      </c>
      <c r="P38" s="2027"/>
      <c r="V38" s="2027"/>
    </row>
    <row r="39" spans="1:26" ht="16.5" customHeight="1" thickBot="1">
      <c r="A39" s="1262"/>
      <c r="B39" s="305"/>
      <c r="C39" s="306"/>
      <c r="D39" s="306"/>
      <c r="E39" s="307"/>
      <c r="F39" s="308"/>
      <c r="G39" s="308"/>
      <c r="H39" s="308"/>
      <c r="I39" s="308"/>
      <c r="J39" s="2029"/>
      <c r="K39" s="3423" t="str">
        <f>MID(A44,3,LEN(A44)-2)</f>
        <v/>
      </c>
      <c r="L39" s="3424"/>
      <c r="M39" s="3424"/>
      <c r="N39" s="3425"/>
      <c r="O39" s="1390" t="str">
        <f>C44</f>
        <v>——</v>
      </c>
      <c r="P39" s="2027"/>
      <c r="V39" s="2027"/>
    </row>
    <row r="40" spans="1:26" ht="19.5" thickBot="1">
      <c r="A40" s="104" t="s">
        <v>873</v>
      </c>
      <c r="B40" s="308"/>
      <c r="C40" s="308"/>
      <c r="D40" s="308"/>
      <c r="E40" s="308"/>
      <c r="F40" s="308"/>
      <c r="G40" s="308"/>
      <c r="H40" s="308"/>
      <c r="I40" s="308"/>
      <c r="J40" s="2029"/>
      <c r="K40" s="3423" t="str">
        <f t="shared" ref="K40:K41" si="0">MID(A45,3,LEN(A45)-2)</f>
        <v/>
      </c>
      <c r="L40" s="3424"/>
      <c r="M40" s="3424"/>
      <c r="N40" s="3425"/>
      <c r="O40" s="1390" t="str">
        <f>C45</f>
        <v>——</v>
      </c>
      <c r="P40" s="2027"/>
      <c r="V40" s="2027"/>
    </row>
    <row r="41" spans="1:26" ht="16.5" thickBot="1">
      <c r="A41" s="309" t="s">
        <v>356</v>
      </c>
      <c r="B41" s="310"/>
      <c r="C41" s="311" t="s">
        <v>357</v>
      </c>
      <c r="D41" s="312" t="s">
        <v>358</v>
      </c>
      <c r="E41" s="312" t="s">
        <v>359</v>
      </c>
      <c r="F41" s="313" t="s">
        <v>360</v>
      </c>
      <c r="G41" s="308"/>
      <c r="H41" s="308"/>
      <c r="I41" s="308"/>
      <c r="J41" s="2029"/>
      <c r="K41" s="3423" t="str">
        <f t="shared" si="0"/>
        <v/>
      </c>
      <c r="L41" s="3424"/>
      <c r="M41" s="3424"/>
      <c r="N41" s="3425"/>
      <c r="O41" s="1390" t="str">
        <f>C46</f>
        <v>——</v>
      </c>
      <c r="P41" s="2027"/>
      <c r="V41" s="2027"/>
    </row>
    <row r="42" spans="1:26" ht="29.25">
      <c r="A42" s="3365" t="s">
        <v>2070</v>
      </c>
      <c r="B42" s="3366"/>
      <c r="C42" s="264">
        <f ca="1">C32</f>
        <v>206371</v>
      </c>
      <c r="D42" s="314">
        <f ca="1">C33</f>
        <v>20441</v>
      </c>
      <c r="E42" s="314">
        <f ca="1">C34</f>
        <v>44971</v>
      </c>
      <c r="F42" s="315">
        <f ca="1">C35</f>
        <v>2998</v>
      </c>
      <c r="G42" s="308"/>
      <c r="H42" s="308"/>
      <c r="I42" s="316"/>
      <c r="J42" s="2029"/>
      <c r="K42" s="1268" t="s">
        <v>361</v>
      </c>
      <c r="L42" s="2046" t="s">
        <v>362</v>
      </c>
      <c r="M42" s="1269" t="s">
        <v>363</v>
      </c>
      <c r="N42" s="2047" t="s">
        <v>364</v>
      </c>
      <c r="O42" s="2048" t="s">
        <v>365</v>
      </c>
      <c r="P42" s="2027"/>
      <c r="V42" s="2027"/>
    </row>
    <row r="43" spans="1:26" ht="30">
      <c r="A43" s="3376" t="s">
        <v>2733</v>
      </c>
      <c r="B43" s="3377"/>
      <c r="C43" s="264">
        <f>IF(H33="正常操作",G33+G34+G35,G34+G35)</f>
        <v>0</v>
      </c>
      <c r="D43" s="314" t="s">
        <v>43</v>
      </c>
      <c r="E43" s="314" t="s">
        <v>44</v>
      </c>
      <c r="F43" s="315" t="s">
        <v>44</v>
      </c>
      <c r="G43" s="2863" t="s">
        <v>952</v>
      </c>
      <c r="H43" s="308"/>
      <c r="I43" s="316"/>
      <c r="J43" s="2029"/>
      <c r="K43" s="1270" t="str">
        <f>C4</f>
        <v>基准地价-住宅</v>
      </c>
      <c r="L43" s="1271">
        <f ca="1">IF(L42="估价结果/万元",C19,C20)</f>
        <v>86069</v>
      </c>
      <c r="M43" s="1272">
        <f>C18</f>
        <v>0.3</v>
      </c>
      <c r="N43" s="1273">
        <f ca="1">IF(N42="测算结果/万元",G19,G20)</f>
        <v>206371</v>
      </c>
      <c r="O43" s="1274">
        <f ca="1">IF(O42="最终结果/万元",C32,C33)</f>
        <v>206371</v>
      </c>
      <c r="P43" s="2027"/>
      <c r="V43" s="2027"/>
    </row>
    <row r="44" spans="1:26" ht="18.75" thickBot="1">
      <c r="A44" s="3365" t="str">
        <f>IF(OR(项目基本情况!E8="抵押价格",项目基本情况!E8="已注销及未注销"),"3.抵押价格","——")</f>
        <v>——</v>
      </c>
      <c r="B44" s="3366"/>
      <c r="C44" s="264" t="str">
        <f>IF(A44="——","——",C42-C43)</f>
        <v>——</v>
      </c>
      <c r="D44" s="314" t="e">
        <f>ROUND(C44*10000/'数据-汇总表'!E3,0)</f>
        <v>#VALUE!</v>
      </c>
      <c r="E44" s="314" t="e">
        <f>ROUND(C44*10000/'数据-汇总表'!D3,0)</f>
        <v>#VALUE!</v>
      </c>
      <c r="F44" s="315" t="e">
        <f>ROUND(C44/('数据-汇总表'!D3/666.67),0)</f>
        <v>#VALUE!</v>
      </c>
      <c r="G44" s="308"/>
      <c r="H44" s="308"/>
      <c r="I44" s="316"/>
      <c r="J44" s="2029"/>
      <c r="K44" s="1275" t="str">
        <f>D4</f>
        <v>剩余法-住宅</v>
      </c>
      <c r="L44" s="1276">
        <f ca="1">IF(L42="估价结果/万元",D19,D20)</f>
        <v>257929</v>
      </c>
      <c r="M44" s="1277">
        <f>D18</f>
        <v>0.7</v>
      </c>
      <c r="N44" s="1278"/>
      <c r="O44" s="1279"/>
      <c r="P44" s="2027"/>
      <c r="V44" s="2027"/>
    </row>
    <row r="45" spans="1:26" ht="15">
      <c r="A45" s="3371" t="str">
        <f>IF(项目基本情况!E8="已注销及未注销","4.抵押担保权已注销时的抵押价格",IF(项目基本情况!E8="已注销","3.抵押担保权已注销时的抵押价格","——"))</f>
        <v>——</v>
      </c>
      <c r="B45" s="3372"/>
      <c r="C45" s="180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9"/>
      <c r="K45" s="2027"/>
      <c r="L45" s="2027"/>
      <c r="M45" s="2027"/>
      <c r="N45" s="2027"/>
      <c r="O45" s="2027"/>
      <c r="P45" s="2027"/>
      <c r="V45" s="2027"/>
    </row>
    <row r="46" spans="1:26" ht="15.75" thickBot="1">
      <c r="A46" s="3367" t="str">
        <f>IF(项目基本情况!E9="抵押净值",IF(A45="——","4.抵押净值","5.抵押净值"),"——")</f>
        <v>——</v>
      </c>
      <c r="B46" s="3368"/>
      <c r="C46" s="317" t="str">
        <f>IF(A46="——","——",O79)</f>
        <v>——</v>
      </c>
      <c r="D46" s="314" t="e">
        <f>ROUND(C46*10000/'数据-汇总表'!E3,0)</f>
        <v>#VALUE!</v>
      </c>
      <c r="E46" s="314" t="e">
        <f>ROUND(C46*10000/'数据-汇总表'!D3,0)</f>
        <v>#VALUE!</v>
      </c>
      <c r="F46" s="315" t="e">
        <f>ROUND(C46/('数据-汇总表'!D3/666.67),0)</f>
        <v>#VALUE!</v>
      </c>
      <c r="G46" s="308"/>
      <c r="H46" s="308"/>
      <c r="I46" s="316"/>
      <c r="J46" s="2029"/>
      <c r="K46" s="2027"/>
      <c r="L46" s="2027"/>
      <c r="M46" s="2027"/>
      <c r="N46" s="2027"/>
      <c r="O46" s="2027"/>
      <c r="P46" s="2027"/>
      <c r="Q46" s="2027"/>
      <c r="R46" s="2027"/>
      <c r="S46" s="2027"/>
      <c r="T46" s="2027"/>
      <c r="U46" s="2027"/>
      <c r="V46" s="2027"/>
    </row>
    <row r="47" spans="1:26" ht="15.75">
      <c r="A47" s="318" t="s">
        <v>366</v>
      </c>
      <c r="B47" s="1280"/>
      <c r="C47" s="319" t="s">
        <v>367</v>
      </c>
      <c r="D47" s="320"/>
      <c r="E47" s="320"/>
      <c r="F47" s="320"/>
      <c r="G47" s="321"/>
      <c r="H47" s="322"/>
      <c r="I47" s="323"/>
      <c r="J47" s="2029"/>
      <c r="K47" s="308"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4">
        <v>1</v>
      </c>
      <c r="B48" s="325"/>
      <c r="C48" s="325"/>
      <c r="D48" s="320"/>
      <c r="E48" s="320"/>
      <c r="F48" s="320"/>
      <c r="G48" s="320"/>
      <c r="H48" s="326"/>
      <c r="I48" s="327"/>
      <c r="J48" s="2029"/>
      <c r="K48" s="2027"/>
      <c r="L48" s="2027"/>
      <c r="M48" s="2027"/>
      <c r="N48" s="2027"/>
      <c r="O48" s="2027"/>
      <c r="P48" s="2027"/>
      <c r="Q48" s="2027"/>
      <c r="R48" s="2027"/>
      <c r="S48" s="2027"/>
      <c r="T48" s="2027"/>
      <c r="U48" s="2027"/>
      <c r="V48" s="2027"/>
    </row>
    <row r="49" spans="1:22" ht="12.75">
      <c r="A49" s="324">
        <v>2</v>
      </c>
      <c r="B49" s="325"/>
      <c r="C49" s="325"/>
      <c r="D49" s="320"/>
      <c r="E49" s="320"/>
      <c r="F49" s="320"/>
      <c r="G49" s="320"/>
      <c r="H49" s="326"/>
      <c r="I49" s="327"/>
      <c r="J49" s="2030"/>
      <c r="K49" s="2027"/>
      <c r="L49" s="2027"/>
      <c r="M49" s="2027"/>
      <c r="N49" s="2027"/>
      <c r="O49" s="2027"/>
      <c r="P49" s="2027"/>
      <c r="Q49" s="2027"/>
      <c r="R49" s="2027"/>
      <c r="S49" s="2027"/>
      <c r="T49" s="2027"/>
      <c r="U49" s="2027"/>
      <c r="V49" s="2027"/>
    </row>
    <row r="50" spans="1:22" ht="12.75">
      <c r="A50" s="324">
        <v>3</v>
      </c>
      <c r="B50" s="325"/>
      <c r="C50" s="325"/>
      <c r="D50" s="320"/>
      <c r="E50" s="320"/>
      <c r="F50" s="320"/>
      <c r="G50" s="320"/>
      <c r="H50" s="326"/>
      <c r="I50" s="327"/>
      <c r="J50" s="2030"/>
      <c r="K50" s="2027"/>
      <c r="L50" s="2027"/>
      <c r="M50" s="2027"/>
      <c r="N50" s="2027"/>
      <c r="O50" s="2027"/>
      <c r="P50" s="2027"/>
      <c r="Q50" s="2027"/>
      <c r="R50" s="2027"/>
      <c r="S50" s="2027"/>
      <c r="T50" s="2027"/>
      <c r="U50" s="2027"/>
      <c r="V50" s="2027"/>
    </row>
    <row r="51" spans="1:22" ht="12.75">
      <c r="A51" s="328"/>
      <c r="B51" s="329"/>
      <c r="C51" s="329"/>
      <c r="D51" s="330"/>
      <c r="E51" s="330"/>
      <c r="F51" s="330"/>
      <c r="G51" s="330"/>
      <c r="H51" s="331"/>
      <c r="I51" s="332"/>
      <c r="J51" s="2030"/>
      <c r="K51" s="2027"/>
      <c r="L51" s="2027"/>
      <c r="M51" s="2027"/>
      <c r="N51" s="2027"/>
      <c r="O51" s="2027"/>
      <c r="P51" s="2027"/>
      <c r="Q51" s="2027"/>
      <c r="R51" s="2027"/>
      <c r="S51" s="2027"/>
      <c r="T51" s="2027"/>
      <c r="U51" s="2027"/>
      <c r="V51" s="2027"/>
    </row>
    <row r="52" spans="1:22" ht="12.75">
      <c r="A52" s="325"/>
      <c r="B52" s="325"/>
      <c r="C52" s="325"/>
      <c r="D52" s="320"/>
      <c r="E52" s="320"/>
      <c r="F52" s="320"/>
      <c r="G52" s="320"/>
      <c r="H52" s="326"/>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3" t="s">
        <v>368</v>
      </c>
      <c r="G53" s="334"/>
      <c r="H53" s="334"/>
      <c r="I53" s="335" t="s">
        <v>369</v>
      </c>
      <c r="J53" s="2030"/>
      <c r="K53" s="2027"/>
      <c r="L53" s="2027"/>
      <c r="M53" s="2027"/>
      <c r="N53" s="2027"/>
      <c r="O53" s="2027"/>
      <c r="P53" s="2027"/>
      <c r="Q53" s="2027"/>
      <c r="R53" s="2027"/>
      <c r="S53" s="2027"/>
      <c r="T53" s="2027"/>
      <c r="U53" s="2027"/>
      <c r="V53" s="2027"/>
    </row>
    <row r="54" spans="1:22" ht="12.75">
      <c r="A54" s="257"/>
      <c r="B54" s="336"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4"/>
      <c r="C56" s="334"/>
      <c r="D56" s="334"/>
      <c r="E56" s="334"/>
      <c r="F56" s="334"/>
      <c r="G56" s="334"/>
      <c r="H56" s="334"/>
      <c r="I56" s="335" t="s">
        <v>371</v>
      </c>
      <c r="J56" s="2030"/>
      <c r="K56" s="2027"/>
      <c r="L56" s="2027"/>
      <c r="M56" s="2027"/>
      <c r="N56" s="2027"/>
      <c r="O56" s="2027"/>
      <c r="P56" s="2027"/>
      <c r="Q56" s="2027"/>
      <c r="R56" s="2027"/>
      <c r="S56" s="2027"/>
      <c r="T56" s="2027"/>
      <c r="U56" s="2027"/>
      <c r="V56" s="2027"/>
    </row>
    <row r="57" spans="1:22" ht="12.75">
      <c r="A57" s="257"/>
      <c r="B57" s="336"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6"/>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4"/>
      <c r="C59" s="334"/>
      <c r="D59" s="334"/>
      <c r="E59" s="334"/>
      <c r="F59" s="334"/>
      <c r="G59" s="334"/>
      <c r="H59" s="334"/>
      <c r="I59" s="335"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6"/>
      <c r="C61" s="337"/>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1" t="s">
        <v>373</v>
      </c>
      <c r="B62" s="1282"/>
      <c r="C62" s="1282"/>
      <c r="D62" s="1283"/>
      <c r="E62" s="1283"/>
      <c r="F62" s="1284"/>
      <c r="G62" s="1284"/>
      <c r="H62" s="1284"/>
      <c r="I62" s="1284"/>
      <c r="J62" s="2031"/>
      <c r="K62" s="2027"/>
      <c r="L62" s="2027"/>
      <c r="M62" s="2027"/>
      <c r="N62" s="2027"/>
      <c r="O62" s="2027"/>
      <c r="P62" s="2027"/>
      <c r="Q62" s="2027"/>
      <c r="R62" s="2027"/>
      <c r="S62" s="2027"/>
      <c r="T62" s="2027"/>
      <c r="U62" s="2027"/>
      <c r="V62" s="2027"/>
    </row>
    <row r="63" spans="1:22" ht="14.25" customHeight="1" thickBot="1">
      <c r="A63" s="3412" t="s">
        <v>374</v>
      </c>
      <c r="B63" s="3413"/>
      <c r="C63" s="3414"/>
      <c r="D63" s="338">
        <f ca="1">ROUND(C42*F63,0)</f>
        <v>123823</v>
      </c>
      <c r="E63" s="299" t="s">
        <v>375</v>
      </c>
      <c r="F63" s="339">
        <v>0.6</v>
      </c>
      <c r="G63" s="340" t="s">
        <v>376</v>
      </c>
      <c r="H63" s="308"/>
      <c r="I63" s="308"/>
      <c r="J63" s="2027"/>
      <c r="K63" s="2027"/>
      <c r="L63" s="2027"/>
      <c r="M63" s="2027"/>
      <c r="N63" s="2027"/>
      <c r="O63" s="2027"/>
      <c r="P63" s="308"/>
      <c r="Q63" s="2027"/>
      <c r="R63" s="2027"/>
      <c r="S63" s="2027"/>
      <c r="T63" s="2027"/>
      <c r="U63" s="2027"/>
      <c r="V63" s="2027"/>
    </row>
    <row r="64" spans="1:22" ht="14.25" customHeight="1">
      <c r="A64" s="3373" t="s">
        <v>378</v>
      </c>
      <c r="B64" s="3374"/>
      <c r="C64" s="3374"/>
      <c r="D64" s="3374"/>
      <c r="E64" s="3374"/>
      <c r="F64" s="3374"/>
      <c r="G64" s="3375"/>
      <c r="H64" s="1285"/>
      <c r="I64" s="945"/>
      <c r="J64" s="1989"/>
      <c r="K64" s="1559" t="s">
        <v>377</v>
      </c>
      <c r="L64" s="11"/>
      <c r="M64" s="11"/>
      <c r="N64" s="11"/>
      <c r="O64" s="11"/>
      <c r="P64" s="308"/>
      <c r="Q64" s="2027"/>
      <c r="R64" s="2027"/>
      <c r="S64" s="2027"/>
      <c r="T64" s="2027"/>
      <c r="U64" s="2027"/>
      <c r="V64" s="2027"/>
    </row>
    <row r="65" spans="1:22" ht="12" customHeight="1">
      <c r="A65" s="341" t="s">
        <v>380</v>
      </c>
      <c r="B65" s="342"/>
      <c r="C65" s="343"/>
      <c r="D65" s="344" t="s">
        <v>381</v>
      </c>
      <c r="E65" s="53" t="s">
        <v>382</v>
      </c>
      <c r="F65" s="345" t="s">
        <v>383</v>
      </c>
      <c r="G65" s="346" t="s">
        <v>384</v>
      </c>
      <c r="H65" s="1285"/>
      <c r="I65" s="945"/>
      <c r="J65" s="1989"/>
      <c r="K65" s="1286"/>
      <c r="L65" s="1287"/>
      <c r="M65" s="1287"/>
      <c r="N65" s="1319" t="s">
        <v>379</v>
      </c>
      <c r="O65" s="1320"/>
      <c r="P65" s="1321"/>
      <c r="Q65" s="2027"/>
      <c r="R65" s="2027"/>
      <c r="S65" s="2027"/>
      <c r="T65" s="2027"/>
      <c r="U65" s="2027"/>
      <c r="V65" s="2027"/>
    </row>
    <row r="66" spans="1:22" ht="25.5">
      <c r="A66" s="3369" t="s">
        <v>386</v>
      </c>
      <c r="B66" s="3370"/>
      <c r="C66" s="3370"/>
      <c r="D66" s="261">
        <f ca="1">IF(H66="情况1",0,IF(H66="情况2",D70,IF(H66="情况3",D71,IF(H66="情况4",D72))))</f>
        <v>6486</v>
      </c>
      <c r="E66" s="990" t="str">
        <f>IF(H66="情况4","(销售额-原购置价)×税（费）率","销售额×税（费）率")</f>
        <v>销售额×税（费）率</v>
      </c>
      <c r="F66" s="347">
        <f>IF(H66="情况1","免征",'数据-取费表'!B41)</f>
        <v>5.5000000000000007E-2</v>
      </c>
      <c r="G66" s="348" t="s">
        <v>387</v>
      </c>
      <c r="H66" s="191" t="s">
        <v>388</v>
      </c>
      <c r="I66" s="1285"/>
      <c r="J66" s="2033"/>
      <c r="K66" s="1288">
        <v>1</v>
      </c>
      <c r="L66" s="3427" t="s">
        <v>385</v>
      </c>
      <c r="M66" s="3428"/>
      <c r="N66" s="2457"/>
      <c r="O66" s="2458"/>
      <c r="P66" s="2459"/>
      <c r="Q66" s="2027"/>
      <c r="R66" s="2027"/>
      <c r="S66" s="2027"/>
      <c r="T66" s="2027"/>
      <c r="U66" s="2027"/>
      <c r="V66" s="2027"/>
    </row>
    <row r="67" spans="1:22" ht="25.5" customHeight="1">
      <c r="A67" s="349" t="s">
        <v>390</v>
      </c>
      <c r="B67" s="3360" t="s">
        <v>391</v>
      </c>
      <c r="C67" s="3360"/>
      <c r="D67" s="350">
        <v>0</v>
      </c>
      <c r="E67" s="41" t="s">
        <v>392</v>
      </c>
      <c r="F67" s="62" t="s">
        <v>21</v>
      </c>
      <c r="G67" s="3415"/>
      <c r="H67" s="308"/>
      <c r="I67" s="1289"/>
      <c r="J67" s="2034"/>
      <c r="K67" s="1975">
        <v>2</v>
      </c>
      <c r="L67" s="3426" t="s">
        <v>389</v>
      </c>
      <c r="M67" s="3426"/>
      <c r="N67" s="1322">
        <f>'数据-取费表'!B2</f>
        <v>43650</v>
      </c>
      <c r="O67" s="1322"/>
      <c r="P67" s="1322"/>
      <c r="Q67" s="2027"/>
      <c r="R67" s="2027"/>
      <c r="S67" s="2027"/>
      <c r="T67" s="2027"/>
      <c r="U67" s="2027"/>
      <c r="V67" s="2027"/>
    </row>
    <row r="68" spans="1:22" ht="25.5" customHeight="1">
      <c r="A68" s="351"/>
      <c r="B68" s="3360" t="s">
        <v>394</v>
      </c>
      <c r="C68" s="3360"/>
      <c r="D68" s="352"/>
      <c r="E68" s="77"/>
      <c r="F68" s="353"/>
      <c r="G68" s="3416"/>
      <c r="H68" s="308"/>
      <c r="I68" s="1289"/>
      <c r="J68" s="2034"/>
      <c r="K68" s="1975">
        <v>3</v>
      </c>
      <c r="L68" s="3426" t="s">
        <v>393</v>
      </c>
      <c r="M68" s="3426"/>
      <c r="N68" s="1290">
        <f ca="1">C42</f>
        <v>206371</v>
      </c>
      <c r="O68" s="1290"/>
      <c r="P68" s="1290"/>
      <c r="Q68" s="2027"/>
      <c r="R68" s="2027"/>
      <c r="S68" s="2027"/>
      <c r="T68" s="2027"/>
      <c r="U68" s="2027"/>
      <c r="V68" s="2027"/>
    </row>
    <row r="69" spans="1:22" ht="12" customHeight="1">
      <c r="A69" s="354"/>
      <c r="B69" s="3360" t="s">
        <v>395</v>
      </c>
      <c r="C69" s="3360"/>
      <c r="D69" s="355"/>
      <c r="E69" s="73"/>
      <c r="F69" s="353"/>
      <c r="G69" s="3417"/>
      <c r="H69" s="308"/>
      <c r="I69" s="1289"/>
      <c r="J69" s="2034"/>
      <c r="K69" s="1291">
        <v>4</v>
      </c>
      <c r="L69" s="3431" t="s">
        <v>2886</v>
      </c>
      <c r="M69" s="3432"/>
      <c r="N69" s="1292" t="str">
        <f>C44</f>
        <v>——</v>
      </c>
      <c r="O69" s="1292"/>
      <c r="P69" s="1292"/>
      <c r="Q69" s="2027"/>
      <c r="R69" s="2027"/>
      <c r="S69" s="2027"/>
      <c r="T69" s="2027"/>
      <c r="U69" s="2027"/>
      <c r="V69" s="2027"/>
    </row>
    <row r="70" spans="1:22" ht="24" customHeight="1">
      <c r="A70" s="356" t="s">
        <v>396</v>
      </c>
      <c r="B70" s="3360" t="s">
        <v>397</v>
      </c>
      <c r="C70" s="3360"/>
      <c r="D70" s="355">
        <f ca="1">ROUND(D63*'数据-取费表'!B41/(1+'数据-取费表'!C42),0)</f>
        <v>6486</v>
      </c>
      <c r="E70" s="17" t="s">
        <v>398</v>
      </c>
      <c r="F70" s="357">
        <f>'数据-取费表'!B41</f>
        <v>5.5000000000000007E-2</v>
      </c>
      <c r="G70" s="358"/>
      <c r="H70" s="308"/>
      <c r="I70" s="1289"/>
      <c r="J70" s="2034"/>
      <c r="K70" s="3059"/>
      <c r="L70" s="3060"/>
      <c r="M70" s="3060"/>
      <c r="N70" s="3061" t="s">
        <v>2891</v>
      </c>
      <c r="O70" s="3060"/>
      <c r="P70" s="3062"/>
      <c r="Q70" s="2027"/>
      <c r="R70" s="2027"/>
      <c r="S70" s="2027"/>
      <c r="T70" s="2027"/>
      <c r="U70" s="2027"/>
      <c r="V70" s="2027"/>
    </row>
    <row r="71" spans="1:22" ht="12" customHeight="1">
      <c r="A71" s="356" t="s">
        <v>404</v>
      </c>
      <c r="B71" s="3361" t="s">
        <v>405</v>
      </c>
      <c r="C71" s="3362"/>
      <c r="D71" s="355">
        <f ca="1">ROUND(D63*'数据-取费表'!B41/(1+'数据-取费表'!C42),0)</f>
        <v>6486</v>
      </c>
      <c r="E71" s="17" t="s">
        <v>398</v>
      </c>
      <c r="F71" s="357">
        <f>'数据-取费表'!B41</f>
        <v>5.5000000000000007E-2</v>
      </c>
      <c r="G71" s="358"/>
      <c r="H71" s="308"/>
      <c r="I71" s="1289"/>
      <c r="J71" s="2034"/>
      <c r="K71" s="3058" t="s">
        <v>399</v>
      </c>
      <c r="L71" s="3433" t="s">
        <v>400</v>
      </c>
      <c r="M71" s="3433"/>
      <c r="N71" s="3058" t="s">
        <v>401</v>
      </c>
      <c r="O71" s="3058" t="s">
        <v>402</v>
      </c>
      <c r="P71" s="3058" t="s">
        <v>403</v>
      </c>
      <c r="Q71" s="2027"/>
      <c r="R71" s="2027"/>
      <c r="S71" s="2027"/>
      <c r="T71" s="2027"/>
      <c r="U71" s="2027"/>
      <c r="V71" s="2027"/>
    </row>
    <row r="72" spans="1:22" ht="12" customHeight="1">
      <c r="A72" s="356" t="s">
        <v>407</v>
      </c>
      <c r="B72" s="3361" t="s">
        <v>408</v>
      </c>
      <c r="C72" s="3362"/>
      <c r="D72" s="355">
        <f ca="1">C86</f>
        <v>6376</v>
      </c>
      <c r="E72" s="73" t="s">
        <v>409</v>
      </c>
      <c r="F72" s="357">
        <f>'数据-取费表'!B41</f>
        <v>5.5000000000000007E-2</v>
      </c>
      <c r="G72" s="358"/>
      <c r="H72" s="1295"/>
      <c r="I72" s="1289"/>
      <c r="J72" s="2034"/>
      <c r="K72" s="1975">
        <v>1</v>
      </c>
      <c r="L72" s="3408" t="s">
        <v>406</v>
      </c>
      <c r="M72" s="3408"/>
      <c r="N72" s="1293">
        <f ca="1">D66</f>
        <v>6486</v>
      </c>
      <c r="O72" s="1858" t="str">
        <f>E66</f>
        <v>销售额×税（费）率</v>
      </c>
      <c r="P72" s="1294">
        <f>F66</f>
        <v>5.5000000000000007E-2</v>
      </c>
      <c r="Q72" s="2027"/>
      <c r="R72" s="2027"/>
      <c r="S72" s="2027"/>
      <c r="T72" s="2027"/>
      <c r="U72" s="2027"/>
      <c r="V72" s="2027"/>
    </row>
    <row r="73" spans="1:22" ht="24" customHeight="1">
      <c r="A73" s="3402" t="s">
        <v>411</v>
      </c>
      <c r="B73" s="3370"/>
      <c r="C73" s="3370"/>
      <c r="D73" s="359">
        <f>IF(H73="个人住宅",0,ROUND(D63*I73,0))</f>
        <v>0</v>
      </c>
      <c r="E73" s="17" t="s">
        <v>412</v>
      </c>
      <c r="F73" s="357" t="str">
        <f>IF(H73="正常",I73,"免征")</f>
        <v>免征</v>
      </c>
      <c r="G73" s="358"/>
      <c r="H73" s="191" t="s">
        <v>2458</v>
      </c>
      <c r="I73" s="357">
        <f>'数据-取费表'!B49</f>
        <v>5.0000000000000001E-4</v>
      </c>
      <c r="J73" s="2034"/>
      <c r="K73" s="1975">
        <v>2</v>
      </c>
      <c r="L73" s="3408" t="s">
        <v>410</v>
      </c>
      <c r="M73" s="3408"/>
      <c r="N73" s="1293">
        <f t="shared" ref="N73:P74" si="1">D73</f>
        <v>0</v>
      </c>
      <c r="O73" s="1858" t="str">
        <f t="shared" si="1"/>
        <v>销售额×税（费）率</v>
      </c>
      <c r="P73" s="1294" t="str">
        <f t="shared" si="1"/>
        <v>免征</v>
      </c>
      <c r="Q73" s="2027"/>
      <c r="R73" s="2027"/>
      <c r="S73" s="2027"/>
      <c r="T73" s="2027"/>
      <c r="U73" s="2027"/>
      <c r="V73" s="2027"/>
    </row>
    <row r="74" spans="1:22" ht="24.75">
      <c r="A74" s="3402" t="s">
        <v>415</v>
      </c>
      <c r="B74" s="3370"/>
      <c r="C74" s="3370"/>
      <c r="D74" s="359">
        <f ca="1">IF(H74="个人住宅",D75,D76)</f>
        <v>69540</v>
      </c>
      <c r="E74" s="17" t="s">
        <v>416</v>
      </c>
      <c r="F74" s="357" t="str">
        <f>IF(H74="正常",F76,"免征")</f>
        <v>——</v>
      </c>
      <c r="G74" s="980" t="s">
        <v>417</v>
      </c>
      <c r="H74" s="360" t="s">
        <v>413</v>
      </c>
      <c r="I74" s="42"/>
      <c r="J74" s="2034"/>
      <c r="K74" s="1975">
        <v>3</v>
      </c>
      <c r="L74" s="3408" t="s">
        <v>414</v>
      </c>
      <c r="M74" s="3408"/>
      <c r="N74" s="1293">
        <f t="shared" ca="1" si="1"/>
        <v>69540</v>
      </c>
      <c r="O74" s="1858" t="str">
        <f t="shared" si="1"/>
        <v>增值额×税（费）率</v>
      </c>
      <c r="P74" s="1296" t="str">
        <f t="shared" si="1"/>
        <v>——</v>
      </c>
      <c r="Q74" s="2027"/>
      <c r="R74" s="2027"/>
      <c r="S74" s="2027"/>
      <c r="T74" s="2027"/>
      <c r="U74" s="2027"/>
      <c r="V74" s="2027"/>
    </row>
    <row r="75" spans="1:22" ht="24">
      <c r="A75" s="356" t="s">
        <v>418</v>
      </c>
      <c r="B75" s="3358" t="s">
        <v>419</v>
      </c>
      <c r="C75" s="3388"/>
      <c r="D75" s="361">
        <v>0</v>
      </c>
      <c r="E75" s="41" t="s">
        <v>420</v>
      </c>
      <c r="F75" s="362"/>
      <c r="G75" s="358"/>
      <c r="H75" s="42"/>
      <c r="I75" s="42"/>
      <c r="J75" s="2034"/>
      <c r="K75" s="3051">
        <f>IF(H77="非个人房产","",4)</f>
        <v>4</v>
      </c>
      <c r="L75" s="3408" t="str">
        <f>IF(H77="非个人房产","——","个人所得税")</f>
        <v>个人所得税</v>
      </c>
      <c r="M75" s="3408"/>
      <c r="N75" s="1297">
        <f ca="1">D77</f>
        <v>1238</v>
      </c>
      <c r="O75" s="1871" t="str">
        <f>E77</f>
        <v>销售额×税（费）率</v>
      </c>
      <c r="P75" s="1298">
        <f>F77</f>
        <v>0.01</v>
      </c>
      <c r="Q75" s="2027"/>
      <c r="R75" s="2027"/>
      <c r="S75" s="2027"/>
      <c r="T75" s="2027"/>
      <c r="U75" s="2027"/>
      <c r="V75" s="2027"/>
    </row>
    <row r="76" spans="1:22" ht="24.75">
      <c r="A76" s="356" t="s">
        <v>396</v>
      </c>
      <c r="B76" s="3358" t="s">
        <v>422</v>
      </c>
      <c r="C76" s="3359"/>
      <c r="D76" s="359">
        <f ca="1">IF(H76="转让取得",C99,C115)</f>
        <v>69540</v>
      </c>
      <c r="E76" s="17" t="s">
        <v>423</v>
      </c>
      <c r="F76" s="53" t="s">
        <v>21</v>
      </c>
      <c r="G76" s="358"/>
      <c r="H76" s="360" t="s">
        <v>424</v>
      </c>
      <c r="I76" s="42"/>
      <c r="J76" s="2034"/>
      <c r="K76" s="3051" t="str">
        <f>IF(项目基本情况!K6="上海银行",IF(K75="",4,K75+1),"")</f>
        <v/>
      </c>
      <c r="L76" s="3419" t="str">
        <f>IF(项目基本情况!K6="上海银行","其他处置费用","")</f>
        <v/>
      </c>
      <c r="M76" s="3420"/>
      <c r="N76" s="1293" t="str">
        <f>IF(项目基本情况!K6="上海银行",N89,"")</f>
        <v/>
      </c>
      <c r="O76" s="3421" t="str">
        <f>IF(项目基本情况!K6="上海银行","包含处置中涉及的律师、诉讼、拍卖、评估等费用","")</f>
        <v/>
      </c>
      <c r="P76" s="3422"/>
      <c r="Q76" s="2027"/>
      <c r="R76" s="2027"/>
      <c r="S76" s="2027"/>
      <c r="T76" s="2027"/>
      <c r="U76" s="2027"/>
      <c r="V76" s="2027"/>
    </row>
    <row r="77" spans="1:22" ht="26.25" thickBot="1">
      <c r="A77" s="3410" t="s">
        <v>426</v>
      </c>
      <c r="B77" s="3411"/>
      <c r="C77" s="3411"/>
      <c r="D77" s="363">
        <f ca="1">IF(H77="非个人房产","——",IF(H77="个人住宅",0,ROUND(D63*I77,0)))</f>
        <v>1238</v>
      </c>
      <c r="E77" s="364" t="str">
        <f>IF(H77="非个人房产","——","销售额×税（费）率")</f>
        <v>销售额×税（费）率</v>
      </c>
      <c r="F77" s="365">
        <f>IF(H77="非个人房产","——",IF(H77="个人住宅","免征",I77))</f>
        <v>0.01</v>
      </c>
      <c r="G77" s="981" t="s">
        <v>417</v>
      </c>
      <c r="H77" s="360" t="s">
        <v>2887</v>
      </c>
      <c r="I77" s="366">
        <v>0.01</v>
      </c>
      <c r="J77" s="2034"/>
      <c r="K77" s="3409">
        <f>IF(AND(K75="",K76=""),4,IF(项目基本情况!K6="上海银行",K76+1,K75+1))</f>
        <v>5</v>
      </c>
      <c r="L77" s="3408" t="s">
        <v>2888</v>
      </c>
      <c r="M77" s="3057" t="s">
        <v>421</v>
      </c>
      <c r="N77" s="1299"/>
      <c r="O77" s="1300">
        <f ca="1">SUMIF(N72:N76,"&lt;9e307")</f>
        <v>77264</v>
      </c>
      <c r="P77" s="1301"/>
      <c r="Q77" s="3055" t="e">
        <f ca="1">O77/N69</f>
        <v>#VALUE!</v>
      </c>
      <c r="R77" s="2027"/>
      <c r="S77" s="2027"/>
      <c r="T77" s="2027"/>
      <c r="U77" s="2027"/>
      <c r="V77" s="2027"/>
    </row>
    <row r="78" spans="1:22" ht="12" customHeight="1">
      <c r="A78" s="1302"/>
      <c r="B78" s="308"/>
      <c r="C78" s="308"/>
      <c r="D78" s="308"/>
      <c r="E78" s="42"/>
      <c r="F78" s="42"/>
      <c r="G78" s="42"/>
      <c r="H78" s="1000"/>
      <c r="I78" s="308"/>
      <c r="J78" s="2034"/>
      <c r="K78" s="3409"/>
      <c r="L78" s="3408"/>
      <c r="M78" s="3057" t="s">
        <v>425</v>
      </c>
      <c r="N78" s="1299"/>
      <c r="O78" s="1300" t="str">
        <f ca="1">NUMBERSTRING(INT(O77*10000),2)&amp;"元整"</f>
        <v>柒亿柒仟贰佰陆拾肆万元整</v>
      </c>
      <c r="P78" s="1301"/>
      <c r="Q78" s="2027"/>
      <c r="R78" s="2027"/>
      <c r="S78" s="2027"/>
      <c r="T78" s="2027"/>
      <c r="U78" s="2027"/>
      <c r="V78" s="2027"/>
    </row>
    <row r="79" spans="1:22" ht="13.5" thickBot="1">
      <c r="A79" s="3403" t="s">
        <v>427</v>
      </c>
      <c r="B79" s="3403"/>
      <c r="C79" s="3403"/>
      <c r="D79" s="3403"/>
      <c r="E79" s="3403"/>
      <c r="F79" s="42"/>
      <c r="G79" s="42"/>
      <c r="H79" s="1000"/>
      <c r="I79" s="308"/>
      <c r="J79" s="2034"/>
      <c r="K79" s="3429">
        <f>K77+1</f>
        <v>6</v>
      </c>
      <c r="L79" s="3408" t="s">
        <v>2889</v>
      </c>
      <c r="M79" s="3057" t="s">
        <v>421</v>
      </c>
      <c r="N79" s="1299"/>
      <c r="O79" s="1300" t="e">
        <f ca="1">N69-O77</f>
        <v>#VALUE!</v>
      </c>
      <c r="P79" s="1301"/>
      <c r="Q79" s="2027"/>
      <c r="R79" s="2027"/>
      <c r="S79" s="2027"/>
      <c r="T79" s="2027"/>
      <c r="U79" s="2027"/>
      <c r="V79" s="2027"/>
    </row>
    <row r="80" spans="1:22" ht="12.75">
      <c r="A80" s="3398" t="s">
        <v>428</v>
      </c>
      <c r="B80" s="3399"/>
      <c r="C80" s="991"/>
      <c r="D80" s="991" t="s">
        <v>429</v>
      </c>
      <c r="E80" s="367" t="s">
        <v>430</v>
      </c>
      <c r="F80" s="42"/>
      <c r="G80" s="42"/>
      <c r="H80" s="1000"/>
      <c r="I80" s="308"/>
      <c r="J80" s="2027"/>
      <c r="K80" s="3430"/>
      <c r="L80" s="3408"/>
      <c r="M80" s="3057" t="s">
        <v>425</v>
      </c>
      <c r="N80" s="1299"/>
      <c r="O80" s="1300" t="e">
        <f ca="1">NUMBERSTRING(INT(O79*10000),2)&amp;"元整"</f>
        <v>#VALUE!</v>
      </c>
      <c r="P80" s="1301"/>
      <c r="Q80" s="2027"/>
      <c r="R80" s="2027"/>
      <c r="S80" s="2027"/>
      <c r="T80" s="2027"/>
      <c r="U80" s="2027"/>
      <c r="V80" s="2027"/>
    </row>
    <row r="81" spans="1:26" ht="13.5" thickBot="1">
      <c r="A81" s="378" t="s">
        <v>1824</v>
      </c>
      <c r="B81" s="368" t="s">
        <v>431</v>
      </c>
      <c r="C81" s="369">
        <f ca="1">ROUND((C82+C83)/(1+'数据-取费表'!C42),0)</f>
        <v>117927</v>
      </c>
      <c r="D81" s="370"/>
      <c r="E81" s="371"/>
      <c r="F81" s="42"/>
      <c r="G81" s="42"/>
      <c r="H81" s="1000"/>
      <c r="I81" s="308"/>
      <c r="J81" s="2027"/>
      <c r="K81" s="3051">
        <f>K79+1</f>
        <v>7</v>
      </c>
      <c r="L81" s="3406" t="s">
        <v>2890</v>
      </c>
      <c r="M81" s="3407"/>
      <c r="N81" s="1303"/>
      <c r="O81" s="1304" t="e">
        <f ca="1">ROUND(O79*10000/'数据-汇总表'!E3,0)</f>
        <v>#VALUE!</v>
      </c>
      <c r="P81" s="1305"/>
      <c r="Q81" s="2027"/>
      <c r="R81" s="2027"/>
      <c r="S81" s="2027"/>
      <c r="T81" s="2027"/>
      <c r="U81" s="2027"/>
      <c r="V81" s="2027"/>
    </row>
    <row r="82" spans="1:26" ht="13.5" thickTop="1">
      <c r="A82" s="372" t="s">
        <v>1825</v>
      </c>
      <c r="B82" s="373" t="s">
        <v>432</v>
      </c>
      <c r="C82" s="374">
        <f ca="1">D63</f>
        <v>123823</v>
      </c>
      <c r="D82" s="375" t="s">
        <v>19</v>
      </c>
      <c r="E82" s="376"/>
      <c r="F82" s="42"/>
      <c r="G82" s="42"/>
      <c r="H82" s="1000"/>
      <c r="I82" s="308"/>
      <c r="J82" s="2027"/>
      <c r="K82" s="2027"/>
      <c r="L82" s="2027"/>
      <c r="M82" s="2027"/>
      <c r="N82" s="2027"/>
      <c r="O82" s="2027"/>
      <c r="P82" s="2027"/>
      <c r="Q82" s="2027"/>
      <c r="R82" s="2027"/>
      <c r="S82" s="2027"/>
      <c r="T82" s="2027"/>
      <c r="U82" s="2027"/>
      <c r="V82" s="2027"/>
    </row>
    <row r="83" spans="1:26" ht="12.75">
      <c r="A83" s="372" t="s">
        <v>1826</v>
      </c>
      <c r="B83" s="373" t="s">
        <v>433</v>
      </c>
      <c r="C83" s="377">
        <v>0</v>
      </c>
      <c r="D83" s="375"/>
      <c r="E83" s="376"/>
      <c r="F83" s="42"/>
      <c r="G83" s="42"/>
      <c r="H83" s="1000"/>
      <c r="I83" s="308"/>
      <c r="J83" s="2027"/>
      <c r="K83" s="3418" t="s">
        <v>2877</v>
      </c>
      <c r="L83" s="3063" t="s">
        <v>2878</v>
      </c>
      <c r="M83" s="3053" t="e">
        <f>IF(N69&gt;10000,N69*0.5%,IF(AND(N69&gt;1000,N69&lt;=10000),N69*1%,IF(AND(N69&gt;100,N69&lt;=1000),N69*3%,IF(AND(N69&gt;10,N69&lt;=100),N69*5%,N69*8%))))</f>
        <v>#VALUE!</v>
      </c>
      <c r="N83" s="53" t="e">
        <f>ROUND(M83,1)</f>
        <v>#VALUE!</v>
      </c>
      <c r="O83" s="3056"/>
      <c r="P83" s="2027"/>
      <c r="Q83" s="2027"/>
      <c r="R83" s="2027"/>
      <c r="S83" s="2027"/>
      <c r="T83" s="2027"/>
      <c r="U83" s="2027"/>
      <c r="V83" s="2027"/>
    </row>
    <row r="84" spans="1:26" ht="12.75">
      <c r="A84" s="378" t="s">
        <v>1827</v>
      </c>
      <c r="B84" s="379" t="s">
        <v>434</v>
      </c>
      <c r="C84" s="380">
        <v>2000</v>
      </c>
      <c r="D84" s="381" t="s">
        <v>19</v>
      </c>
      <c r="E84" s="3098" t="s">
        <v>2946</v>
      </c>
      <c r="F84" s="42"/>
      <c r="G84" s="42"/>
      <c r="H84" s="1000"/>
      <c r="I84" s="308"/>
      <c r="J84" s="2027"/>
      <c r="K84" s="3418"/>
      <c r="L84" s="3063" t="s">
        <v>2879</v>
      </c>
      <c r="M84" s="305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2880</v>
      </c>
      <c r="P84" s="2027"/>
      <c r="Q84" s="2027"/>
      <c r="R84" s="2027"/>
      <c r="S84" s="2027"/>
      <c r="T84" s="2027"/>
      <c r="U84" s="2027"/>
      <c r="V84" s="2027"/>
    </row>
    <row r="85" spans="1:26" ht="12.75">
      <c r="A85" s="378" t="s">
        <v>1828</v>
      </c>
      <c r="B85" s="379" t="s">
        <v>435</v>
      </c>
      <c r="C85" s="382">
        <f ca="1">C81-C84</f>
        <v>115927</v>
      </c>
      <c r="D85" s="375" t="s">
        <v>19</v>
      </c>
      <c r="E85" s="376"/>
      <c r="F85" s="42"/>
      <c r="G85" s="42"/>
      <c r="H85" s="1000"/>
      <c r="I85" s="308"/>
      <c r="J85" s="2027"/>
      <c r="K85" s="3418"/>
      <c r="L85" s="3063" t="s">
        <v>2881</v>
      </c>
      <c r="M85" s="3053" t="e">
        <f>IF(N69&gt;1000,N69*0.1%,IF(AND(N69&gt;500,N69&lt;=1000),N69*0.5%,IF(AND(N69&gt;50,N69&lt;=500),N69*1%,IF(AND(N69&gt;1,N69&lt;=50),N69*1.5%))))</f>
        <v>#VALUE!</v>
      </c>
      <c r="N85" s="53" t="e">
        <f t="shared" si="2"/>
        <v>#VALUE!</v>
      </c>
      <c r="O85" s="2027" t="s">
        <v>2880</v>
      </c>
      <c r="P85" s="2027"/>
      <c r="Q85" s="2027"/>
      <c r="R85" s="2027"/>
      <c r="S85" s="2027"/>
      <c r="T85" s="2027"/>
      <c r="U85" s="2027"/>
      <c r="V85" s="2027"/>
    </row>
    <row r="86" spans="1:26" ht="13.5" thickBot="1">
      <c r="A86" s="383" t="s">
        <v>1829</v>
      </c>
      <c r="B86" s="384" t="s">
        <v>436</v>
      </c>
      <c r="C86" s="385">
        <f ca="1">IF(C85&lt;=0,0,ROUND(C85*D86,0))</f>
        <v>6376</v>
      </c>
      <c r="D86" s="386">
        <f>'数据-取费表'!B41</f>
        <v>5.5000000000000007E-2</v>
      </c>
      <c r="E86" s="387"/>
      <c r="F86" s="42"/>
      <c r="G86" s="42"/>
      <c r="H86" s="1000"/>
      <c r="I86" s="308"/>
      <c r="J86" s="2027"/>
      <c r="K86" s="3418"/>
      <c r="L86" s="3063" t="s">
        <v>2882</v>
      </c>
      <c r="M86" s="3053" t="e">
        <f>N69*0.5%</f>
        <v>#VALUE!</v>
      </c>
      <c r="N86" s="53" t="e">
        <f>IF(M86&gt;0.5,0.5,ROUND(M86,0))</f>
        <v>#VALUE!</v>
      </c>
      <c r="O86" s="2027" t="s">
        <v>2883</v>
      </c>
      <c r="P86" s="2027"/>
      <c r="Q86" s="2027"/>
      <c r="R86" s="2027"/>
      <c r="S86" s="2027"/>
      <c r="T86" s="2027"/>
      <c r="U86" s="2027"/>
      <c r="V86" s="2027"/>
    </row>
    <row r="87" spans="1:26" s="1251" customFormat="1" ht="14.25" customHeight="1">
      <c r="A87" s="1306"/>
      <c r="B87" s="1307"/>
      <c r="C87" s="1308"/>
      <c r="D87" s="1309"/>
      <c r="E87" s="1310"/>
      <c r="F87" s="42"/>
      <c r="G87" s="42"/>
      <c r="H87" s="1000"/>
      <c r="I87" s="308"/>
      <c r="J87" s="2027"/>
      <c r="K87" s="3418"/>
      <c r="L87" s="3063" t="s">
        <v>2884</v>
      </c>
      <c r="M87" s="305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6"/>
      <c r="P87" s="308"/>
      <c r="Q87" s="2027"/>
      <c r="R87" s="2027"/>
      <c r="S87" s="2027"/>
      <c r="T87" s="2027"/>
      <c r="U87" s="2027"/>
      <c r="V87" s="2027"/>
      <c r="W87" s="289"/>
      <c r="X87" s="289"/>
      <c r="Y87" s="289"/>
      <c r="Z87" s="289"/>
    </row>
    <row r="88" spans="1:26" s="1311" customFormat="1" ht="15" thickBot="1">
      <c r="A88" s="3400" t="s">
        <v>437</v>
      </c>
      <c r="B88" s="3401"/>
      <c r="C88" s="3401"/>
      <c r="D88" s="3401"/>
      <c r="E88" s="3401"/>
      <c r="F88" s="3401"/>
      <c r="G88" s="3401"/>
      <c r="H88" s="3401"/>
      <c r="I88" s="1312"/>
      <c r="J88" s="2035"/>
      <c r="K88" s="3418"/>
      <c r="L88" s="3063" t="s">
        <v>2885</v>
      </c>
      <c r="M88" s="3053" t="e">
        <f>IF(N69&gt;10000,N69*0.5%,IF(AND(N69&gt;5000,N69&lt;=10000),N69*1%,IF(AND(N69&gt;1000,N69&lt;=5000),N69*2%,IF(AND(N69&gt;200,N69&lt;=1000),N69*3%,N69*5%))))</f>
        <v>#VALUE!</v>
      </c>
      <c r="N88" s="53" t="e">
        <f>ROUND(M88,1)</f>
        <v>#VALUE!</v>
      </c>
      <c r="O88" s="3056"/>
      <c r="P88" s="11"/>
      <c r="Q88" s="2032"/>
      <c r="R88" s="2032"/>
      <c r="S88" s="2032"/>
      <c r="T88" s="2032"/>
      <c r="U88" s="2032"/>
      <c r="V88" s="2032"/>
      <c r="W88" s="2036"/>
      <c r="X88" s="2036"/>
      <c r="Y88" s="2036"/>
      <c r="Z88" s="2036"/>
    </row>
    <row r="89" spans="1:26" s="1311" customFormat="1" ht="14.25">
      <c r="A89" s="3398" t="s">
        <v>428</v>
      </c>
      <c r="B89" s="3399"/>
      <c r="C89" s="991"/>
      <c r="D89" s="991" t="s">
        <v>429</v>
      </c>
      <c r="E89" s="388" t="s">
        <v>438</v>
      </c>
      <c r="F89" s="389"/>
      <c r="G89" s="389"/>
      <c r="H89" s="390"/>
      <c r="I89" s="1313"/>
      <c r="J89" s="2037"/>
      <c r="K89" s="3418"/>
      <c r="L89" s="3063" t="s">
        <v>27</v>
      </c>
      <c r="M89" s="3054"/>
      <c r="N89" s="53" t="e">
        <f>ROUND(SUM(N83:N88),0)</f>
        <v>#VALUE!</v>
      </c>
      <c r="O89" s="3064" t="e">
        <f>N89/N69</f>
        <v>#VALUE!</v>
      </c>
      <c r="P89" s="2032"/>
      <c r="Q89" s="2032"/>
      <c r="R89" s="2032"/>
      <c r="S89" s="2032"/>
      <c r="T89" s="2032"/>
      <c r="U89" s="2032"/>
      <c r="V89" s="2032"/>
      <c r="W89" s="2036"/>
      <c r="X89" s="2036"/>
      <c r="Y89" s="2036"/>
      <c r="Z89" s="2036"/>
    </row>
    <row r="90" spans="1:26" s="1311" customFormat="1" ht="14.25">
      <c r="A90" s="378" t="s">
        <v>1824</v>
      </c>
      <c r="B90" s="379" t="s">
        <v>439</v>
      </c>
      <c r="C90" s="382">
        <f ca="1">ROUND(D63/(1+'数据-取费表'!C42),0)</f>
        <v>117927</v>
      </c>
      <c r="D90" s="375" t="s">
        <v>19</v>
      </c>
      <c r="E90" s="988"/>
      <c r="F90" s="987"/>
      <c r="G90" s="987"/>
      <c r="H90" s="391"/>
      <c r="I90" s="1313"/>
      <c r="J90" s="2037"/>
      <c r="K90" s="2032"/>
      <c r="L90" s="2032"/>
      <c r="M90" s="2032"/>
      <c r="N90" s="2032"/>
      <c r="O90" s="2032"/>
      <c r="P90" s="2032"/>
      <c r="Q90" s="2032"/>
      <c r="R90" s="2032"/>
      <c r="S90" s="2032"/>
      <c r="T90" s="2032"/>
      <c r="U90" s="2032"/>
      <c r="V90" s="2032"/>
      <c r="W90" s="2036"/>
      <c r="X90" s="2036"/>
      <c r="Y90" s="2036"/>
      <c r="Z90" s="2036"/>
    </row>
    <row r="91" spans="1:26" s="1311" customFormat="1" ht="14.25">
      <c r="A91" s="378" t="s">
        <v>1830</v>
      </c>
      <c r="B91" s="345" t="s">
        <v>440</v>
      </c>
      <c r="C91" s="382">
        <f ca="1">C92+C96</f>
        <v>3151</v>
      </c>
      <c r="D91" s="375" t="s">
        <v>19</v>
      </c>
      <c r="E91" s="988"/>
      <c r="F91" s="987"/>
      <c r="G91" s="987"/>
      <c r="H91" s="391"/>
      <c r="I91" s="1313"/>
      <c r="J91" s="2037"/>
      <c r="K91" s="2032"/>
      <c r="L91" s="2032"/>
      <c r="M91" s="2032"/>
      <c r="N91" s="2032"/>
      <c r="O91" s="2032"/>
      <c r="P91" s="2032"/>
      <c r="Q91" s="2032"/>
      <c r="R91" s="2032"/>
      <c r="S91" s="2032"/>
      <c r="T91" s="2032"/>
      <c r="U91" s="2032"/>
      <c r="V91" s="2032"/>
      <c r="W91" s="2036"/>
      <c r="X91" s="2036"/>
      <c r="Y91" s="2036"/>
      <c r="Z91" s="2036"/>
    </row>
    <row r="92" spans="1:26" s="1311" customFormat="1" ht="24">
      <c r="A92" s="392" t="s">
        <v>1831</v>
      </c>
      <c r="B92" s="373" t="s">
        <v>441</v>
      </c>
      <c r="C92" s="375">
        <f>ROUND(IF(G95="2016年5月1日后购买",C93/(1+'数据-取费表'!C30)+C94+C95,C93+C94+C95),0)</f>
        <v>2561</v>
      </c>
      <c r="D92" s="375" t="s">
        <v>19</v>
      </c>
      <c r="E92" s="988"/>
      <c r="F92" s="987"/>
      <c r="G92" s="987"/>
      <c r="H92" s="391"/>
      <c r="I92" s="1313"/>
      <c r="J92" s="2037"/>
      <c r="K92" s="2032"/>
      <c r="L92" s="2032"/>
      <c r="M92" s="2032"/>
      <c r="N92" s="2032"/>
      <c r="O92" s="2032"/>
      <c r="P92" s="2032"/>
      <c r="Q92" s="2032"/>
      <c r="R92" s="2032"/>
      <c r="S92" s="2032"/>
      <c r="T92" s="2032"/>
      <c r="U92" s="2032"/>
      <c r="V92" s="2032"/>
      <c r="W92" s="2036"/>
      <c r="X92" s="2036"/>
      <c r="Y92" s="2036"/>
      <c r="Z92" s="2036"/>
    </row>
    <row r="93" spans="1:26" s="1311" customFormat="1" ht="14.25">
      <c r="A93" s="392" t="s">
        <v>1832</v>
      </c>
      <c r="B93" s="373" t="s">
        <v>442</v>
      </c>
      <c r="C93" s="393">
        <v>2000</v>
      </c>
      <c r="D93" s="375" t="s">
        <v>19</v>
      </c>
      <c r="E93" s="394" t="s">
        <v>443</v>
      </c>
      <c r="F93" s="395" t="s">
        <v>444</v>
      </c>
      <c r="G93" s="394" t="s">
        <v>445</v>
      </c>
      <c r="H93" s="396">
        <v>5</v>
      </c>
      <c r="I93" s="11"/>
      <c r="J93" s="2032"/>
      <c r="K93" s="2032"/>
      <c r="L93" s="2032"/>
      <c r="M93" s="2032"/>
      <c r="N93" s="2032"/>
      <c r="O93" s="2032"/>
      <c r="P93" s="2032"/>
      <c r="Q93" s="2032"/>
      <c r="R93" s="2032"/>
      <c r="S93" s="2032"/>
      <c r="T93" s="2032"/>
      <c r="U93" s="2032"/>
      <c r="V93" s="2032"/>
      <c r="W93" s="2036"/>
      <c r="X93" s="2036"/>
      <c r="Y93" s="2036"/>
      <c r="Z93" s="2036"/>
    </row>
    <row r="94" spans="1:26" s="1311" customFormat="1" ht="24.75" customHeight="1">
      <c r="A94" s="392" t="s">
        <v>1833</v>
      </c>
      <c r="B94" s="397" t="s">
        <v>446</v>
      </c>
      <c r="C94" s="375">
        <f>IF(F93="购房发票",ROUND(C93*H93*5%,0),0)</f>
        <v>500</v>
      </c>
      <c r="D94" s="398">
        <v>0.05</v>
      </c>
      <c r="E94" s="3361" t="s">
        <v>447</v>
      </c>
      <c r="F94" s="3360"/>
      <c r="G94" s="3360"/>
      <c r="H94" s="3397"/>
      <c r="I94" s="1313"/>
      <c r="J94" s="2037"/>
      <c r="K94" s="2032"/>
      <c r="L94" s="2032"/>
      <c r="M94" s="2032"/>
      <c r="N94" s="2032"/>
      <c r="O94" s="2032"/>
      <c r="P94" s="2032"/>
      <c r="Q94" s="2032"/>
      <c r="R94" s="2032"/>
      <c r="S94" s="2032"/>
      <c r="T94" s="2032"/>
      <c r="U94" s="2032"/>
      <c r="V94" s="2032"/>
      <c r="W94" s="2036"/>
      <c r="X94" s="2036"/>
      <c r="Y94" s="2036"/>
      <c r="Z94" s="2036"/>
    </row>
    <row r="95" spans="1:26" s="1311" customFormat="1" ht="24.75" customHeight="1">
      <c r="A95" s="392" t="s">
        <v>1834</v>
      </c>
      <c r="B95" s="373" t="s">
        <v>448</v>
      </c>
      <c r="C95" s="375">
        <f>ROUND(IF(G95="个人买卖住房",0,IF(G95="2016年5月1日前购买",C93*D95,C93*D95/(1+'数据-取费表'!C42))),0)</f>
        <v>61</v>
      </c>
      <c r="D95" s="399">
        <f>'数据-取费表'!B48+'数据-取费表'!B49</f>
        <v>3.0499999999999999E-2</v>
      </c>
      <c r="E95" s="26" t="s">
        <v>449</v>
      </c>
      <c r="F95" s="400"/>
      <c r="G95" s="401" t="s">
        <v>2432</v>
      </c>
      <c r="H95" s="996" t="str">
        <f>IF(G95="个人买卖住房","免征印花税"," ")</f>
        <v xml:space="preserve"> </v>
      </c>
      <c r="I95" s="1313"/>
      <c r="J95" s="2037"/>
      <c r="K95" s="2032"/>
      <c r="L95" s="2032"/>
      <c r="M95" s="2032"/>
      <c r="N95" s="2032"/>
      <c r="O95" s="2032"/>
      <c r="P95" s="2032"/>
      <c r="Q95" s="2032"/>
      <c r="R95" s="2032"/>
      <c r="S95" s="2032"/>
      <c r="T95" s="2032"/>
      <c r="U95" s="2032"/>
      <c r="V95" s="2032"/>
      <c r="W95" s="2036"/>
      <c r="X95" s="2036"/>
      <c r="Y95" s="2036"/>
      <c r="Z95" s="2036"/>
    </row>
    <row r="96" spans="1:26" s="1311" customFormat="1" ht="24.75" customHeight="1">
      <c r="A96" s="392" t="s">
        <v>1835</v>
      </c>
      <c r="B96" s="373" t="s">
        <v>450</v>
      </c>
      <c r="C96" s="402">
        <f ca="1">ROUND(D63*D96/(1+'数据-取费表'!C42),0)</f>
        <v>590</v>
      </c>
      <c r="D96" s="403">
        <f>'数据-取费表'!B43</f>
        <v>5.000000000000001E-3</v>
      </c>
      <c r="E96" s="3389" t="s">
        <v>2431</v>
      </c>
      <c r="F96" s="3390"/>
      <c r="G96" s="3390"/>
      <c r="H96" s="3391"/>
      <c r="I96" s="1314"/>
      <c r="J96" s="2038"/>
      <c r="K96" s="2032"/>
      <c r="L96" s="2032"/>
      <c r="M96" s="2032"/>
      <c r="N96" s="2032"/>
      <c r="O96" s="2032"/>
      <c r="P96" s="2032"/>
      <c r="Q96" s="2032"/>
      <c r="R96" s="2032"/>
      <c r="S96" s="2032"/>
      <c r="T96" s="2032"/>
      <c r="U96" s="2032"/>
      <c r="V96" s="2032"/>
      <c r="W96" s="2036"/>
      <c r="X96" s="2036"/>
      <c r="Y96" s="2036"/>
      <c r="Z96" s="2036"/>
    </row>
    <row r="97" spans="1:26" s="1311" customFormat="1" ht="14.25">
      <c r="A97" s="1615" t="s">
        <v>1836</v>
      </c>
      <c r="B97" s="379" t="s">
        <v>451</v>
      </c>
      <c r="C97" s="382">
        <f ca="1">C90-C91</f>
        <v>114776</v>
      </c>
      <c r="D97" s="375" t="s">
        <v>19</v>
      </c>
      <c r="E97" s="988"/>
      <c r="F97" s="987"/>
      <c r="G97" s="987"/>
      <c r="H97" s="391"/>
      <c r="I97" s="1313"/>
      <c r="J97" s="2037"/>
      <c r="K97" s="2032"/>
      <c r="L97" s="2032"/>
      <c r="M97" s="2032"/>
      <c r="N97" s="2032"/>
      <c r="O97" s="2032"/>
      <c r="P97" s="2032"/>
      <c r="Q97" s="2032"/>
      <c r="R97" s="2032"/>
      <c r="S97" s="2032"/>
      <c r="T97" s="2032"/>
      <c r="U97" s="2032"/>
      <c r="V97" s="2032"/>
      <c r="W97" s="2036"/>
      <c r="X97" s="2036"/>
      <c r="Y97" s="2036"/>
      <c r="Z97" s="2036"/>
    </row>
    <row r="98" spans="1:26" s="1311" customFormat="1" ht="24">
      <c r="A98" s="1615" t="s">
        <v>1837</v>
      </c>
      <c r="B98" s="379" t="s">
        <v>452</v>
      </c>
      <c r="C98" s="404">
        <f ca="1">IF(C97&lt;=0,0,C97/C91)</f>
        <v>36.425261821643922</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7"/>
      <c r="K98" s="2032"/>
      <c r="L98" s="2032"/>
      <c r="M98" s="2032"/>
      <c r="N98" s="2032"/>
      <c r="O98" s="2032"/>
      <c r="P98" s="2032"/>
      <c r="Q98" s="2032"/>
      <c r="R98" s="2032"/>
      <c r="S98" s="2032"/>
      <c r="T98" s="2032"/>
      <c r="U98" s="2032"/>
      <c r="V98" s="2032"/>
      <c r="W98" s="2036"/>
      <c r="X98" s="2036"/>
      <c r="Y98" s="2036"/>
      <c r="Z98" s="2036"/>
    </row>
    <row r="99" spans="1:26" s="1311" customFormat="1" ht="24.75" thickBot="1">
      <c r="A99" s="1616" t="s">
        <v>1838</v>
      </c>
      <c r="B99" s="384" t="s">
        <v>453</v>
      </c>
      <c r="C99" s="405">
        <f ca="1">ROUND(IF(C97&lt;=0,0,IF(C98&gt;=200%,C97*60%-C91*35%,IF(C98&gt;=100%,C97*50%-C91*15%,IF(C98&gt;=50%,C97*40%-C91*5%,IF(C98&lt;50%,C97*30%,0))))),0)</f>
        <v>67763</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7"/>
      <c r="K99" s="2032"/>
      <c r="L99" s="2032"/>
      <c r="M99" s="2032"/>
      <c r="N99" s="2032"/>
      <c r="O99" s="2032"/>
      <c r="P99" s="2032"/>
      <c r="Q99" s="2032"/>
      <c r="R99" s="2032"/>
      <c r="S99" s="2032"/>
      <c r="T99" s="2032"/>
      <c r="U99" s="2032"/>
      <c r="V99" s="2032"/>
      <c r="W99" s="2036"/>
      <c r="X99" s="2036"/>
      <c r="Y99" s="2036"/>
      <c r="Z99" s="2036"/>
    </row>
    <row r="100" spans="1:26" s="1311" customFormat="1" ht="7.5" customHeight="1">
      <c r="A100" s="1315"/>
      <c r="B100" s="1316"/>
      <c r="C100" s="11"/>
      <c r="D100" s="11"/>
      <c r="E100" s="1316"/>
      <c r="F100" s="1316"/>
      <c r="G100" s="1316"/>
      <c r="H100" s="1317"/>
      <c r="I100" s="1314"/>
      <c r="J100" s="2038"/>
      <c r="K100" s="2032"/>
      <c r="L100" s="2032"/>
      <c r="M100" s="2032"/>
      <c r="N100" s="2032"/>
      <c r="O100" s="2032"/>
      <c r="P100" s="2032"/>
      <c r="Q100" s="2032"/>
      <c r="R100" s="2032"/>
      <c r="S100" s="2032"/>
      <c r="T100" s="2032"/>
      <c r="U100" s="2032"/>
      <c r="V100" s="2032"/>
      <c r="W100" s="2036"/>
      <c r="X100" s="2036"/>
      <c r="Y100" s="2036"/>
      <c r="Z100" s="2036"/>
    </row>
    <row r="101" spans="1:26" s="1311" customFormat="1" ht="15" thickBot="1">
      <c r="A101" s="3400" t="s">
        <v>454</v>
      </c>
      <c r="B101" s="3401"/>
      <c r="C101" s="3401"/>
      <c r="D101" s="3401"/>
      <c r="E101" s="3401"/>
      <c r="F101" s="3401"/>
      <c r="G101" s="3401"/>
      <c r="H101" s="3401"/>
      <c r="I101" s="11"/>
      <c r="J101" s="2032"/>
      <c r="K101" s="2032"/>
      <c r="L101" s="2032"/>
      <c r="M101" s="2032"/>
      <c r="N101" s="2032"/>
      <c r="O101" s="2032"/>
      <c r="P101" s="2032"/>
      <c r="Q101" s="2032"/>
      <c r="R101" s="2032"/>
      <c r="S101" s="2032"/>
      <c r="T101" s="2032"/>
      <c r="U101" s="2032"/>
      <c r="V101" s="2032"/>
      <c r="W101" s="2036"/>
      <c r="X101" s="2036"/>
      <c r="Y101" s="2036"/>
      <c r="Z101" s="2036"/>
    </row>
    <row r="102" spans="1:26" s="1311" customFormat="1" ht="14.25">
      <c r="A102" s="3398" t="s">
        <v>428</v>
      </c>
      <c r="B102" s="3399"/>
      <c r="C102" s="991"/>
      <c r="D102" s="991" t="s">
        <v>429</v>
      </c>
      <c r="E102" s="388" t="s">
        <v>438</v>
      </c>
      <c r="F102" s="389"/>
      <c r="G102" s="389"/>
      <c r="H102" s="410"/>
      <c r="I102" s="11"/>
      <c r="J102" s="2032"/>
      <c r="K102" s="2032"/>
      <c r="L102" s="2032"/>
      <c r="M102" s="2032"/>
      <c r="N102" s="2032"/>
      <c r="O102" s="2032"/>
      <c r="P102" s="2032"/>
      <c r="Q102" s="2032"/>
      <c r="R102" s="2032"/>
      <c r="S102" s="2032"/>
      <c r="T102" s="2032"/>
      <c r="U102" s="2032"/>
      <c r="V102" s="2032"/>
      <c r="W102" s="2036"/>
      <c r="X102" s="2036"/>
      <c r="Y102" s="2036"/>
      <c r="Z102" s="2036"/>
    </row>
    <row r="103" spans="1:26" s="1311" customFormat="1" ht="14.25">
      <c r="A103" s="378" t="s">
        <v>1824</v>
      </c>
      <c r="B103" s="379" t="s">
        <v>439</v>
      </c>
      <c r="C103" s="382">
        <f ca="1">ROUND(D63/(1+'数据-取费表'!C42),0)</f>
        <v>117927</v>
      </c>
      <c r="D103" s="375" t="s">
        <v>19</v>
      </c>
      <c r="E103" s="988"/>
      <c r="F103" s="987"/>
      <c r="G103" s="987"/>
      <c r="H103" s="411"/>
      <c r="I103" s="11"/>
      <c r="J103" s="2032"/>
      <c r="K103" s="2032"/>
      <c r="L103" s="2032"/>
      <c r="M103" s="2032"/>
      <c r="N103" s="2032"/>
      <c r="O103" s="2032"/>
      <c r="P103" s="2032"/>
      <c r="Q103" s="2032"/>
      <c r="R103" s="2032"/>
      <c r="S103" s="2032"/>
      <c r="T103" s="2032"/>
      <c r="U103" s="2032"/>
      <c r="V103" s="2032"/>
      <c r="W103" s="2036"/>
      <c r="X103" s="2036"/>
      <c r="Y103" s="2036"/>
      <c r="Z103" s="2036"/>
    </row>
    <row r="104" spans="1:26" s="1311" customFormat="1" ht="14.25">
      <c r="A104" s="378" t="s">
        <v>1830</v>
      </c>
      <c r="B104" s="345" t="s">
        <v>440</v>
      </c>
      <c r="C104" s="382">
        <f ca="1">IF(H106="仅含出让金",C105+C108+C109+C110+C111+C112,C105+C109+C110+C111+C112)</f>
        <v>1280</v>
      </c>
      <c r="D104" s="412"/>
      <c r="E104" s="988"/>
      <c r="F104" s="987"/>
      <c r="G104" s="987"/>
      <c r="H104" s="411"/>
      <c r="I104" s="11"/>
      <c r="J104" s="2032"/>
      <c r="K104" s="2032"/>
      <c r="L104" s="2032"/>
      <c r="M104" s="2032"/>
      <c r="N104" s="2032"/>
      <c r="O104" s="2032"/>
      <c r="P104" s="2032"/>
      <c r="Q104" s="2032"/>
      <c r="R104" s="2032"/>
      <c r="S104" s="2032"/>
      <c r="T104" s="2032"/>
      <c r="U104" s="2032"/>
      <c r="V104" s="2032"/>
      <c r="W104" s="2036"/>
      <c r="X104" s="2036"/>
      <c r="Y104" s="2036"/>
      <c r="Z104" s="2036"/>
    </row>
    <row r="105" spans="1:26" s="1311" customFormat="1" ht="14.25">
      <c r="A105" s="392" t="s">
        <v>1831</v>
      </c>
      <c r="B105" s="373" t="s">
        <v>455</v>
      </c>
      <c r="C105" s="402">
        <f>C106+C107</f>
        <v>572</v>
      </c>
      <c r="D105" s="403"/>
      <c r="E105" s="982"/>
      <c r="F105" s="983"/>
      <c r="G105" s="983"/>
      <c r="H105" s="984"/>
      <c r="I105" s="11"/>
      <c r="J105" s="2032"/>
      <c r="K105" s="2032"/>
      <c r="L105" s="2032"/>
      <c r="M105" s="2032"/>
      <c r="N105" s="2032"/>
      <c r="O105" s="2032"/>
      <c r="P105" s="2032"/>
      <c r="Q105" s="2032"/>
      <c r="R105" s="2032"/>
      <c r="S105" s="2032"/>
      <c r="T105" s="2032"/>
      <c r="U105" s="2032"/>
      <c r="V105" s="2032"/>
      <c r="W105" s="2036"/>
      <c r="X105" s="2036"/>
      <c r="Y105" s="2036"/>
      <c r="Z105" s="2036"/>
    </row>
    <row r="106" spans="1:26" s="1311" customFormat="1" ht="14.25">
      <c r="A106" s="392" t="s">
        <v>1832</v>
      </c>
      <c r="B106" s="373" t="s">
        <v>456</v>
      </c>
      <c r="C106" s="413">
        <v>555</v>
      </c>
      <c r="D106" s="403"/>
      <c r="E106" s="414" t="s">
        <v>457</v>
      </c>
      <c r="F106" s="983"/>
      <c r="G106" s="415" t="s">
        <v>458</v>
      </c>
      <c r="H106" s="416" t="s">
        <v>2442</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1" customFormat="1" ht="14.25">
      <c r="A107" s="392" t="s">
        <v>1833</v>
      </c>
      <c r="B107" s="373" t="s">
        <v>448</v>
      </c>
      <c r="C107" s="402">
        <f>ROUND(C106*D107,0)</f>
        <v>17</v>
      </c>
      <c r="D107" s="403">
        <f>'数据-取费表'!B48+'数据-取费表'!B49</f>
        <v>3.0499999999999999E-2</v>
      </c>
      <c r="E107" s="414" t="s">
        <v>459</v>
      </c>
      <c r="F107" s="983"/>
      <c r="G107" s="983"/>
      <c r="H107" s="984"/>
      <c r="I107" s="11"/>
      <c r="J107" s="2032"/>
      <c r="K107" s="2032"/>
      <c r="L107" s="2032"/>
      <c r="M107" s="2032"/>
      <c r="N107" s="2032"/>
      <c r="O107" s="2032"/>
      <c r="P107" s="2032"/>
      <c r="Q107" s="2032"/>
      <c r="R107" s="2032"/>
      <c r="S107" s="2032"/>
      <c r="T107" s="2032"/>
      <c r="U107" s="2032"/>
      <c r="V107" s="2032"/>
      <c r="W107" s="2036"/>
      <c r="X107" s="2036"/>
      <c r="Y107" s="2036"/>
      <c r="Z107" s="2036"/>
    </row>
    <row r="108" spans="1:26" s="1311" customFormat="1" ht="14.25">
      <c r="A108" s="392" t="s">
        <v>1835</v>
      </c>
      <c r="B108" s="373" t="s">
        <v>460</v>
      </c>
      <c r="C108" s="413"/>
      <c r="D108" s="403"/>
      <c r="E108" s="414" t="str">
        <f>IF(H106="-","土地取得成本中已包含该笔费用"," ")</f>
        <v xml:space="preserve"> </v>
      </c>
      <c r="F108" s="983"/>
      <c r="G108" s="983"/>
      <c r="H108" s="984"/>
      <c r="I108" s="11"/>
      <c r="J108" s="2032"/>
      <c r="K108" s="2032"/>
      <c r="L108" s="2032"/>
      <c r="M108" s="2032"/>
      <c r="N108" s="2032"/>
      <c r="O108" s="2032"/>
      <c r="P108" s="2032"/>
      <c r="Q108" s="2032"/>
      <c r="R108" s="2032"/>
      <c r="S108" s="2032"/>
      <c r="T108" s="2032"/>
      <c r="U108" s="2032"/>
      <c r="V108" s="2032"/>
      <c r="W108" s="2036"/>
      <c r="X108" s="2036"/>
      <c r="Y108" s="2036"/>
      <c r="Z108" s="2036"/>
    </row>
    <row r="109" spans="1:26" s="1311" customFormat="1" ht="24" customHeight="1">
      <c r="A109" s="1617" t="s">
        <v>1839</v>
      </c>
      <c r="B109" s="373" t="s">
        <v>461</v>
      </c>
      <c r="C109" s="402">
        <f>IF(H109="——",IF(F1="现房",'剩余法-现房'!C18,'剩余法-待开发'!C18),I109)</f>
        <v>55</v>
      </c>
      <c r="D109" s="403"/>
      <c r="E109" s="3392" t="s">
        <v>462</v>
      </c>
      <c r="F109" s="3390"/>
      <c r="G109" s="3390"/>
      <c r="H109" s="1940" t="s">
        <v>2282</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1" customFormat="1" ht="25.5" customHeight="1">
      <c r="A110" s="1617" t="s">
        <v>1840</v>
      </c>
      <c r="B110" s="373" t="s">
        <v>463</v>
      </c>
      <c r="C110" s="402">
        <f>ROUND((C105+C108+C109)*D110,0)</f>
        <v>63</v>
      </c>
      <c r="D110" s="403">
        <v>0.1</v>
      </c>
      <c r="E110" s="3392" t="s">
        <v>464</v>
      </c>
      <c r="F110" s="3390"/>
      <c r="G110" s="3390"/>
      <c r="H110" s="3391"/>
      <c r="I110" s="11"/>
      <c r="J110" s="2032"/>
      <c r="K110" s="2032"/>
      <c r="L110" s="2032"/>
      <c r="M110" s="2032"/>
      <c r="N110" s="2032"/>
      <c r="O110" s="2032"/>
      <c r="P110" s="2032"/>
      <c r="Q110" s="2032"/>
      <c r="R110" s="2032"/>
      <c r="S110" s="2032"/>
      <c r="T110" s="2032"/>
      <c r="U110" s="2032"/>
      <c r="V110" s="2032"/>
      <c r="W110" s="2036"/>
      <c r="X110" s="2036"/>
      <c r="Y110" s="2036"/>
      <c r="Z110" s="2036"/>
    </row>
    <row r="111" spans="1:26" s="1311" customFormat="1" ht="25.5" customHeight="1">
      <c r="A111" s="1617" t="s">
        <v>1841</v>
      </c>
      <c r="B111" s="373" t="s">
        <v>450</v>
      </c>
      <c r="C111" s="402">
        <f ca="1">ROUND(D63*D111/(1+'数据-取费表'!C42),0)</f>
        <v>590</v>
      </c>
      <c r="D111" s="403">
        <f>'数据-取费表'!B43</f>
        <v>5.000000000000001E-3</v>
      </c>
      <c r="E111" s="3389" t="s">
        <v>2431</v>
      </c>
      <c r="F111" s="3390"/>
      <c r="G111" s="3390"/>
      <c r="H111" s="3391"/>
      <c r="I111" s="11"/>
      <c r="J111" s="2032"/>
      <c r="K111" s="2032"/>
      <c r="L111" s="2032"/>
      <c r="M111" s="2032"/>
      <c r="N111" s="2032"/>
      <c r="O111" s="2032"/>
      <c r="P111" s="2032"/>
      <c r="Q111" s="2032"/>
      <c r="R111" s="2032"/>
      <c r="S111" s="2032"/>
      <c r="T111" s="2032"/>
      <c r="U111" s="2032"/>
      <c r="V111" s="2032"/>
      <c r="W111" s="2036"/>
      <c r="X111" s="2036"/>
      <c r="Y111" s="2036"/>
      <c r="Z111" s="2036"/>
    </row>
    <row r="112" spans="1:26" s="1311" customFormat="1" ht="25.5" customHeight="1">
      <c r="A112" s="1617" t="s">
        <v>1842</v>
      </c>
      <c r="B112" s="373" t="s">
        <v>465</v>
      </c>
      <c r="C112" s="402">
        <f>ROUND(C108*D112,0)</f>
        <v>0</v>
      </c>
      <c r="D112" s="403">
        <v>0.2</v>
      </c>
      <c r="E112" s="3392" t="s">
        <v>2456</v>
      </c>
      <c r="F112" s="3390"/>
      <c r="G112" s="3390"/>
      <c r="H112" s="3391"/>
      <c r="I112" s="11"/>
      <c r="J112" s="2032"/>
      <c r="K112" s="2032"/>
      <c r="L112" s="2032"/>
      <c r="M112" s="2032"/>
      <c r="N112" s="2032"/>
      <c r="O112" s="2032"/>
      <c r="P112" s="2032"/>
      <c r="Q112" s="2032"/>
      <c r="R112" s="2032"/>
      <c r="S112" s="2032"/>
      <c r="T112" s="2032"/>
      <c r="U112" s="2032"/>
      <c r="V112" s="2032"/>
      <c r="W112" s="2036"/>
      <c r="X112" s="2036"/>
      <c r="Y112" s="2036"/>
      <c r="Z112" s="2036"/>
    </row>
    <row r="113" spans="1:26" s="1311" customFormat="1" ht="14.25">
      <c r="A113" s="1615" t="s">
        <v>1836</v>
      </c>
      <c r="B113" s="379" t="s">
        <v>451</v>
      </c>
      <c r="C113" s="382">
        <f ca="1">ROUND(C103-C104,0)</f>
        <v>116647</v>
      </c>
      <c r="D113" s="375" t="s">
        <v>19</v>
      </c>
      <c r="E113" s="988"/>
      <c r="F113" s="987"/>
      <c r="G113" s="987"/>
      <c r="H113" s="411"/>
      <c r="I113" s="11"/>
      <c r="J113" s="2032"/>
      <c r="K113" s="2032"/>
      <c r="L113" s="2032"/>
      <c r="M113" s="2032"/>
      <c r="N113" s="2032"/>
      <c r="O113" s="2032"/>
      <c r="P113" s="2032"/>
      <c r="Q113" s="2032"/>
      <c r="R113" s="2032"/>
      <c r="S113" s="2032"/>
      <c r="T113" s="2032"/>
      <c r="U113" s="2032"/>
      <c r="V113" s="2032"/>
      <c r="W113" s="2036"/>
      <c r="X113" s="2036"/>
      <c r="Y113" s="2036"/>
      <c r="Z113" s="2036"/>
    </row>
    <row r="114" spans="1:26" s="1311" customFormat="1" ht="24">
      <c r="A114" s="1615" t="s">
        <v>1837</v>
      </c>
      <c r="B114" s="379" t="s">
        <v>452</v>
      </c>
      <c r="C114" s="404">
        <f ca="1">IF(C113&lt;=0,0,C113/C104)</f>
        <v>91.130468750000006</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2"/>
      <c r="K114" s="2032"/>
      <c r="L114" s="2032"/>
      <c r="M114" s="2032"/>
      <c r="N114" s="2032"/>
      <c r="O114" s="2032"/>
      <c r="P114" s="2032"/>
      <c r="Q114" s="2032"/>
      <c r="R114" s="2032"/>
      <c r="S114" s="2032"/>
      <c r="T114" s="2032"/>
      <c r="U114" s="2032"/>
      <c r="V114" s="2032"/>
      <c r="W114" s="2036"/>
      <c r="X114" s="2036"/>
      <c r="Y114" s="2036"/>
      <c r="Z114" s="2036"/>
    </row>
    <row r="115" spans="1:26" s="1311" customFormat="1" ht="24.75" thickBot="1">
      <c r="A115" s="1616" t="s">
        <v>1838</v>
      </c>
      <c r="B115" s="384" t="s">
        <v>453</v>
      </c>
      <c r="C115" s="405">
        <f ca="1">ROUND(IF(C113&lt;=0,0,IF(C114&gt;=200%,C113*60%-C104*35%,IF(C114&gt;=100%,C113*50%-C104*15%,IF(C114&gt;=50%,C113*40%-C104*5%,IF(C114&lt;50%,C113*30%,0))))),0)</f>
        <v>69540</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60" t="str">
        <f>项目基本情况!B1</f>
        <v>北京市出让国有建设用地使用权市场价格预评估</v>
      </c>
      <c r="C37" s="3260"/>
      <c r="D37" s="3260"/>
      <c r="E37" s="3260"/>
      <c r="F37" s="3260"/>
      <c r="G37" s="3260"/>
      <c r="H37" s="3260"/>
      <c r="I37" s="3260"/>
    </row>
    <row r="38" spans="1:9">
      <c r="A38" s="1654"/>
      <c r="B38" s="1654"/>
    </row>
    <row r="39" spans="1:9">
      <c r="A39" s="1652" t="s">
        <v>1902</v>
      </c>
      <c r="B39" s="1652" t="s">
        <v>2049</v>
      </c>
    </row>
    <row r="40" spans="1:9">
      <c r="A40" s="1652"/>
      <c r="B40" s="1652">
        <f>项目基本情况!B5</f>
        <v>0</v>
      </c>
    </row>
    <row r="41" spans="1:9">
      <c r="A41" s="1652"/>
      <c r="B41" s="1652"/>
    </row>
    <row r="42" spans="1:9">
      <c r="A42" s="1652" t="s">
        <v>1902</v>
      </c>
      <c r="B42" s="1652" t="s">
        <v>2050</v>
      </c>
    </row>
    <row r="43" spans="1:9">
      <c r="A43" s="1652"/>
      <c r="B43" s="1652" t="s">
        <v>1904</v>
      </c>
    </row>
    <row r="44" spans="1:9">
      <c r="A44" s="1652"/>
      <c r="B44" s="1652"/>
    </row>
    <row r="45" spans="1:9">
      <c r="A45" s="1652" t="s">
        <v>1902</v>
      </c>
      <c r="B45" s="1652" t="s">
        <v>2048</v>
      </c>
    </row>
    <row r="46" spans="1:9" s="1652" customFormat="1" ht="12.75">
      <c r="B46" s="1652" t="str">
        <f>项目基本情况!K4</f>
        <v>叶凌、杨红英</v>
      </c>
    </row>
    <row r="47" spans="1:9">
      <c r="A47" s="1652"/>
      <c r="B47" s="1652"/>
    </row>
    <row r="48" spans="1:9">
      <c r="A48" s="1652" t="s">
        <v>1902</v>
      </c>
      <c r="B48" s="1652" t="s">
        <v>2051</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90" zoomScaleNormal="90" workbookViewId="0">
      <selection activeCell="E22" sqref="E22"/>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100595</v>
      </c>
      <c r="E1" s="1404" t="s">
        <v>2430</v>
      </c>
      <c r="F1" s="2451">
        <f>'数据-基础表'!E13</f>
        <v>45889.5</v>
      </c>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f ca="1">C26</f>
        <v>86069</v>
      </c>
      <c r="C2" s="1405" t="s">
        <v>921</v>
      </c>
      <c r="D2" s="1406" t="s">
        <v>922</v>
      </c>
      <c r="E2" s="1407" t="s">
        <v>923</v>
      </c>
      <c r="F2" s="1406" t="s">
        <v>924</v>
      </c>
      <c r="G2" s="1650" t="str">
        <f>IF(E2="商业",项目基本情况!B43,IF(E2="办公",项目基本情况!C43,IF(E2="住宅",项目基本情况!D43,项目基本情况!E43)))</f>
        <v>八级</v>
      </c>
      <c r="H2" s="1406" t="s">
        <v>926</v>
      </c>
      <c r="I2" s="1651" t="str">
        <f>IF(E2="商业",项目基本情况!B44,IF(E2="办公",项目基本情况!C44,IF(E2="住宅",项目基本情况!D44,项目基本情况!E44)))</f>
        <v>Ⅷ-亦1</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1.9419999999999999</v>
      </c>
      <c r="T2" s="2934">
        <f ca="1">ROUND($C$5*$C$18*$C$19*$C$20*S2*$C$24,0)</f>
        <v>18513</v>
      </c>
      <c r="U2" s="2923"/>
      <c r="V2" s="2934">
        <f ca="1">ROUND(T2*U2/10000,0)</f>
        <v>0</v>
      </c>
      <c r="W2" s="2188"/>
      <c r="X2" s="2188"/>
      <c r="Y2" s="2188"/>
      <c r="Z2" s="2188"/>
      <c r="AA2" s="2188"/>
      <c r="AB2" s="2188"/>
      <c r="AC2" s="2189"/>
    </row>
    <row r="3" spans="1:39" ht="24">
      <c r="A3" s="1409" t="s">
        <v>1688</v>
      </c>
      <c r="B3" s="1035">
        <f ca="1">ROUND(B2*10000/D1,0)</f>
        <v>8556</v>
      </c>
      <c r="C3" s="1405" t="s">
        <v>927</v>
      </c>
      <c r="D3" s="1406" t="s">
        <v>928</v>
      </c>
      <c r="E3" s="1410" t="s">
        <v>3010</v>
      </c>
      <c r="F3" s="1411" t="s">
        <v>3032</v>
      </c>
      <c r="G3" s="1036">
        <f>IF(F3="宗地容积率",'数据-汇总表'!I4,IF(F3="估价对象容积率",'数据-汇总表'!I6,'数据-汇总表'!I7))</f>
        <v>2.2000000000000002</v>
      </c>
      <c r="H3" s="1412" t="s">
        <v>929</v>
      </c>
      <c r="I3" s="1037">
        <v>0</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1.2799</v>
      </c>
      <c r="T3" s="2934">
        <f t="shared" ref="T3:T16" ca="1" si="0">ROUND($C$5*$C$18*$C$19*$C$20*S3*$C$24,0)</f>
        <v>12201</v>
      </c>
      <c r="U3" s="2923"/>
      <c r="V3" s="2934">
        <f t="shared" ref="V3:V16" ca="1" si="1">ROUND(T3*U3/10000,0)</f>
        <v>0</v>
      </c>
      <c r="W3" s="2188"/>
      <c r="X3" s="2188"/>
      <c r="Y3" s="2188"/>
      <c r="Z3" s="2188"/>
      <c r="AA3" s="2188"/>
      <c r="AB3" s="2188"/>
      <c r="AC3" s="2189"/>
    </row>
    <row r="4" spans="1:39" ht="28.5">
      <c r="A4" s="1890" t="s">
        <v>2283</v>
      </c>
      <c r="B4" s="2452">
        <f ca="1">ROUND(B2*10000/F1,0)</f>
        <v>18756</v>
      </c>
      <c r="C4" s="1893" t="s">
        <v>2257</v>
      </c>
      <c r="D4" s="1893">
        <f ca="1">ROUND(B2/(F1/666.67),0)</f>
        <v>1250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1.0072000000000001</v>
      </c>
      <c r="T4" s="2934">
        <f t="shared" ca="1" si="0"/>
        <v>9601</v>
      </c>
      <c r="U4" s="2923"/>
      <c r="V4" s="2934">
        <f t="shared" ca="1" si="1"/>
        <v>0</v>
      </c>
      <c r="W4" s="2188"/>
      <c r="X4" s="2188"/>
      <c r="Y4" s="2188"/>
      <c r="Z4" s="2188"/>
      <c r="AA4" s="2188"/>
      <c r="AB4" s="2188"/>
      <c r="AC4" s="2189"/>
    </row>
    <row r="5" spans="1:39" s="1419" customFormat="1" ht="15.75" thickBot="1">
      <c r="A5" s="1636" t="s">
        <v>1824</v>
      </c>
      <c r="B5" s="1413" t="s">
        <v>931</v>
      </c>
      <c r="C5" s="1038">
        <f>ROUND(IF(E2="商业",IF(F16="增加",C6*C7+C16,C6*C7-C16),IF(E2="住宅",IF(F16="增加",C6*C12+C16,C6*C12-C16),IF(F16="增加",C6+C16,C6-C16))),0)</f>
        <v>5823</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0.75249999999999995</v>
      </c>
      <c r="T5" s="2934">
        <f t="shared" ca="1" si="0"/>
        <v>7173</v>
      </c>
      <c r="U5" s="2923"/>
      <c r="V5" s="2934">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SUMIF(L1:L12,'基准地价-住宅'!G2,M1:M12)</f>
        <v>5810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0.56589999999999996</v>
      </c>
      <c r="T6" s="2934">
        <f t="shared" ca="1" si="0"/>
        <v>5395</v>
      </c>
      <c r="U6" s="2923"/>
      <c r="V6" s="2934">
        <f t="shared" ca="1" si="1"/>
        <v>0</v>
      </c>
      <c r="W6" s="2188"/>
      <c r="X6" s="2188"/>
      <c r="Y6" s="2188"/>
      <c r="Z6" s="2188"/>
      <c r="AA6" s="2188"/>
      <c r="AB6" s="2188"/>
      <c r="AC6" s="2190"/>
      <c r="AD6" s="1417"/>
      <c r="AE6" s="1417"/>
      <c r="AF6" s="1417"/>
      <c r="AG6" s="1417"/>
      <c r="AH6" s="1417"/>
      <c r="AI6" s="1417"/>
      <c r="AJ6" s="1418"/>
    </row>
    <row r="7" spans="1:39" ht="24">
      <c r="A7" s="3445" t="str">
        <f>IF(E2="商业",IF(C8="不临58条商业街","",2),"")</f>
        <v/>
      </c>
      <c r="B7" s="1425" t="s">
        <v>932</v>
      </c>
      <c r="C7" s="1040">
        <f>IF(C8="不临58条商业街",1,ROUND(1+(1.6*E8+1.2*E9+0.8*E10+0.4*E11)*C9,4))</f>
        <v>1</v>
      </c>
      <c r="D7" s="1426" t="s">
        <v>933</v>
      </c>
      <c r="E7" s="1041">
        <v>6</v>
      </c>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0.45250000000000001</v>
      </c>
      <c r="T7" s="2934">
        <f t="shared" ca="1" si="0"/>
        <v>4314</v>
      </c>
      <c r="U7" s="2923"/>
      <c r="V7" s="2934">
        <f t="shared" ca="1" si="1"/>
        <v>0</v>
      </c>
      <c r="W7" s="3178" t="s">
        <v>2768</v>
      </c>
      <c r="X7" s="2924" t="str">
        <f>G2</f>
        <v>八级</v>
      </c>
      <c r="Y7" s="2924" t="s">
        <v>2769</v>
      </c>
      <c r="Z7" s="2925">
        <f>G3</f>
        <v>2.2000000000000002</v>
      </c>
      <c r="AA7" s="2191"/>
      <c r="AB7" s="2191"/>
      <c r="AC7" s="2192"/>
      <c r="AD7" s="2926"/>
      <c r="AE7" s="2926"/>
      <c r="AF7" s="2926"/>
      <c r="AG7" s="2926"/>
      <c r="AH7" s="2926"/>
      <c r="AI7" s="2926"/>
      <c r="AJ7" s="2927"/>
    </row>
    <row r="8" spans="1:39" ht="25.5">
      <c r="A8" s="3446"/>
      <c r="B8" s="1412" t="s">
        <v>934</v>
      </c>
      <c r="C8" s="1527" t="s">
        <v>3006</v>
      </c>
      <c r="D8" s="1042" t="s">
        <v>935</v>
      </c>
      <c r="E8" s="1043">
        <f>ROUND(C11/E7,4)</f>
        <v>0</v>
      </c>
      <c r="F8" s="1430" t="s">
        <v>936</v>
      </c>
      <c r="G8" s="1431"/>
      <c r="H8" s="1431"/>
      <c r="I8" s="1431"/>
      <c r="J8" s="1432"/>
      <c r="K8" s="1399"/>
      <c r="L8" s="1884" t="s">
        <v>2248</v>
      </c>
      <c r="M8" s="1885">
        <f>SUMPRODUCT((区片价!B206:B244=I2)*(区片价!C3:F3=E2)*(区片价!C206:F244))</f>
        <v>5810</v>
      </c>
      <c r="N8" s="1886">
        <f>SUMPRODUCT((因素修正幅度!B206:B244=I2)*(因素修正幅度!C3:F3=E2)*(因素修正幅度!C206:F244))</f>
        <v>0.14499999999999999</v>
      </c>
      <c r="O8" s="2188"/>
      <c r="P8" s="2188"/>
      <c r="Q8" s="2188"/>
      <c r="R8" s="2934">
        <v>7</v>
      </c>
      <c r="S8" s="2923"/>
      <c r="T8" s="2934">
        <f t="shared" ca="1" si="0"/>
        <v>0</v>
      </c>
      <c r="U8" s="2923"/>
      <c r="V8" s="2934">
        <f t="shared" ca="1" si="1"/>
        <v>0</v>
      </c>
      <c r="W8" s="3447" t="s">
        <v>2786</v>
      </c>
      <c r="X8" s="3448"/>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6"/>
      <c r="B9" s="1412" t="s">
        <v>937</v>
      </c>
      <c r="C9" s="1044">
        <f>SUMIF(修正!C59:C119,C8,修正!E59:E119)</f>
        <v>0</v>
      </c>
      <c r="D9" s="1045" t="s">
        <v>938</v>
      </c>
      <c r="E9" s="1045">
        <f>ROUND(C11/E7,4)</f>
        <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f t="shared" ca="1" si="0"/>
        <v>0</v>
      </c>
      <c r="U9" s="2923"/>
      <c r="V9" s="2934">
        <f t="shared" ca="1" si="1"/>
        <v>0</v>
      </c>
      <c r="W9" s="3449"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6"/>
      <c r="B10" s="1412" t="s">
        <v>940</v>
      </c>
      <c r="C10" s="1045">
        <f>SUMIF(修正!C59:C119,C8,修正!F59:F119)</f>
        <v>0</v>
      </c>
      <c r="D10" s="1045" t="s">
        <v>941</v>
      </c>
      <c r="E10" s="1045">
        <f>ROUND(C11/E7,4)</f>
        <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f t="shared" ca="1" si="0"/>
        <v>0</v>
      </c>
      <c r="U10" s="2923"/>
      <c r="V10" s="2934">
        <f t="shared" ca="1" si="1"/>
        <v>0</v>
      </c>
      <c r="W10" s="3449"/>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thickBot="1">
      <c r="A11" s="3446"/>
      <c r="B11" s="1433" t="s">
        <v>943</v>
      </c>
      <c r="C11" s="1046">
        <f>C10/4</f>
        <v>0</v>
      </c>
      <c r="D11" s="1046" t="s">
        <v>944</v>
      </c>
      <c r="E11" s="1046">
        <f>ROUND(C11/E7,4)</f>
        <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f t="shared" ca="1" si="0"/>
        <v>0</v>
      </c>
      <c r="U11" s="2923"/>
      <c r="V11" s="2934">
        <f t="shared" ca="1" si="1"/>
        <v>0</v>
      </c>
      <c r="W11" s="3449"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5"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f t="shared" ca="1" si="0"/>
        <v>0</v>
      </c>
      <c r="U12" s="2923"/>
      <c r="V12" s="2934">
        <f t="shared" ca="1" si="1"/>
        <v>0</v>
      </c>
      <c r="W12" s="3449"/>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0"/>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f t="shared" ca="1" si="0"/>
        <v>0</v>
      </c>
      <c r="U13" s="2923"/>
      <c r="V13" s="2934">
        <f t="shared" ca="1" si="1"/>
        <v>0</v>
      </c>
      <c r="W13" s="3449"/>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50"/>
      <c r="B14" s="1449"/>
      <c r="C14" s="1450" t="s">
        <v>3007</v>
      </c>
      <c r="D14" s="1451" t="s">
        <v>3007</v>
      </c>
      <c r="E14" s="1451" t="s">
        <v>3007</v>
      </c>
      <c r="F14" s="1452" t="s">
        <v>3008</v>
      </c>
      <c r="G14" s="1453" t="s">
        <v>949</v>
      </c>
      <c r="H14" s="1454"/>
      <c r="I14" s="1455"/>
      <c r="J14" s="1456"/>
      <c r="K14" s="1399"/>
      <c r="L14" s="2188"/>
      <c r="M14" s="2188"/>
      <c r="N14" s="2188"/>
      <c r="O14" s="2188"/>
      <c r="P14" s="2188"/>
      <c r="Q14" s="2188"/>
      <c r="R14" s="2934">
        <v>13</v>
      </c>
      <c r="S14" s="2923"/>
      <c r="T14" s="2934">
        <f t="shared" ca="1" si="0"/>
        <v>0</v>
      </c>
      <c r="U14" s="2923"/>
      <c r="V14" s="2934">
        <f t="shared" ca="1" si="1"/>
        <v>0</v>
      </c>
      <c r="W14" s="2188"/>
      <c r="X14" s="2188"/>
      <c r="Y14" s="2188"/>
      <c r="Z14" s="2188"/>
      <c r="AA14" s="2188"/>
      <c r="AB14" s="2188"/>
      <c r="AC14" s="2189"/>
    </row>
    <row r="15" spans="1:39" ht="15.75" customHeight="1" thickBot="1">
      <c r="A15" s="3451"/>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f t="shared" ca="1" si="0"/>
        <v>0</v>
      </c>
      <c r="U15" s="2923"/>
      <c r="V15" s="2934">
        <f t="shared" ca="1" si="1"/>
        <v>0</v>
      </c>
      <c r="W15" s="2188"/>
      <c r="X15" s="2188"/>
      <c r="Y15" s="2188"/>
      <c r="Z15" s="2188"/>
      <c r="AA15" s="2188"/>
      <c r="AB15" s="2188"/>
      <c r="AC15" s="2189"/>
    </row>
    <row r="16" spans="1:39" ht="24">
      <c r="A16" s="3445" t="s">
        <v>1839</v>
      </c>
      <c r="B16" s="1425" t="s">
        <v>950</v>
      </c>
      <c r="C16" s="3200">
        <f>ROUND((30-10)/C17,0)</f>
        <v>13</v>
      </c>
      <c r="D16" s="1458" t="s">
        <v>951</v>
      </c>
      <c r="E16" s="3199" t="s">
        <v>3009</v>
      </c>
      <c r="F16" s="1460" t="s">
        <v>3033</v>
      </c>
      <c r="G16" s="1461" t="s">
        <v>3092</v>
      </c>
      <c r="H16" s="1461" t="s">
        <v>3093</v>
      </c>
      <c r="I16" s="1461" t="s">
        <v>3094</v>
      </c>
      <c r="J16" s="1461" t="s">
        <v>3034</v>
      </c>
      <c r="K16" s="1399"/>
      <c r="L16" s="1462" t="s">
        <v>988</v>
      </c>
      <c r="M16" s="1044">
        <v>0.25</v>
      </c>
      <c r="N16" s="1044">
        <v>0.2</v>
      </c>
      <c r="O16" s="1044">
        <v>0.15</v>
      </c>
      <c r="P16" s="1537">
        <v>0.1</v>
      </c>
      <c r="Q16" s="2191"/>
      <c r="R16" s="2934">
        <v>15</v>
      </c>
      <c r="S16" s="2923"/>
      <c r="T16" s="2934">
        <f t="shared" ca="1" si="0"/>
        <v>0</v>
      </c>
      <c r="U16" s="2923"/>
      <c r="V16" s="2934">
        <f t="shared" ca="1" si="1"/>
        <v>0</v>
      </c>
      <c r="W16" s="2191"/>
      <c r="X16" s="2191"/>
      <c r="Y16" s="2191"/>
      <c r="Z16" s="2191"/>
      <c r="AA16" s="2191"/>
      <c r="AB16" s="2191"/>
      <c r="AC16" s="2192"/>
    </row>
    <row r="17" spans="1:40" ht="13.5" thickBot="1">
      <c r="A17" s="3446"/>
      <c r="B17" s="1463" t="s">
        <v>953</v>
      </c>
      <c r="C17" s="1052">
        <f>SUMPRODUCT((修正!A2:A5=E2)*(修正!B1:M1=G2)*(修正!B2:M5))</f>
        <v>1.5</v>
      </c>
      <c r="D17" s="1465" t="s">
        <v>954</v>
      </c>
      <c r="E17" s="1466" t="str">
        <f>IF(OR(G2="八级",G2="九级",G2="十级",G2="十一级",G2="十二级"),"五通一平","七通一平")</f>
        <v>五通一平</v>
      </c>
      <c r="F17" s="1464" t="s">
        <v>955</v>
      </c>
      <c r="G17" s="1052">
        <f>SUMPRODUCT((七通一平=G16)*(修正!B1:M1=G2)*(修正!B6:M14))</f>
        <v>50</v>
      </c>
      <c r="H17" s="1052">
        <f>SUMPRODUCT((七通一平=H16)*(修正!B1:M1=G2)*(修正!B6:M14))</f>
        <v>20</v>
      </c>
      <c r="I17" s="1052">
        <f>SUMPRODUCT((七通一平=I16)*(修正!B1:M1=G2)*(修正!B6:M14))</f>
        <v>25</v>
      </c>
      <c r="J17" s="1053">
        <f>SUMPRODUCT((七通一平=J16)*(修正!B1:M1=G2)*(修正!B6:M14))</f>
        <v>30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1</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f>ROUND(IF(H19="按公示增长率计算",SUMPRODUCT((地价!A3:A27=YEAR(G19)&amp;"-"&amp;ROUNDUP(MONTH(G19)/3,0))*(地价!X2:AB2=E2)*(地价!X3:AB27)),IF(H19="地价指数",M20/M19,(1+I19)^O19)),4)</f>
        <v>1.6563000000000001</v>
      </c>
      <c r="D19" s="1472" t="s">
        <v>958</v>
      </c>
      <c r="E19" s="1055">
        <v>41640</v>
      </c>
      <c r="F19" s="1472" t="s">
        <v>959</v>
      </c>
      <c r="G19" s="1056">
        <f>'数据-取费表'!B2</f>
        <v>43650</v>
      </c>
      <c r="H19" s="1473" t="s">
        <v>3021</v>
      </c>
      <c r="I19" s="2782" t="str">
        <f>IF(H19="季度增幅（自定义）",SUMIF(N21:N24,E2,O21:O24),"")</f>
        <v/>
      </c>
      <c r="J19" s="1469"/>
      <c r="K19" s="1479"/>
      <c r="L19" s="3037" t="s">
        <v>2844</v>
      </c>
      <c r="M19" s="3038">
        <f>ROUND(SUMIF(地价!B2:F2,E2,地价!B27:F27),0)</f>
        <v>423</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f ca="1">ROUND(POWER(1+G20,J20-I20)*(POWER(1+G20,I20)-1)/(POWER(1+G20,J20)-1),4)</f>
        <v>1</v>
      </c>
      <c r="D20" s="2779" t="s">
        <v>973</v>
      </c>
      <c r="E20" s="3093">
        <f ca="1">存贷款利率!I4/100</f>
        <v>4.3499999999999997E-2</v>
      </c>
      <c r="F20" s="2779" t="s">
        <v>974</v>
      </c>
      <c r="G20" s="2780">
        <f ca="1">SUMIF(M15:P15,E2,M17:P17)</f>
        <v>0.05</v>
      </c>
      <c r="H20" s="2779" t="s">
        <v>975</v>
      </c>
      <c r="I20" s="2769">
        <f>SUMIF('数据-取费表'!C6:C15,E2,'数据-取费表'!F6:F15)/COUNTIF('数据-取费表'!C6:C15,E2)</f>
        <v>70</v>
      </c>
      <c r="J20" s="2781">
        <f>IF(E2="住宅",70,IF(E2="商业",40,50))</f>
        <v>70</v>
      </c>
      <c r="K20" s="1479"/>
      <c r="L20" s="3039" t="s">
        <v>2845</v>
      </c>
      <c r="M20" s="3040">
        <f>ROUND(SUMPRODUCT((地价!A4:A27=YEAR(G19)&amp;"-"&amp;ROUNDUP(MONTH(G19)/3,0))*(地价!B2:F2=E2)*(地价!B4:F27)),0)</f>
        <v>679</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3011</v>
      </c>
      <c r="C21" s="1155">
        <f>IF(B21="容积率修正",IF(G3&lt;=10,D22,J22),C23)</f>
        <v>0.89749999999999996</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f>IF(E22=G22,F22,IF(G3&lt;=10,ROUND(F22+(H22-F22)*(G3-E22)/(G22-E22),4),"——"))</f>
        <v>0.89749999999999996</v>
      </c>
      <c r="E22" s="1036">
        <f>ROUNDDOWN(G3,1)</f>
        <v>2.2000000000000002</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0.98839999999999995</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f ca="1">E29+SUM(E33:E39)</f>
        <v>86069</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f ca="1">E30+SUM(I33:I39)</f>
        <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f ca="1">ROUND(C5*C18*C19*C20*C21*C24,0)</f>
        <v>8556</v>
      </c>
      <c r="D29" s="1502">
        <f>结果表汇总!D16</f>
        <v>100595</v>
      </c>
      <c r="E29" s="1848">
        <f ca="1">ROUND(C29*D29/10000,0)</f>
        <v>86069</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f ca="1">ROUND(IF(E2="工业",C29*M39,C29*M38),0)</f>
        <v>2139</v>
      </c>
      <c r="D30" s="1508"/>
      <c r="E30" s="1848">
        <f ca="1">ROUND(C30*D30/10000,0)</f>
        <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5" t="s">
        <v>2966</v>
      </c>
      <c r="B33" s="1522" t="s">
        <v>1000</v>
      </c>
      <c r="C33" s="1060">
        <f ca="1">ROUND(D5*C19*C20*C24*F33,0)</f>
        <v>0</v>
      </c>
      <c r="D33" s="1535"/>
      <c r="E33" s="1045">
        <f ca="1">ROUND(C33*D33/10000,0)</f>
        <v>0</v>
      </c>
      <c r="F33" s="1045">
        <f>SUMIF(修正!A45:A56,G2,修正!B45:B56)</f>
        <v>0.6</v>
      </c>
      <c r="G33" s="1045">
        <f t="shared" ref="G33" ca="1" si="6">ROUND(IF(E2="工业",C33*$M$39,C33*$M$38),0)</f>
        <v>0</v>
      </c>
      <c r="H33" s="1045">
        <f>D33</f>
        <v>0</v>
      </c>
      <c r="I33" s="1045">
        <f ca="1">ROUND(G33*H33/10000,0)</f>
        <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6"/>
      <c r="B34" s="1443" t="s">
        <v>1001</v>
      </c>
      <c r="C34" s="1060">
        <f ca="1">ROUND(D5*C19*C20*C24*F34,0)</f>
        <v>0</v>
      </c>
      <c r="D34" s="1535"/>
      <c r="E34" s="1045">
        <f t="shared" ref="E34:E39" ca="1" si="7">ROUND(C34*D34/10000,0)</f>
        <v>0</v>
      </c>
      <c r="F34" s="1045">
        <f>SUMIF(修正!A45:A56,G2,修正!C45:C56)</f>
        <v>0.3</v>
      </c>
      <c r="G34" s="1045">
        <f ca="1">ROUND(IF(E2="工业",C34*$M$39,C34*$M$38),0)</f>
        <v>0</v>
      </c>
      <c r="H34" s="1045">
        <f t="shared" ref="H34:H39" si="8">D34</f>
        <v>0</v>
      </c>
      <c r="I34" s="1045">
        <f t="shared" ref="I34:I39" ca="1" si="9">ROUND(G34*H34/10000,0)</f>
        <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6"/>
      <c r="B35" s="1443" t="s">
        <v>1002</v>
      </c>
      <c r="C35" s="1060">
        <f ca="1">ROUND(D5*C19*C20*C24*F35,0)</f>
        <v>0</v>
      </c>
      <c r="D35" s="1535"/>
      <c r="E35" s="1045">
        <f t="shared" ca="1" si="7"/>
        <v>0</v>
      </c>
      <c r="F35" s="1045">
        <f>SUMIF(修正!A45:A56,G2,修正!D45:D56)</f>
        <v>0.2</v>
      </c>
      <c r="G35" s="1045">
        <f ca="1">ROUND(IF(E2="工业",C35*$M$39,C35*$M$38),0)</f>
        <v>0</v>
      </c>
      <c r="H35" s="1045">
        <f t="shared" si="8"/>
        <v>0</v>
      </c>
      <c r="I35" s="1045">
        <f t="shared" ca="1" si="9"/>
        <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7"/>
      <c r="B36" s="1443" t="s">
        <v>1003</v>
      </c>
      <c r="C36" s="1060">
        <f ca="1">ROUND(D5*C19*C20*C24*F36,0)</f>
        <v>0</v>
      </c>
      <c r="D36" s="1535"/>
      <c r="E36" s="1045">
        <f t="shared" ca="1" si="7"/>
        <v>0</v>
      </c>
      <c r="F36" s="1045">
        <f>SUMIF(修正!A45:A56,G2,修正!E45:E56)</f>
        <v>0.2</v>
      </c>
      <c r="G36" s="1045">
        <f ca="1">ROUND(IF(E2="工业",C36*$M$39,C36*$M$38),0)</f>
        <v>0</v>
      </c>
      <c r="H36" s="1045">
        <f t="shared" si="8"/>
        <v>0</v>
      </c>
      <c r="I36" s="1045">
        <f t="shared" ca="1" si="9"/>
        <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f ca="1">ROUND(C5*C19*C20*C24*F37,0)</f>
        <v>1907</v>
      </c>
      <c r="D37" s="1535"/>
      <c r="E37" s="1045">
        <f t="shared" ca="1" si="7"/>
        <v>0</v>
      </c>
      <c r="F37" s="1060">
        <f>SUMIF(修正!A45:A56,G2,修正!F45:F56)</f>
        <v>0.2</v>
      </c>
      <c r="G37" s="1045">
        <f ca="1">ROUND(IF(E2="工业",C37*$M$39,C37*$M$38),0)</f>
        <v>477</v>
      </c>
      <c r="H37" s="1045">
        <f t="shared" si="8"/>
        <v>0</v>
      </c>
      <c r="I37" s="1045">
        <f t="shared" ca="1" si="9"/>
        <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f ca="1">ROUND(C5*C19*C20*C24*F38,0)</f>
        <v>1907</v>
      </c>
      <c r="D38" s="1535"/>
      <c r="E38" s="1045">
        <f t="shared" ca="1" si="7"/>
        <v>0</v>
      </c>
      <c r="F38" s="1060">
        <f>SUMIF(修正!A45:A56,G2,修正!G45:G56)</f>
        <v>0.2</v>
      </c>
      <c r="G38" s="1045">
        <f ca="1">ROUND(IF(E2="工业",C38*$M$39,C38*$M$38),0)</f>
        <v>477</v>
      </c>
      <c r="H38" s="1045">
        <f t="shared" si="8"/>
        <v>0</v>
      </c>
      <c r="I38" s="1045">
        <f t="shared" ca="1" si="9"/>
        <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f ca="1">ROUND(C5*C19*C20*C24*F39,0)</f>
        <v>1430</v>
      </c>
      <c r="D39" s="1536"/>
      <c r="E39" s="1048">
        <f t="shared" ca="1" si="7"/>
        <v>0</v>
      </c>
      <c r="F39" s="1062">
        <f>SUMIF(修正!A45:A56,G2,修正!H45:H56)</f>
        <v>0.15</v>
      </c>
      <c r="G39" s="1048">
        <f ca="1">ROUND(IF(E2="工业",C39*$M$39,C39*$M$38),0)</f>
        <v>358</v>
      </c>
      <c r="H39" s="1048">
        <f t="shared" si="8"/>
        <v>0</v>
      </c>
      <c r="I39" s="1048">
        <f t="shared" ca="1" si="9"/>
        <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hidden="1">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hidden="1">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hidden="1">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hidden="1">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hidden="1">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hidden="1">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hidden="1">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hidden="1">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hidden="1">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hidden="1">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hidden="1"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hidden="1">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hidden="1">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hidden="1">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hidden="1">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hidden="1">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hidden="1">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hidden="1">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hidden="1">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hidden="1">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hidden="1">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hidden="1"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0.98839999999999995</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t="s">
        <v>3012</v>
      </c>
      <c r="D69" s="2416">
        <f t="shared" ref="D69:D77" si="20">SUMIF($J$68:$N$68,C69,J69:N69)</f>
        <v>0</v>
      </c>
      <c r="E69" s="2435">
        <f>ROUND(SUM(D69:D77),4)</f>
        <v>-1.1599999999999999E-2</v>
      </c>
      <c r="F69" s="2436">
        <f>IF(E2="住宅",SUMIF(L1:L12,G2,N1:N12),"——")</f>
        <v>0.14499999999999999</v>
      </c>
      <c r="G69" s="2417">
        <f>H69</f>
        <v>1.01E-2</v>
      </c>
      <c r="H69" s="2461">
        <f t="shared" ref="H69:H77" si="21">IFERROR(ROUNDDOWN($F$69*I69/2,4),"——")</f>
        <v>1.01E-2</v>
      </c>
      <c r="I69" s="2434">
        <v>0.14000000000000001</v>
      </c>
      <c r="J69" s="2437">
        <f t="shared" ref="J69:J77" si="22">K69+$G69</f>
        <v>2.0199999999999999E-2</v>
      </c>
      <c r="K69" s="2437">
        <f t="shared" ref="K69:K77" si="23">$L69+$G69</f>
        <v>1.01E-2</v>
      </c>
      <c r="L69" s="2437">
        <v>0</v>
      </c>
      <c r="M69" s="2437">
        <f t="shared" ref="M69:N77" si="24">L69-$G69</f>
        <v>-1.01E-2</v>
      </c>
      <c r="N69" s="2437">
        <f t="shared" si="24"/>
        <v>-2.0199999999999999E-2</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t="s">
        <v>3013</v>
      </c>
      <c r="D70" s="2416">
        <f t="shared" si="20"/>
        <v>-2.1700000000000001E-2</v>
      </c>
      <c r="E70" s="2444"/>
      <c r="F70" s="2445"/>
      <c r="G70" s="2417">
        <f t="shared" ref="G70:G77" si="25">H70</f>
        <v>2.1700000000000001E-2</v>
      </c>
      <c r="H70" s="2461">
        <f t="shared" si="21"/>
        <v>2.1700000000000001E-2</v>
      </c>
      <c r="I70" s="2434">
        <v>0.3</v>
      </c>
      <c r="J70" s="2437">
        <f t="shared" si="22"/>
        <v>4.3400000000000001E-2</v>
      </c>
      <c r="K70" s="2437">
        <f t="shared" si="23"/>
        <v>2.1700000000000001E-2</v>
      </c>
      <c r="L70" s="2437">
        <v>0</v>
      </c>
      <c r="M70" s="2437">
        <f t="shared" si="24"/>
        <v>-2.1700000000000001E-2</v>
      </c>
      <c r="N70" s="2437">
        <f t="shared" si="24"/>
        <v>-4.3400000000000001E-2</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t="s">
        <v>3029</v>
      </c>
      <c r="D71" s="2416">
        <f t="shared" si="20"/>
        <v>5.7999999999999996E-3</v>
      </c>
      <c r="E71" s="2444"/>
      <c r="F71" s="2445"/>
      <c r="G71" s="2417">
        <f t="shared" si="25"/>
        <v>5.7999999999999996E-3</v>
      </c>
      <c r="H71" s="2461">
        <f t="shared" si="21"/>
        <v>5.7999999999999996E-3</v>
      </c>
      <c r="I71" s="2434">
        <v>0.08</v>
      </c>
      <c r="J71" s="2437">
        <f t="shared" si="22"/>
        <v>1.1599999999999999E-2</v>
      </c>
      <c r="K71" s="2437">
        <f t="shared" si="23"/>
        <v>5.7999999999999996E-3</v>
      </c>
      <c r="L71" s="2437">
        <v>0</v>
      </c>
      <c r="M71" s="2437">
        <f t="shared" si="24"/>
        <v>-5.7999999999999996E-3</v>
      </c>
      <c r="N71" s="2437">
        <f t="shared" si="24"/>
        <v>-1.1599999999999999E-2</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t="s">
        <v>3013</v>
      </c>
      <c r="D72" s="2416">
        <f t="shared" si="20"/>
        <v>-2.8999999999999998E-3</v>
      </c>
      <c r="E72" s="2444"/>
      <c r="F72" s="2445"/>
      <c r="G72" s="2417">
        <f t="shared" si="25"/>
        <v>2.8999999999999998E-3</v>
      </c>
      <c r="H72" s="2461">
        <f t="shared" si="21"/>
        <v>2.8999999999999998E-3</v>
      </c>
      <c r="I72" s="2434">
        <v>0.04</v>
      </c>
      <c r="J72" s="2437">
        <f t="shared" si="22"/>
        <v>5.7999999999999996E-3</v>
      </c>
      <c r="K72" s="2437">
        <f t="shared" si="23"/>
        <v>2.8999999999999998E-3</v>
      </c>
      <c r="L72" s="2437">
        <v>0</v>
      </c>
      <c r="M72" s="2437">
        <f t="shared" si="24"/>
        <v>-2.8999999999999998E-3</v>
      </c>
      <c r="N72" s="2437">
        <f t="shared" si="24"/>
        <v>-5.7999999999999996E-3</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t="s">
        <v>3012</v>
      </c>
      <c r="D73" s="2416">
        <f t="shared" si="20"/>
        <v>0</v>
      </c>
      <c r="E73" s="2444"/>
      <c r="F73" s="2445"/>
      <c r="G73" s="2417">
        <f t="shared" si="25"/>
        <v>5.7999999999999996E-3</v>
      </c>
      <c r="H73" s="2461">
        <f t="shared" si="21"/>
        <v>5.7999999999999996E-3</v>
      </c>
      <c r="I73" s="2434">
        <v>0.08</v>
      </c>
      <c r="J73" s="2437">
        <f t="shared" si="22"/>
        <v>1.1599999999999999E-2</v>
      </c>
      <c r="K73" s="2437">
        <f t="shared" si="23"/>
        <v>5.7999999999999996E-3</v>
      </c>
      <c r="L73" s="2437">
        <v>0</v>
      </c>
      <c r="M73" s="2437">
        <f t="shared" si="24"/>
        <v>-5.7999999999999996E-3</v>
      </c>
      <c r="N73" s="2437">
        <f t="shared" si="24"/>
        <v>-1.1599999999999999E-2</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t="s">
        <v>3012</v>
      </c>
      <c r="D74" s="2416">
        <f t="shared" si="20"/>
        <v>0</v>
      </c>
      <c r="E74" s="2444"/>
      <c r="F74" s="2445"/>
      <c r="G74" s="2417">
        <f t="shared" si="25"/>
        <v>8.6999999999999994E-3</v>
      </c>
      <c r="H74" s="2461">
        <f t="shared" si="21"/>
        <v>8.6999999999999994E-3</v>
      </c>
      <c r="I74" s="2434">
        <v>0.12</v>
      </c>
      <c r="J74" s="2437">
        <f t="shared" si="22"/>
        <v>1.7399999999999999E-2</v>
      </c>
      <c r="K74" s="2437">
        <f t="shared" si="23"/>
        <v>8.6999999999999994E-3</v>
      </c>
      <c r="L74" s="2437">
        <v>0</v>
      </c>
      <c r="M74" s="2437">
        <f t="shared" si="24"/>
        <v>-8.6999999999999994E-3</v>
      </c>
      <c r="N74" s="2437">
        <f t="shared" si="24"/>
        <v>-1.7399999999999999E-2</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t="s">
        <v>3026</v>
      </c>
      <c r="D75" s="2416">
        <f t="shared" si="20"/>
        <v>7.1999999999999998E-3</v>
      </c>
      <c r="E75" s="2444"/>
      <c r="F75" s="2445"/>
      <c r="G75" s="2417">
        <f t="shared" si="25"/>
        <v>3.5999999999999999E-3</v>
      </c>
      <c r="H75" s="2461">
        <f t="shared" si="21"/>
        <v>3.5999999999999999E-3</v>
      </c>
      <c r="I75" s="2434">
        <v>0.05</v>
      </c>
      <c r="J75" s="2437">
        <f t="shared" si="22"/>
        <v>7.1999999999999998E-3</v>
      </c>
      <c r="K75" s="2437">
        <f t="shared" si="23"/>
        <v>3.5999999999999999E-3</v>
      </c>
      <c r="L75" s="2437">
        <v>0</v>
      </c>
      <c r="M75" s="2437">
        <f t="shared" si="24"/>
        <v>-3.5999999999999999E-3</v>
      </c>
      <c r="N75" s="2437">
        <f t="shared" si="24"/>
        <v>-7.1999999999999998E-3</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t="s">
        <v>3012</v>
      </c>
      <c r="D76" s="2416">
        <f t="shared" si="20"/>
        <v>0</v>
      </c>
      <c r="E76" s="2444"/>
      <c r="F76" s="2445"/>
      <c r="G76" s="2417">
        <f t="shared" si="25"/>
        <v>1.0800000000000001E-2</v>
      </c>
      <c r="H76" s="2461">
        <f t="shared" si="21"/>
        <v>1.0800000000000001E-2</v>
      </c>
      <c r="I76" s="2434">
        <v>0.15</v>
      </c>
      <c r="J76" s="2437">
        <f t="shared" si="22"/>
        <v>2.1600000000000001E-2</v>
      </c>
      <c r="K76" s="2437">
        <f t="shared" si="23"/>
        <v>1.0800000000000001E-2</v>
      </c>
      <c r="L76" s="2437">
        <v>0</v>
      </c>
      <c r="M76" s="2437">
        <f t="shared" si="24"/>
        <v>-1.0800000000000001E-2</v>
      </c>
      <c r="N76" s="2437">
        <f t="shared" si="24"/>
        <v>-2.1600000000000001E-2</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t="s">
        <v>3012</v>
      </c>
      <c r="D77" s="2416">
        <f t="shared" si="20"/>
        <v>0</v>
      </c>
      <c r="E77" s="2446"/>
      <c r="F77" s="2445"/>
      <c r="G77" s="2417">
        <f t="shared" si="25"/>
        <v>2.8999999999999998E-3</v>
      </c>
      <c r="H77" s="2461">
        <f t="shared" si="21"/>
        <v>2.8999999999999998E-3</v>
      </c>
      <c r="I77" s="2441">
        <v>0.04</v>
      </c>
      <c r="J77" s="2437">
        <f t="shared" si="22"/>
        <v>5.7999999999999996E-3</v>
      </c>
      <c r="K77" s="2437">
        <f t="shared" si="23"/>
        <v>2.8999999999999998E-3</v>
      </c>
      <c r="L77" s="2437">
        <v>0</v>
      </c>
      <c r="M77" s="2437">
        <f t="shared" si="24"/>
        <v>-2.8999999999999998E-3</v>
      </c>
      <c r="N77" s="2437">
        <f t="shared" si="24"/>
        <v>-5.7999999999999996E-3</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6">SUMIF($J$79:$N$79,C80,J80:N80)</f>
        <v>0</v>
      </c>
      <c r="E80" s="2435">
        <f>ROUND(SUM(D80:D87),4)</f>
        <v>0</v>
      </c>
      <c r="F80" s="2436" t="str">
        <f>IF(E2="工业",SUMIF(L1:L12,G2,N1:N12),"——")</f>
        <v>——</v>
      </c>
      <c r="G80" s="2414"/>
      <c r="H80" s="2460" t="str">
        <f t="shared" ref="H80:H87" si="27">IFERROR(ROUNDDOWN($F$80*I80/2,4),"——")</f>
        <v>——</v>
      </c>
      <c r="I80" s="2434">
        <v>0.26</v>
      </c>
      <c r="J80" s="2437">
        <f t="shared" ref="J80:J87" si="28">K80+$G80</f>
        <v>0</v>
      </c>
      <c r="K80" s="2437">
        <f t="shared" ref="K80:K87" si="29">$L80+$G80</f>
        <v>0</v>
      </c>
      <c r="L80" s="2437">
        <v>0</v>
      </c>
      <c r="M80" s="2437">
        <f t="shared" ref="M80:N87" si="30">L80-$G80</f>
        <v>0</v>
      </c>
      <c r="N80" s="2437">
        <f t="shared" si="30"/>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6"/>
        <v>0</v>
      </c>
      <c r="E81" s="2444"/>
      <c r="F81" s="2445"/>
      <c r="G81" s="2414"/>
      <c r="H81" s="2460" t="str">
        <f t="shared" si="27"/>
        <v>——</v>
      </c>
      <c r="I81" s="2434">
        <v>0.33</v>
      </c>
      <c r="J81" s="2437">
        <f t="shared" si="28"/>
        <v>0</v>
      </c>
      <c r="K81" s="2437">
        <f t="shared" si="29"/>
        <v>0</v>
      </c>
      <c r="L81" s="2437">
        <v>0</v>
      </c>
      <c r="M81" s="2437">
        <f t="shared" si="30"/>
        <v>0</v>
      </c>
      <c r="N81" s="2437">
        <f t="shared" si="30"/>
        <v>0</v>
      </c>
      <c r="AC81" s="1403"/>
      <c r="AD81" s="1402"/>
      <c r="AJ81" s="1401"/>
      <c r="AN81" s="1402"/>
    </row>
    <row r="82" spans="1:40" ht="24">
      <c r="A82" s="1064" t="s">
        <v>1023</v>
      </c>
      <c r="B82" s="2407">
        <f>估价对象房地状况!G17</f>
        <v>0</v>
      </c>
      <c r="C82" s="1047"/>
      <c r="D82" s="2416">
        <f t="shared" si="26"/>
        <v>0</v>
      </c>
      <c r="E82" s="2444"/>
      <c r="F82" s="2445"/>
      <c r="G82" s="2414"/>
      <c r="H82" s="2460" t="str">
        <f t="shared" si="27"/>
        <v>——</v>
      </c>
      <c r="I82" s="2434">
        <v>0.05</v>
      </c>
      <c r="J82" s="2437">
        <f t="shared" si="28"/>
        <v>0</v>
      </c>
      <c r="K82" s="2437">
        <f t="shared" si="29"/>
        <v>0</v>
      </c>
      <c r="L82" s="2437">
        <v>0</v>
      </c>
      <c r="M82" s="2437">
        <f t="shared" si="30"/>
        <v>0</v>
      </c>
      <c r="N82" s="2437">
        <f t="shared" si="30"/>
        <v>0</v>
      </c>
      <c r="AC82" s="1403"/>
      <c r="AD82" s="1402"/>
      <c r="AJ82" s="1401"/>
      <c r="AN82" s="1402"/>
    </row>
    <row r="83" spans="1:40" ht="14.25">
      <c r="A83" s="1064" t="s">
        <v>1035</v>
      </c>
      <c r="B83" s="2407">
        <f>估价对象房地状况!G22</f>
        <v>0</v>
      </c>
      <c r="C83" s="1047"/>
      <c r="D83" s="2416">
        <f t="shared" si="26"/>
        <v>0</v>
      </c>
      <c r="E83" s="2444"/>
      <c r="F83" s="2445"/>
      <c r="G83" s="2414"/>
      <c r="H83" s="2460" t="str">
        <f t="shared" si="27"/>
        <v>——</v>
      </c>
      <c r="I83" s="2434">
        <v>0.04</v>
      </c>
      <c r="J83" s="2437">
        <f t="shared" si="28"/>
        <v>0</v>
      </c>
      <c r="K83" s="2437">
        <f t="shared" si="29"/>
        <v>0</v>
      </c>
      <c r="L83" s="2437">
        <v>0</v>
      </c>
      <c r="M83" s="2437">
        <f t="shared" si="30"/>
        <v>0</v>
      </c>
      <c r="N83" s="2437">
        <f t="shared" si="30"/>
        <v>0</v>
      </c>
      <c r="AC83" s="1403"/>
      <c r="AD83" s="1402"/>
      <c r="AJ83" s="1401"/>
      <c r="AN83" s="1402"/>
    </row>
    <row r="84" spans="1:40" ht="24">
      <c r="A84" s="1064" t="s">
        <v>1027</v>
      </c>
      <c r="B84" s="2408" t="str">
        <f>估价对象房地状况!G19</f>
        <v>估价对象所在区域公共配套设施齐备情况</v>
      </c>
      <c r="C84" s="1047"/>
      <c r="D84" s="2416">
        <f t="shared" si="26"/>
        <v>0</v>
      </c>
      <c r="E84" s="2444"/>
      <c r="F84" s="2445"/>
      <c r="G84" s="2414"/>
      <c r="H84" s="2460" t="str">
        <f t="shared" si="27"/>
        <v>——</v>
      </c>
      <c r="I84" s="2434">
        <v>0.06</v>
      </c>
      <c r="J84" s="2437">
        <f t="shared" si="28"/>
        <v>0</v>
      </c>
      <c r="K84" s="2437">
        <f t="shared" si="29"/>
        <v>0</v>
      </c>
      <c r="L84" s="2437">
        <v>0</v>
      </c>
      <c r="M84" s="2437">
        <f t="shared" si="30"/>
        <v>0</v>
      </c>
      <c r="N84" s="2437">
        <f t="shared" si="30"/>
        <v>0</v>
      </c>
      <c r="AC84" s="1403"/>
      <c r="AD84" s="1402"/>
      <c r="AJ84" s="1401"/>
      <c r="AN84" s="1402"/>
    </row>
    <row r="85" spans="1:40" ht="24">
      <c r="A85" s="1064" t="s">
        <v>1028</v>
      </c>
      <c r="B85" s="2408" t="str">
        <f>估价对象房地状况!G20</f>
        <v>估价对象所在区域基础设施水平</v>
      </c>
      <c r="C85" s="1047"/>
      <c r="D85" s="2416">
        <f t="shared" si="26"/>
        <v>0</v>
      </c>
      <c r="E85" s="2444"/>
      <c r="F85" s="2445"/>
      <c r="G85" s="2414"/>
      <c r="H85" s="2460" t="str">
        <f t="shared" si="27"/>
        <v>——</v>
      </c>
      <c r="I85" s="2434">
        <v>0.15</v>
      </c>
      <c r="J85" s="2437">
        <f t="shared" si="28"/>
        <v>0</v>
      </c>
      <c r="K85" s="2437">
        <f t="shared" si="29"/>
        <v>0</v>
      </c>
      <c r="L85" s="2437">
        <v>0</v>
      </c>
      <c r="M85" s="2437">
        <f t="shared" si="30"/>
        <v>0</v>
      </c>
      <c r="N85" s="2437">
        <f t="shared" si="30"/>
        <v>0</v>
      </c>
      <c r="AC85" s="1403"/>
      <c r="AD85" s="1402"/>
      <c r="AJ85" s="1401"/>
      <c r="AN85" s="1402"/>
    </row>
    <row r="86" spans="1:40" ht="24">
      <c r="A86" s="1064" t="s">
        <v>1026</v>
      </c>
      <c r="B86" s="3094" t="s">
        <v>2942</v>
      </c>
      <c r="C86" s="1047"/>
      <c r="D86" s="2416">
        <f t="shared" si="26"/>
        <v>0</v>
      </c>
      <c r="E86" s="2444"/>
      <c r="F86" s="2445"/>
      <c r="G86" s="2414"/>
      <c r="H86" s="2460" t="str">
        <f t="shared" si="27"/>
        <v>——</v>
      </c>
      <c r="I86" s="2434">
        <v>0.05</v>
      </c>
      <c r="J86" s="2437">
        <f t="shared" si="28"/>
        <v>0</v>
      </c>
      <c r="K86" s="2437">
        <f t="shared" si="29"/>
        <v>0</v>
      </c>
      <c r="L86" s="2437">
        <v>0</v>
      </c>
      <c r="M86" s="2437">
        <f t="shared" si="30"/>
        <v>0</v>
      </c>
      <c r="N86" s="2437">
        <f t="shared" si="30"/>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6"/>
        <v>0</v>
      </c>
      <c r="E87" s="2446"/>
      <c r="F87" s="2445"/>
      <c r="G87" s="2414"/>
      <c r="H87" s="2460" t="str">
        <f t="shared" si="27"/>
        <v>——</v>
      </c>
      <c r="I87" s="2441">
        <v>0.06</v>
      </c>
      <c r="J87" s="2437">
        <f t="shared" si="28"/>
        <v>0</v>
      </c>
      <c r="K87" s="2437">
        <f t="shared" si="29"/>
        <v>0</v>
      </c>
      <c r="L87" s="2437">
        <v>0</v>
      </c>
      <c r="M87" s="2437">
        <f t="shared" si="30"/>
        <v>0</v>
      </c>
      <c r="N87" s="2437">
        <f t="shared" si="30"/>
        <v>0</v>
      </c>
      <c r="AC87" s="1403"/>
      <c r="AD87" s="1402"/>
      <c r="AJ87" s="1401"/>
      <c r="AN87" s="1402"/>
    </row>
    <row r="90" spans="1:40">
      <c r="A90" s="3438" t="s">
        <v>1634</v>
      </c>
      <c r="B90" s="3438"/>
      <c r="C90" s="3438"/>
      <c r="D90" s="3438"/>
      <c r="E90" s="3438"/>
      <c r="F90" s="3438"/>
      <c r="G90" s="3438"/>
      <c r="H90" s="3438"/>
      <c r="I90" s="3438"/>
      <c r="J90" s="3438"/>
      <c r="K90" s="3180"/>
      <c r="L90" s="3180"/>
      <c r="M90" s="3180"/>
      <c r="N90" s="3180"/>
    </row>
    <row r="91" spans="1:40">
      <c r="A91" s="3439" t="s">
        <v>922</v>
      </c>
      <c r="B91" s="3439" t="s">
        <v>1635</v>
      </c>
      <c r="C91" s="1137" t="s">
        <v>1636</v>
      </c>
      <c r="D91" s="1138"/>
      <c r="E91" s="1138"/>
      <c r="F91" s="1138"/>
      <c r="G91" s="1138"/>
      <c r="H91" s="1138"/>
      <c r="I91" s="1138"/>
      <c r="J91" s="1139"/>
      <c r="K91" s="1131"/>
      <c r="L91" s="1131"/>
      <c r="M91" s="1131"/>
      <c r="N91" s="1131"/>
    </row>
    <row r="92" spans="1:40">
      <c r="A92" s="3439"/>
      <c r="B92" s="3439"/>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40"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1"/>
      <c r="B99" s="1140" t="s">
        <v>1637</v>
      </c>
      <c r="C99" s="1142">
        <f>$I$3</f>
        <v>0</v>
      </c>
      <c r="D99" s="1142">
        <f t="shared" ref="D99:N99" si="31">$I$3</f>
        <v>0</v>
      </c>
      <c r="E99" s="1142">
        <f t="shared" si="31"/>
        <v>0</v>
      </c>
      <c r="F99" s="1142">
        <f t="shared" si="31"/>
        <v>0</v>
      </c>
      <c r="G99" s="1142">
        <f t="shared" si="31"/>
        <v>0</v>
      </c>
      <c r="H99" s="1142">
        <f t="shared" si="31"/>
        <v>0</v>
      </c>
      <c r="I99" s="1142">
        <f t="shared" si="31"/>
        <v>0</v>
      </c>
      <c r="J99" s="1142">
        <f t="shared" si="31"/>
        <v>0</v>
      </c>
      <c r="K99" s="1142">
        <f t="shared" si="31"/>
        <v>0</v>
      </c>
      <c r="L99" s="1142">
        <f t="shared" si="31"/>
        <v>0</v>
      </c>
      <c r="M99" s="1142">
        <f t="shared" si="31"/>
        <v>0</v>
      </c>
      <c r="N99" s="1142">
        <f t="shared" si="31"/>
        <v>0</v>
      </c>
    </row>
    <row r="100" spans="1:14">
      <c r="A100" s="3442"/>
      <c r="B100" s="1140">
        <v>7</v>
      </c>
      <c r="C100" s="1143">
        <f>(-0.163*(C99^2)-0.59*C99+7617)*(10^(-4))</f>
        <v>0.76170000000000004</v>
      </c>
      <c r="D100" s="1143">
        <f>(-0.163*(D99^2)-0.59*D99+7617)*(10^(-4))</f>
        <v>0.76170000000000004</v>
      </c>
      <c r="E100" s="1143">
        <f>(-0.161*(E99^2)-7.509*E99+6533)*(10^(-4))</f>
        <v>0.65329999999999999</v>
      </c>
      <c r="F100" s="1143">
        <f>(-0.161*(F99^2)-7.509*F99+6533)*(10^(-4))</f>
        <v>0.65329999999999999</v>
      </c>
      <c r="G100" s="1143">
        <f>(-0.161*(G99^2)-7.509*G99+6533)*(10^(-4))</f>
        <v>0.65329999999999999</v>
      </c>
      <c r="H100" s="1143">
        <f>(-0.161*(H99^2)-7.509*H99+6533)*(10^(-4))</f>
        <v>0.65329999999999999</v>
      </c>
      <c r="I100" s="1143">
        <f>(-0.161*(I99^2)-7.509*I99+6533)*(10^(-4))</f>
        <v>0.65329999999999999</v>
      </c>
      <c r="J100" s="1143">
        <f>(-0.214*(J99^2)-21.991*J99+4665)*(10^(-4))</f>
        <v>0.46650000000000003</v>
      </c>
      <c r="K100" s="1143">
        <f>(-0.214*(K99^2)-21.991*K99+4665)*(10^(-4))</f>
        <v>0.46650000000000003</v>
      </c>
      <c r="L100" s="1143">
        <f>(-0.214*(L99^2)-21.991*L99+4665)*(10^(-4))</f>
        <v>0.46650000000000003</v>
      </c>
      <c r="M100" s="1143">
        <f>(-0.214*(M99^2)-21.991*M99+4665)*(10^(-4))</f>
        <v>0.46650000000000003</v>
      </c>
      <c r="N100" s="1143">
        <f>(-0.214*(N99^2)-21.991*N99+4665)*(10^(-4))</f>
        <v>0.46650000000000003</v>
      </c>
    </row>
    <row r="101" spans="1:14">
      <c r="A101" s="3440" t="s">
        <v>1638</v>
      </c>
      <c r="B101" s="1144" t="s">
        <v>883</v>
      </c>
      <c r="C101" s="1145">
        <f>$G$3</f>
        <v>2.2000000000000002</v>
      </c>
      <c r="D101" s="1145">
        <f t="shared" ref="D101:N101" si="32">$G$3</f>
        <v>2.2000000000000002</v>
      </c>
      <c r="E101" s="1145">
        <f t="shared" si="32"/>
        <v>2.2000000000000002</v>
      </c>
      <c r="F101" s="1145">
        <f t="shared" si="32"/>
        <v>2.2000000000000002</v>
      </c>
      <c r="G101" s="1145">
        <f t="shared" si="32"/>
        <v>2.2000000000000002</v>
      </c>
      <c r="H101" s="1145">
        <f t="shared" si="32"/>
        <v>2.2000000000000002</v>
      </c>
      <c r="I101" s="1145">
        <f t="shared" si="32"/>
        <v>2.2000000000000002</v>
      </c>
      <c r="J101" s="1145">
        <f t="shared" si="32"/>
        <v>2.2000000000000002</v>
      </c>
      <c r="K101" s="1145">
        <f t="shared" si="32"/>
        <v>2.2000000000000002</v>
      </c>
      <c r="L101" s="1145">
        <f t="shared" si="32"/>
        <v>2.2000000000000002</v>
      </c>
      <c r="M101" s="1145">
        <f t="shared" si="32"/>
        <v>2.2000000000000002</v>
      </c>
      <c r="N101" s="1145">
        <f t="shared" si="32"/>
        <v>2.2000000000000002</v>
      </c>
    </row>
    <row r="102" spans="1:14">
      <c r="A102" s="3441"/>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41"/>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41"/>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41"/>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41"/>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41"/>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41"/>
      <c r="B108" s="3443" t="s">
        <v>1639</v>
      </c>
      <c r="C108" s="1142">
        <f>C99</f>
        <v>0</v>
      </c>
      <c r="D108" s="1142">
        <f t="shared" ref="D108:N108" si="33">D99</f>
        <v>0</v>
      </c>
      <c r="E108" s="1142">
        <f t="shared" si="33"/>
        <v>0</v>
      </c>
      <c r="F108" s="1142">
        <f t="shared" si="33"/>
        <v>0</v>
      </c>
      <c r="G108" s="1142">
        <f t="shared" si="33"/>
        <v>0</v>
      </c>
      <c r="H108" s="1142">
        <f t="shared" si="33"/>
        <v>0</v>
      </c>
      <c r="I108" s="1142">
        <f t="shared" si="33"/>
        <v>0</v>
      </c>
      <c r="J108" s="1142">
        <f t="shared" si="33"/>
        <v>0</v>
      </c>
      <c r="K108" s="1142">
        <f t="shared" si="33"/>
        <v>0</v>
      </c>
      <c r="L108" s="1142">
        <f t="shared" si="33"/>
        <v>0</v>
      </c>
      <c r="M108" s="1142">
        <f t="shared" si="33"/>
        <v>0</v>
      </c>
      <c r="N108" s="1142">
        <f t="shared" si="33"/>
        <v>0</v>
      </c>
    </row>
    <row r="109" spans="1:14">
      <c r="A109" s="3442"/>
      <c r="B109" s="3444"/>
      <c r="C109" s="1143">
        <f>(-0.163*(C108^2)-0.59*C108+7617)*(10^(-4))/C101</f>
        <v>0.34622727272727272</v>
      </c>
      <c r="D109" s="1143">
        <f>(-0.163*(D108^2)-0.59*D108+7617)*(10^(-4))/D101</f>
        <v>0.34622727272727272</v>
      </c>
      <c r="E109" s="1143">
        <f>(-0.161*(E108^2)-7.509*E108+6533)*(10^(-4))/E101</f>
        <v>0.29695454545454542</v>
      </c>
      <c r="F109" s="1143">
        <f>(-0.161*(F108^2)-7.509*F108+6533)*(10^(-4))/F101</f>
        <v>0.29695454545454542</v>
      </c>
      <c r="G109" s="1143">
        <f>(-0.161*(G108^2)-7.509*G108+6533)*(10^(-4))/G101</f>
        <v>0.29695454545454542</v>
      </c>
      <c r="H109" s="1143">
        <f>(-0.161*(H108^2)-7.509*H108+6533)*(10^(-4))/H101</f>
        <v>0.29695454545454542</v>
      </c>
      <c r="I109" s="1143">
        <f>(-0.161*(I108^2)-7.509*I108+6533)*(10^(-4))/I101</f>
        <v>0.29695454545454542</v>
      </c>
      <c r="J109" s="1143">
        <f>(-0.214*(J108^2)-21.991*J108+4665)*(10^(-4))/J101</f>
        <v>0.21204545454545454</v>
      </c>
      <c r="K109" s="1143">
        <f>(-0.214*(K108^2)-21.991*K108+4665)*(10^(-4))/K101</f>
        <v>0.21204545454545454</v>
      </c>
      <c r="L109" s="1143">
        <f>(-0.214*(L108^2)-21.991*L108+4665)*(10^(-4))/L101</f>
        <v>0.21204545454545454</v>
      </c>
      <c r="M109" s="1143">
        <f>(-0.214*(M108^2)-21.991*M108+4665)*(10^(-4))/M101</f>
        <v>0.21204545454545454</v>
      </c>
      <c r="N109" s="1143">
        <f>(-0.214*(N108^2)-21.991*N108+4665)*(10^(-4))/N101</f>
        <v>0.21204545454545454</v>
      </c>
    </row>
    <row r="110" spans="1:14">
      <c r="A110" s="3434" t="s">
        <v>1640</v>
      </c>
      <c r="B110" s="3434"/>
      <c r="C110" s="3434"/>
      <c r="D110" s="3434"/>
      <c r="E110" s="3434"/>
      <c r="F110" s="3434"/>
      <c r="G110" s="3434"/>
      <c r="H110" s="3434"/>
      <c r="I110" s="3434"/>
      <c r="J110" s="3434"/>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0.72030000000000005</v>
      </c>
      <c r="E113" s="1016" t="s">
        <v>898</v>
      </c>
      <c r="F113" s="1017" t="str">
        <f>E2</f>
        <v>住宅</v>
      </c>
      <c r="G113" s="1016" t="s">
        <v>899</v>
      </c>
      <c r="H113" s="1017" t="str">
        <f>G2</f>
        <v>八级</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4">I115</f>
        <v>0.65490000000000004</v>
      </c>
      <c r="K115" s="1027">
        <f t="shared" si="34"/>
        <v>0.65490000000000004</v>
      </c>
      <c r="L115" s="1027">
        <f t="shared" si="34"/>
        <v>0.65490000000000004</v>
      </c>
      <c r="M115" s="1028">
        <f t="shared" si="34"/>
        <v>0.65490000000000004</v>
      </c>
    </row>
    <row r="116" spans="1:13" ht="12.75">
      <c r="A116" s="1026" t="s">
        <v>901</v>
      </c>
      <c r="B116" s="1027">
        <f>ROUND(0.949-0.012*B113,4)</f>
        <v>0.92259999999999998</v>
      </c>
      <c r="C116" s="1027">
        <f>B116</f>
        <v>0.92259999999999998</v>
      </c>
      <c r="D116" s="1027">
        <f>ROUND(0.8567-0.013*B113,4)</f>
        <v>0.82809999999999995</v>
      </c>
      <c r="E116" s="1027">
        <f t="shared" ref="E116:H117" si="35">D116</f>
        <v>0.82809999999999995</v>
      </c>
      <c r="F116" s="1027">
        <f t="shared" si="35"/>
        <v>0.82809999999999995</v>
      </c>
      <c r="G116" s="1027">
        <f t="shared" si="35"/>
        <v>0.82809999999999995</v>
      </c>
      <c r="H116" s="1027">
        <f t="shared" si="35"/>
        <v>0.82809999999999995</v>
      </c>
      <c r="I116" s="1027">
        <f>ROUND(0.7694-0.014*B113,4)</f>
        <v>0.73860000000000003</v>
      </c>
      <c r="J116" s="1027">
        <f t="shared" si="34"/>
        <v>0.73860000000000003</v>
      </c>
      <c r="K116" s="1027">
        <f t="shared" si="34"/>
        <v>0.73860000000000003</v>
      </c>
      <c r="L116" s="1027">
        <f t="shared" si="34"/>
        <v>0.73860000000000003</v>
      </c>
      <c r="M116" s="1028">
        <f t="shared" si="34"/>
        <v>0.73860000000000003</v>
      </c>
    </row>
    <row r="117" spans="1:13" ht="12.75">
      <c r="A117" s="1029" t="s">
        <v>902</v>
      </c>
      <c r="B117" s="1027">
        <f>ROUND(0.8808-0.006*B113,4)</f>
        <v>0.86760000000000004</v>
      </c>
      <c r="C117" s="1027">
        <f>B117</f>
        <v>0.86760000000000004</v>
      </c>
      <c r="D117" s="1027">
        <f>ROUND(0.8748-0.008*B113,4)</f>
        <v>0.85719999999999996</v>
      </c>
      <c r="E117" s="1027">
        <f t="shared" si="35"/>
        <v>0.85719999999999996</v>
      </c>
      <c r="F117" s="1027">
        <f t="shared" si="35"/>
        <v>0.85719999999999996</v>
      </c>
      <c r="G117" s="1027">
        <f t="shared" si="35"/>
        <v>0.85719999999999996</v>
      </c>
      <c r="H117" s="1027">
        <f t="shared" si="35"/>
        <v>0.85719999999999996</v>
      </c>
      <c r="I117" s="1027">
        <f>ROUND(0.7412-0.0095*B113,4)</f>
        <v>0.72030000000000005</v>
      </c>
      <c r="J117" s="1027">
        <f t="shared" si="34"/>
        <v>0.72030000000000005</v>
      </c>
      <c r="K117" s="1027">
        <f t="shared" si="34"/>
        <v>0.72030000000000005</v>
      </c>
      <c r="L117" s="1027">
        <f t="shared" si="34"/>
        <v>0.72030000000000005</v>
      </c>
      <c r="M117" s="1028">
        <f t="shared" si="34"/>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4"/>
        <v>0.53680000000000005</v>
      </c>
      <c r="K118" s="1031">
        <f t="shared" si="34"/>
        <v>0.53680000000000005</v>
      </c>
      <c r="L118" s="1031">
        <f t="shared" si="34"/>
        <v>0.53680000000000005</v>
      </c>
      <c r="M118" s="1032">
        <f t="shared" si="34"/>
        <v>0.53680000000000005</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C13" sqref="C13"/>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t="s">
        <v>3030</v>
      </c>
      <c r="C1" s="2103"/>
      <c r="D1" s="2103"/>
      <c r="E1" s="2103"/>
      <c r="F1" s="2103"/>
      <c r="G1" s="2103"/>
      <c r="H1" s="2103"/>
      <c r="I1" s="2103"/>
      <c r="J1" s="2103"/>
      <c r="K1" s="419">
        <f>MATCH(B1,'数据-取费表'!A6:A16,0)+5</f>
        <v>6</v>
      </c>
    </row>
    <row r="2" spans="1:31" s="2040" customFormat="1" ht="18" customHeight="1">
      <c r="A2" s="2100" t="s">
        <v>467</v>
      </c>
      <c r="B2" s="2104">
        <f ca="1">C36</f>
        <v>257929</v>
      </c>
      <c r="C2" s="2103"/>
      <c r="D2" s="2103"/>
      <c r="E2" s="2103"/>
      <c r="F2" s="2103"/>
      <c r="G2" s="2103"/>
      <c r="H2" s="2103"/>
      <c r="I2" s="2103"/>
      <c r="J2" s="2103"/>
      <c r="K2" s="2103"/>
    </row>
    <row r="3" spans="1:31" s="2040" customFormat="1" ht="18" customHeight="1">
      <c r="A3" s="2105" t="s">
        <v>1685</v>
      </c>
      <c r="B3" s="2106">
        <f ca="1">ROUND(B2*10000/IF(B1="",'数据-汇总表'!E3,INDIRECT("'数据-取费表'!K"&amp;$K$1)),0)</f>
        <v>25640</v>
      </c>
      <c r="C3" s="2103"/>
      <c r="D3" s="2103"/>
      <c r="E3" s="2103"/>
      <c r="F3" s="2103"/>
      <c r="G3" s="2103"/>
      <c r="H3" s="2103"/>
      <c r="I3" s="2103"/>
      <c r="J3" s="2103"/>
      <c r="K3" s="2103"/>
    </row>
    <row r="4" spans="1:31" s="2040" customFormat="1" ht="18" customHeight="1">
      <c r="A4" s="423" t="s">
        <v>468</v>
      </c>
      <c r="B4" s="424">
        <f ca="1">ROUND(B2*10000/IF(B1="",'数据-汇总表'!D3,INDIRECT("'数据-取费表'!R"&amp;$K$1)),0)</f>
        <v>56207</v>
      </c>
      <c r="C4" s="425"/>
      <c r="D4" s="419"/>
      <c r="E4" s="419"/>
      <c r="F4" s="419"/>
      <c r="G4" s="419"/>
      <c r="H4" s="419"/>
      <c r="I4" s="419"/>
      <c r="J4" s="419"/>
      <c r="K4" s="419"/>
    </row>
    <row r="5" spans="1:31" s="2040" customFormat="1" ht="18" customHeight="1" thickBot="1">
      <c r="A5" s="426"/>
      <c r="B5" s="427">
        <f ca="1">ROUND(B2/(IF(B1="",'数据-汇总表'!D3,INDIRECT("'数据-取费表'!R"&amp;$K$1))/666.67),0)</f>
        <v>3747</v>
      </c>
      <c r="C5" s="428" t="s">
        <v>469</v>
      </c>
      <c r="D5" s="419"/>
      <c r="E5" s="419"/>
      <c r="F5" s="419"/>
      <c r="G5" s="419"/>
      <c r="H5" s="419"/>
      <c r="I5" s="419"/>
      <c r="J5" s="419"/>
      <c r="K5" s="419"/>
    </row>
    <row r="6" spans="1:31" s="2110" customFormat="1" ht="16.5" customHeight="1">
      <c r="A6" s="2825" t="s">
        <v>1843</v>
      </c>
      <c r="B6" s="2826"/>
      <c r="C6" s="2827">
        <f>SUM(C10:K10)</f>
        <v>527611</v>
      </c>
      <c r="D6" s="2826"/>
      <c r="E6" s="2826"/>
      <c r="F6" s="2826"/>
      <c r="G6" s="2826"/>
      <c r="H6" s="2826"/>
      <c r="I6" s="2826"/>
      <c r="J6" s="2826"/>
      <c r="K6" s="2828"/>
    </row>
    <row r="7" spans="1:31" s="2112" customFormat="1" ht="15.75" customHeight="1">
      <c r="A7" s="2829" t="s">
        <v>470</v>
      </c>
      <c r="B7" s="2830" t="s">
        <v>471</v>
      </c>
      <c r="C7" s="433" t="s">
        <v>3030</v>
      </c>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v>52449</v>
      </c>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SUMIF('数据-汇总表'!$C19:$C33,'剩余法-住宅'!C7,'数据-汇总表'!$E19:$E33)</f>
        <v>100595</v>
      </c>
      <c r="D9" s="438">
        <f>SUMIF('数据-汇总表'!$C19:$C33,'剩余法-住宅'!D7,'数据-汇总表'!$E19:$E33)</f>
        <v>0</v>
      </c>
      <c r="E9" s="438">
        <f>SUMIF('数据-汇总表'!$C19:$C33,'剩余法-住宅'!E7,'数据-汇总表'!$E19:$E33)</f>
        <v>0</v>
      </c>
      <c r="F9" s="438">
        <f>SUMIF('数据-汇总表'!$C19:$C33,'剩余法-住宅'!F7,'数据-汇总表'!$E19:$E33)</f>
        <v>0</v>
      </c>
      <c r="G9" s="438">
        <f>SUMIF('数据-汇总表'!$C19:$C33,'剩余法-住宅'!G7,'数据-汇总表'!$E19:$E33)</f>
        <v>0</v>
      </c>
      <c r="H9" s="438">
        <f>SUMIF('数据-汇总表'!$C19:$C33,'剩余法-住宅'!H7,'数据-汇总表'!$E19:$E33)</f>
        <v>0</v>
      </c>
      <c r="I9" s="438">
        <f>SUMIF('数据-汇总表'!$C19:$C33,'剩余法-住宅'!I7,'数据-汇总表'!$E19:$E33)</f>
        <v>0</v>
      </c>
      <c r="J9" s="438">
        <f>SUMIF('数据-汇总表'!$C19:$C33,'剩余法-住宅'!J7,'数据-汇总表'!$E19:$E33)</f>
        <v>0</v>
      </c>
      <c r="K9" s="439">
        <f>SUMIF('数据-汇总表'!$C19:$C33,'剩余法-住宅'!K7,'数据-汇总表'!$E19:$E33)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f>ROUND(C8*C9/10000,0)</f>
        <v>527611</v>
      </c>
      <c r="D10" s="3026">
        <f>ROUND(D8*D9/10000,0)</f>
        <v>0</v>
      </c>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50425</v>
      </c>
      <c r="D13" s="2841"/>
      <c r="E13" s="2842"/>
      <c r="F13" s="2843"/>
      <c r="G13" s="2809"/>
      <c r="H13" s="2810"/>
      <c r="I13" s="2810"/>
      <c r="J13" s="2810"/>
      <c r="K13" s="2811"/>
    </row>
    <row r="14" spans="1:31" s="2115" customFormat="1" ht="13.5" customHeight="1">
      <c r="A14" s="2839" t="s">
        <v>1850</v>
      </c>
      <c r="B14" s="2840" t="s">
        <v>480</v>
      </c>
      <c r="C14" s="53">
        <f ca="1">ROUND(C13*F14,0)</f>
        <v>1513</v>
      </c>
      <c r="D14" s="2841"/>
      <c r="E14" s="2842"/>
      <c r="F14" s="2844">
        <f>'数据-取费表'!B33</f>
        <v>0.03</v>
      </c>
      <c r="G14" s="2809" t="s">
        <v>481</v>
      </c>
      <c r="H14" s="2810"/>
      <c r="I14" s="2810"/>
      <c r="J14" s="2810"/>
      <c r="K14" s="2811"/>
    </row>
    <row r="15" spans="1:31" s="2115" customFormat="1" ht="13.5" customHeight="1">
      <c r="A15" s="2839" t="s">
        <v>1851</v>
      </c>
      <c r="B15" s="2840" t="s">
        <v>482</v>
      </c>
      <c r="C15" s="53">
        <f ca="1">ROUND(C13*F15,0)</f>
        <v>2521</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756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57234</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1516</v>
      </c>
      <c r="D20" s="2851"/>
      <c r="E20" s="3172"/>
      <c r="F20" s="2852"/>
      <c r="G20" s="3086" t="s">
        <v>3091</v>
      </c>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1175</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10552</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ROUND(F25/(1),4)</f>
        <v>3.0499999999999999E-2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3348</v>
      </c>
      <c r="D26" s="464">
        <f ca="1">C27</f>
        <v>0.1002</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0.1002</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3348</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27637</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101462</v>
      </c>
      <c r="D30" s="474">
        <f ca="1">C32</f>
        <v>0.13070000000000001</v>
      </c>
      <c r="E30" s="466" t="s">
        <v>495</v>
      </c>
      <c r="F30" s="468"/>
      <c r="G30" s="2817" t="s">
        <v>2977</v>
      </c>
      <c r="H30" s="2810"/>
      <c r="I30" s="2810"/>
      <c r="J30" s="2810"/>
      <c r="K30" s="2811"/>
    </row>
    <row r="31" spans="1:14" s="2119" customFormat="1" ht="13.5" customHeight="1">
      <c r="A31" s="800" t="s">
        <v>1857</v>
      </c>
      <c r="B31" s="2855"/>
      <c r="C31" s="447">
        <f ca="1">C18+C19+C20+C23+C24+C26+C29</f>
        <v>101462</v>
      </c>
      <c r="D31" s="469"/>
      <c r="E31" s="470"/>
      <c r="F31" s="471"/>
      <c r="G31" s="261"/>
      <c r="H31" s="2812"/>
      <c r="I31" s="2812"/>
      <c r="J31" s="2812"/>
      <c r="K31" s="276"/>
    </row>
    <row r="32" spans="1:14" s="2119" customFormat="1" ht="13.5" customHeight="1">
      <c r="A32" s="800" t="s">
        <v>1858</v>
      </c>
      <c r="B32" s="2855"/>
      <c r="C32" s="53">
        <f ca="1">ROUND(C25+D26,4)</f>
        <v>0.13070000000000001</v>
      </c>
      <c r="D32" s="469"/>
      <c r="E32" s="470"/>
      <c r="F32" s="471"/>
      <c r="G32" s="261"/>
      <c r="H32" s="2812"/>
      <c r="I32" s="2812"/>
      <c r="J32" s="2812"/>
      <c r="K32" s="276"/>
    </row>
    <row r="33" spans="1:11" s="2121" customFormat="1" ht="13.5" customHeight="1">
      <c r="A33" s="3031" t="s">
        <v>2836</v>
      </c>
      <c r="B33" s="3029" t="s">
        <v>2834</v>
      </c>
      <c r="C33" s="475">
        <f ca="1">C35</f>
        <v>28191</v>
      </c>
      <c r="D33" s="464">
        <f ca="1">C34</f>
        <v>0.41220000000000001</v>
      </c>
      <c r="E33" s="466" t="s">
        <v>495</v>
      </c>
      <c r="F33" s="476">
        <f ca="1">IF(B1="",'数据-取费表'!Q16,INDIRECT("'数据-取费表'!q"&amp;$K$1))</f>
        <v>0.4</v>
      </c>
      <c r="G33" s="2813"/>
      <c r="H33" s="2814"/>
      <c r="I33" s="2814"/>
      <c r="J33" s="2814"/>
      <c r="K33" s="2815"/>
    </row>
    <row r="34" spans="1:11" s="2122" customFormat="1" ht="13.5" customHeight="1">
      <c r="A34" s="372" t="s">
        <v>1857</v>
      </c>
      <c r="B34" s="2860" t="s">
        <v>501</v>
      </c>
      <c r="C34" s="469">
        <f ca="1">ROUND((1+C25)*F33,4)</f>
        <v>0.41220000000000001</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28191</v>
      </c>
      <c r="D35" s="1627"/>
      <c r="E35" s="2861"/>
      <c r="F35" s="1628"/>
      <c r="G35" s="2819"/>
      <c r="H35" s="2820"/>
      <c r="I35" s="2820"/>
      <c r="J35" s="2820"/>
      <c r="K35" s="2821"/>
    </row>
    <row r="36" spans="1:11" s="2084" customFormat="1" ht="13.5" customHeight="1" thickBot="1">
      <c r="A36" s="281" t="s">
        <v>1845</v>
      </c>
      <c r="B36" s="2823"/>
      <c r="C36" s="2862">
        <f ca="1">ROUND((C6-C30-C33)/(1+D30+D33),0)</f>
        <v>257929</v>
      </c>
      <c r="D36" s="2823"/>
      <c r="E36" s="2823"/>
      <c r="F36" s="2823"/>
      <c r="G36" s="2822" t="s">
        <v>2843</v>
      </c>
      <c r="H36" s="2823"/>
      <c r="I36" s="2823"/>
      <c r="J36" s="2823"/>
      <c r="K36" s="2824"/>
    </row>
    <row r="38" spans="1:11" ht="12.75" customHeight="1"/>
  </sheetData>
  <sheetProtection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6" sqref="D6"/>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t="s">
        <v>3030</v>
      </c>
      <c r="D1" s="2049"/>
      <c r="E1" s="2386" t="s">
        <v>870</v>
      </c>
      <c r="F1" s="2387">
        <f ca="1">J54</f>
        <v>68</v>
      </c>
      <c r="G1" s="771">
        <f>MATCH(C1,'数据-取费表'!A6:A16,0)+5</f>
        <v>6</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-98498</v>
      </c>
      <c r="C2" s="1348"/>
      <c r="D2" s="2054"/>
      <c r="E2" s="2055"/>
      <c r="F2" s="2055"/>
      <c r="G2" s="1588"/>
      <c r="H2" s="1360"/>
      <c r="I2" s="2056"/>
      <c r="J2" s="2056"/>
      <c r="K2" s="2057"/>
      <c r="L2" s="2056"/>
      <c r="M2" s="2056"/>
    </row>
    <row r="3" spans="1:25" ht="18" customHeight="1">
      <c r="A3" s="1643" t="s">
        <v>1685</v>
      </c>
      <c r="B3" s="1389">
        <f ca="1">ROUND(B2*10000/'数据-汇总表'!E3,0)</f>
        <v>-9756</v>
      </c>
      <c r="C3" s="1348"/>
      <c r="D3" s="2054"/>
      <c r="E3" s="2055"/>
      <c r="F3" s="2055"/>
      <c r="G3" s="1588"/>
      <c r="H3" s="773" t="s">
        <v>695</v>
      </c>
      <c r="I3" s="2056"/>
      <c r="J3" s="2056"/>
      <c r="K3" s="2057"/>
      <c r="L3" s="2056"/>
      <c r="M3" s="2056"/>
    </row>
    <row r="4" spans="1:25" ht="18" customHeight="1">
      <c r="A4" s="1644" t="s">
        <v>696</v>
      </c>
      <c r="B4" s="1349">
        <f ca="1">ROUND(B2*10000/'数据-汇总表'!D3,0)</f>
        <v>-21464</v>
      </c>
      <c r="C4" s="425"/>
      <c r="D4" s="2054"/>
      <c r="E4" s="2055"/>
      <c r="F4" s="2055"/>
      <c r="G4" s="1588"/>
      <c r="H4" s="773"/>
      <c r="I4" s="2056"/>
      <c r="J4" s="2056"/>
      <c r="K4" s="2057"/>
      <c r="L4" s="2056"/>
      <c r="M4" s="2056"/>
    </row>
    <row r="5" spans="1:25" ht="18" customHeight="1" thickBot="1">
      <c r="A5" s="1645"/>
      <c r="B5" s="427">
        <f ca="1">ROUND(B2/('数据-汇总表'!D3/666.67),0)</f>
        <v>-1431</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6287</v>
      </c>
      <c r="D7" s="2495" t="s">
        <v>2464</v>
      </c>
      <c r="E7" s="2489"/>
      <c r="F7" s="2490"/>
      <c r="G7" s="1590"/>
      <c r="H7" s="778">
        <v>1</v>
      </c>
      <c r="I7" s="779" t="s">
        <v>2461</v>
      </c>
      <c r="J7" s="53">
        <f ca="1">J8+J12+J14</f>
        <v>0</v>
      </c>
      <c r="K7" s="2495" t="s">
        <v>2464</v>
      </c>
      <c r="L7" s="2489"/>
      <c r="M7" s="2490"/>
    </row>
    <row r="8" spans="1:25" ht="18" customHeight="1">
      <c r="A8" s="1829" t="s">
        <v>1825</v>
      </c>
      <c r="B8" s="3452" t="s">
        <v>2466</v>
      </c>
      <c r="C8" s="1824">
        <f ca="1">ROUND(F8*F10*F9*(1-F11)/10000,0)</f>
        <v>6279</v>
      </c>
      <c r="D8" s="1821" t="s">
        <v>2537</v>
      </c>
      <c r="E8" s="61" t="s">
        <v>637</v>
      </c>
      <c r="F8" s="782">
        <f ca="1">INDIRECT("'数据-取费表'!u"&amp;$G$1)</f>
        <v>1.8</v>
      </c>
      <c r="G8" s="1590"/>
      <c r="H8" s="2503" t="s">
        <v>1825</v>
      </c>
      <c r="I8" s="3452" t="s">
        <v>2466</v>
      </c>
      <c r="J8" s="780">
        <f ca="1">ROUND(M8*M10*M9*(1-M11)/10000,0)</f>
        <v>0</v>
      </c>
      <c r="K8" s="338" t="s">
        <v>2537</v>
      </c>
      <c r="L8" s="781" t="s">
        <v>637</v>
      </c>
      <c r="M8" s="782">
        <f ca="1">INDIRECT("'数据-取费表'!z"&amp;$G$1)</f>
        <v>0</v>
      </c>
    </row>
    <row r="9" spans="1:25" ht="18" customHeight="1">
      <c r="A9" s="2499"/>
      <c r="B9" s="3453"/>
      <c r="C9" s="1825"/>
      <c r="D9" s="1822"/>
      <c r="E9" s="61" t="s">
        <v>638</v>
      </c>
      <c r="F9" s="782">
        <f ca="1">IF(INDIRECT("'数据-取费表'!ah"&amp;$G$1)="",INDIRECT("'数据-取费表'!k"&amp;$G$1),INDIRECT("'数据-取费表'!ah"&amp;$G$1))</f>
        <v>100595</v>
      </c>
      <c r="G9" s="1590"/>
      <c r="H9" s="2488"/>
      <c r="I9" s="3453"/>
      <c r="J9" s="785"/>
      <c r="K9" s="786"/>
      <c r="L9" s="781" t="s">
        <v>638</v>
      </c>
      <c r="M9" s="782">
        <f ca="1">F9</f>
        <v>100595</v>
      </c>
    </row>
    <row r="10" spans="1:25" ht="18" customHeight="1">
      <c r="A10" s="2492"/>
      <c r="B10" s="3454"/>
      <c r="C10" s="1825"/>
      <c r="D10" s="1822"/>
      <c r="E10" s="61" t="s">
        <v>639</v>
      </c>
      <c r="F10" s="782">
        <f ca="1">INDIRECT("'数据-取费表'!ai"&amp;$G$1)</f>
        <v>365</v>
      </c>
      <c r="G10" s="1590"/>
      <c r="H10" s="2488"/>
      <c r="I10" s="3454"/>
      <c r="J10" s="785"/>
      <c r="K10" s="786"/>
      <c r="L10" s="781" t="s">
        <v>639</v>
      </c>
      <c r="M10" s="782">
        <f ca="1">INDIRECT("'数据-取费表'!ai"&amp;$G$1)</f>
        <v>365</v>
      </c>
    </row>
    <row r="11" spans="1:25" ht="18" customHeight="1">
      <c r="A11" s="783"/>
      <c r="B11" s="3455"/>
      <c r="C11" s="1825"/>
      <c r="D11" s="1822"/>
      <c r="E11" s="61" t="s">
        <v>640</v>
      </c>
      <c r="F11" s="791">
        <f ca="1">INDIRECT("'数据-取费表'!w"&amp;$G$1)</f>
        <v>0.05</v>
      </c>
      <c r="G11" s="1590"/>
      <c r="H11" s="2504"/>
      <c r="I11" s="3454"/>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8</v>
      </c>
      <c r="D12" s="2500" t="s">
        <v>2979</v>
      </c>
      <c r="E12" s="2497" t="s">
        <v>2467</v>
      </c>
      <c r="F12" s="2620" t="s">
        <v>3016</v>
      </c>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91982</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50425</v>
      </c>
      <c r="D16" s="3175" t="s">
        <v>646</v>
      </c>
      <c r="E16" s="3174"/>
      <c r="F16" s="802"/>
      <c r="G16" s="1590"/>
      <c r="H16" s="800" t="s">
        <v>1825</v>
      </c>
      <c r="I16" s="2230" t="s">
        <v>2828</v>
      </c>
      <c r="J16" s="53">
        <f ca="1">C31</f>
        <v>91982</v>
      </c>
      <c r="K16" s="26"/>
      <c r="L16" s="798"/>
      <c r="M16" s="799"/>
    </row>
    <row r="17" spans="1:25" s="2063" customFormat="1" ht="18" customHeight="1">
      <c r="A17" s="800" t="s">
        <v>1850</v>
      </c>
      <c r="B17" s="781" t="s">
        <v>647</v>
      </c>
      <c r="C17" s="53">
        <f ca="1">ROUND(C16*F17,0)</f>
        <v>1513</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2515</v>
      </c>
      <c r="D18" s="781" t="s">
        <v>648</v>
      </c>
      <c r="E18" s="781" t="s">
        <v>649</v>
      </c>
      <c r="F18" s="806">
        <f ca="1">IF(INDIRECT("'数据-取费表'!c"&amp;$G$1)="住宅",'数据-取费表'!B34,0)</f>
        <v>0.05</v>
      </c>
      <c r="G18" s="1590"/>
      <c r="H18" s="794" t="s">
        <v>1828</v>
      </c>
      <c r="I18" s="795" t="s">
        <v>651</v>
      </c>
      <c r="J18" s="796">
        <f ca="1">ROUND(J19+J24+J25+J26,0)</f>
        <v>9114</v>
      </c>
      <c r="K18" s="26" t="s">
        <v>652</v>
      </c>
      <c r="L18" s="3183"/>
      <c r="M18" s="56"/>
    </row>
    <row r="19" spans="1:25" s="2063" customFormat="1" ht="18" customHeight="1">
      <c r="A19" s="800" t="s">
        <v>1852</v>
      </c>
      <c r="B19" s="781" t="s">
        <v>653</v>
      </c>
      <c r="C19" s="53">
        <f ca="1">ROUND(F19*(INDIRECT("'数据-取费表'!k"&amp;$G$1)+INDIRECT("'数据-取费表'!S"&amp;$G$1))/10000,0)</f>
        <v>2019</v>
      </c>
      <c r="D19" s="781" t="s">
        <v>654</v>
      </c>
      <c r="E19" s="781" t="s">
        <v>655</v>
      </c>
      <c r="F19" s="56">
        <f>'数据-取费表'!B35</f>
        <v>200</v>
      </c>
      <c r="G19" s="1591"/>
      <c r="H19" s="800" t="s">
        <v>1825</v>
      </c>
      <c r="I19" s="781" t="s">
        <v>656</v>
      </c>
      <c r="J19" s="53">
        <f ca="1">ROUND(IF(项目基本情况!B11="自然人",J7*M19,J20+J21+J22),0)</f>
        <v>7734</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756</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57228</v>
      </c>
      <c r="D21" s="261" t="s">
        <v>663</v>
      </c>
      <c r="E21" s="3183"/>
      <c r="F21" s="56"/>
      <c r="G21" s="1590"/>
      <c r="H21" s="1829" t="s">
        <v>1850</v>
      </c>
      <c r="I21" s="781" t="s">
        <v>664</v>
      </c>
      <c r="J21" s="53">
        <f ca="1">IF(K21="按租金收入计税",ROUND(J7*M21,1),ROUND(C31*F35*0.7,1))</f>
        <v>7726.5</v>
      </c>
      <c r="K21" s="808" t="s">
        <v>665</v>
      </c>
      <c r="L21" s="781" t="s">
        <v>649</v>
      </c>
      <c r="M21" s="806">
        <f>IF(K21="按租金收入计税",'数据-取费表'!B51,'数据-取费表'!B50)</f>
        <v>1.2E-2</v>
      </c>
    </row>
    <row r="22" spans="1:25" s="2063" customFormat="1" ht="18" customHeight="1">
      <c r="A22" s="800" t="s">
        <v>1878</v>
      </c>
      <c r="B22" s="781" t="s">
        <v>666</v>
      </c>
      <c r="C22" s="53">
        <f ca="1">ROUND(C21*F22,0)</f>
        <v>1145</v>
      </c>
      <c r="D22" s="809" t="s">
        <v>667</v>
      </c>
      <c r="E22" s="781" t="s">
        <v>649</v>
      </c>
      <c r="F22" s="806">
        <f>'数据-取费表'!B37</f>
        <v>0.02</v>
      </c>
      <c r="G22" s="1591"/>
      <c r="H22" s="1831" t="s">
        <v>1851</v>
      </c>
      <c r="I22" s="1821" t="s">
        <v>668</v>
      </c>
      <c r="J22" s="54">
        <f ca="1">ROUND(M22*M23/10000,0)</f>
        <v>7</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45889.5</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1380</v>
      </c>
      <c r="K24" s="3176" t="s">
        <v>677</v>
      </c>
      <c r="L24" s="781" t="s">
        <v>649</v>
      </c>
      <c r="M24" s="814">
        <f ca="1">INDIRECT("'数据-取费表'!Ak"&amp;$G$1)</f>
        <v>1.4999999999999999E-2</v>
      </c>
    </row>
    <row r="25" spans="1:25" s="2063" customFormat="1" ht="18" customHeight="1">
      <c r="A25" s="800" t="s">
        <v>1876</v>
      </c>
      <c r="B25" s="781" t="s">
        <v>2440</v>
      </c>
      <c r="C25" s="53">
        <f ca="1">ROUND(IF('数据-取费表'!B22&lt;=1,(C21+C22)*F26*F25/2,(C21+C22)*(POWER((1+F26),F25/2)-1)),0)</f>
        <v>2773</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1.5E-3</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1.4999999999999999E-2</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-9114</v>
      </c>
      <c r="K27" s="3175" t="s">
        <v>700</v>
      </c>
      <c r="L27" s="3173"/>
      <c r="M27" s="817"/>
    </row>
    <row r="28" spans="1:25" ht="18" customHeight="1">
      <c r="A28" s="800" t="s">
        <v>1876</v>
      </c>
      <c r="B28" s="781" t="s">
        <v>2441</v>
      </c>
      <c r="C28" s="53">
        <f ca="1">ROUND((C21+C22)*F28,0)</f>
        <v>23349</v>
      </c>
      <c r="D28" s="809" t="s">
        <v>701</v>
      </c>
      <c r="E28" s="792" t="s">
        <v>702</v>
      </c>
      <c r="F28" s="791">
        <f ca="1">INDIRECT("'数据-取费表'!q"&amp;$G$1)</f>
        <v>0.4</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8.0000000000000002E-3</v>
      </c>
      <c r="D29" s="809" t="s">
        <v>706</v>
      </c>
      <c r="E29" s="803"/>
      <c r="F29" s="804"/>
      <c r="G29" s="1590"/>
      <c r="H29" s="783"/>
      <c r="I29" s="784"/>
      <c r="J29" s="785"/>
      <c r="K29" s="818" t="s">
        <v>707</v>
      </c>
      <c r="L29" s="781" t="s">
        <v>708</v>
      </c>
      <c r="M29" s="819">
        <f ca="1">INDIRECT("'数据-取费表'!ag"&amp;$G$1)</f>
        <v>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91982</v>
      </c>
      <c r="D31" s="2544"/>
      <c r="E31" s="2545"/>
      <c r="F31" s="2546"/>
      <c r="G31" s="1591"/>
      <c r="H31" s="820" t="s">
        <v>1873</v>
      </c>
      <c r="I31" s="3009" t="s">
        <v>2827</v>
      </c>
      <c r="J31" s="822">
        <f ca="1">ROUND(J28/(1+F45)^F46,0)</f>
        <v>0</v>
      </c>
      <c r="K31" s="823" t="s">
        <v>688</v>
      </c>
      <c r="L31" s="824"/>
      <c r="M31" s="825">
        <f ca="1">INDIRECT("'数据-取费表'!k"&amp;$G$1)</f>
        <v>100595</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2703</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1090.5999999999999</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329.3</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754.4</v>
      </c>
      <c r="D35" s="808" t="s">
        <v>3027</v>
      </c>
      <c r="E35" s="781" t="s">
        <v>649</v>
      </c>
      <c r="F35" s="806">
        <f>IF(D35="按租金收入计税",'数据-取费表'!B51,'数据-取费表'!B50)</f>
        <v>0.12</v>
      </c>
      <c r="G35" s="2061"/>
      <c r="H35" s="2076"/>
      <c r="I35" s="2076"/>
      <c r="J35" s="2076"/>
      <c r="K35" s="2077"/>
      <c r="L35" s="2076"/>
      <c r="M35" s="2076"/>
    </row>
    <row r="36" spans="1:18" ht="18" customHeight="1">
      <c r="A36" s="810" t="s">
        <v>1834</v>
      </c>
      <c r="B36" s="338" t="s">
        <v>668</v>
      </c>
      <c r="C36" s="54">
        <f ca="1">ROUND(F36*F37/10000,1)</f>
        <v>6.9</v>
      </c>
      <c r="D36" s="811" t="s">
        <v>669</v>
      </c>
      <c r="E36" s="781" t="s">
        <v>670</v>
      </c>
      <c r="F36" s="637">
        <f>'数据-取费表'!B52</f>
        <v>1.5</v>
      </c>
      <c r="G36" s="2061"/>
      <c r="H36" s="2064"/>
      <c r="I36" s="3456"/>
      <c r="J36" s="2078"/>
      <c r="K36" s="2079"/>
      <c r="L36" s="2078"/>
      <c r="M36" s="2078"/>
    </row>
    <row r="37" spans="1:18" ht="18" customHeight="1">
      <c r="A37" s="812"/>
      <c r="B37" s="790"/>
      <c r="C37" s="69"/>
      <c r="D37" s="813"/>
      <c r="E37" s="781" t="s">
        <v>674</v>
      </c>
      <c r="F37" s="782">
        <f ca="1">INDIRECT("'数据-取费表'!r"&amp;$G$1)</f>
        <v>45889.5</v>
      </c>
      <c r="G37" s="2061"/>
      <c r="H37" s="2064"/>
      <c r="I37" s="3456"/>
      <c r="J37" s="2076"/>
      <c r="K37" s="2077"/>
      <c r="L37" s="2076"/>
      <c r="M37" s="2076"/>
    </row>
    <row r="38" spans="1:18" ht="18" customHeight="1">
      <c r="A38" s="800" t="s">
        <v>1878</v>
      </c>
      <c r="B38" s="781" t="s">
        <v>676</v>
      </c>
      <c r="C38" s="53">
        <f ca="1">ROUND(C31*F38,1)</f>
        <v>1379.7</v>
      </c>
      <c r="D38" s="3176" t="s">
        <v>691</v>
      </c>
      <c r="E38" s="781" t="s">
        <v>649</v>
      </c>
      <c r="F38" s="814">
        <f ca="1">INDIRECT("'数据-取费表'!Ak"&amp;$G$1)</f>
        <v>1.4999999999999999E-2</v>
      </c>
      <c r="G38" s="2061"/>
      <c r="H38" s="2076"/>
      <c r="I38" s="3182"/>
      <c r="J38" s="1987"/>
      <c r="K38" s="2081"/>
      <c r="L38" s="2076"/>
      <c r="M38" s="2076"/>
    </row>
    <row r="39" spans="1:18" ht="18" customHeight="1">
      <c r="A39" s="800" t="s">
        <v>1879</v>
      </c>
      <c r="B39" s="781" t="s">
        <v>679</v>
      </c>
      <c r="C39" s="53">
        <f ca="1">ROUND(C15*F39,1)</f>
        <v>138</v>
      </c>
      <c r="D39" s="3176" t="s">
        <v>680</v>
      </c>
      <c r="E39" s="781" t="s">
        <v>649</v>
      </c>
      <c r="F39" s="815">
        <f ca="1">INDIRECT("'数据-取费表'!Al"&amp;$G$1)</f>
        <v>1.5E-3</v>
      </c>
      <c r="G39" s="2061"/>
      <c r="H39" s="2076"/>
      <c r="I39" s="3182"/>
      <c r="J39" s="1987"/>
      <c r="K39" s="2081"/>
      <c r="L39" s="2076"/>
      <c r="M39" s="2076"/>
    </row>
    <row r="40" spans="1:18" ht="18" customHeight="1" thickBot="1">
      <c r="A40" s="2559" t="s">
        <v>1880</v>
      </c>
      <c r="B40" s="2545" t="s">
        <v>666</v>
      </c>
      <c r="C40" s="2543">
        <f ca="1">ROUND(C7*F40,1)</f>
        <v>94.3</v>
      </c>
      <c r="D40" s="2544" t="s">
        <v>683</v>
      </c>
      <c r="E40" s="2545" t="s">
        <v>649</v>
      </c>
      <c r="F40" s="2541">
        <f ca="1">INDIRECT("'数据-取费表'!Am"&amp;$G$1)</f>
        <v>1.4999999999999999E-2</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3584</v>
      </c>
      <c r="D42" s="3175" t="s">
        <v>694</v>
      </c>
      <c r="E42" s="3173"/>
      <c r="F42" s="817"/>
      <c r="G42" s="2061"/>
      <c r="H42" s="2061"/>
      <c r="I42" s="2061"/>
      <c r="J42" s="2061"/>
      <c r="K42" s="2082"/>
      <c r="L42" s="2061"/>
      <c r="M42" s="2061"/>
    </row>
    <row r="43" spans="1:18" ht="18" customHeight="1">
      <c r="A43" s="800" t="s">
        <v>1878</v>
      </c>
      <c r="B43" s="832" t="s">
        <v>711</v>
      </c>
      <c r="C43" s="833">
        <f ca="1">ROUND(C15*F43,0)</f>
        <v>7818</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-4234</v>
      </c>
      <c r="D44" s="460" t="s">
        <v>714</v>
      </c>
      <c r="E44" s="461"/>
      <c r="F44" s="462"/>
      <c r="G44" s="2061"/>
      <c r="H44" s="2061"/>
      <c r="I44" s="2061"/>
      <c r="J44" s="2061"/>
      <c r="K44" s="2082"/>
      <c r="L44" s="2061"/>
      <c r="M44" s="2061"/>
    </row>
    <row r="45" spans="1:18" ht="18" customHeight="1">
      <c r="A45" s="800" t="s">
        <v>1880</v>
      </c>
      <c r="B45" s="1353" t="s">
        <v>715</v>
      </c>
      <c r="C45" s="3035">
        <f ca="1">ROUND(-PV(F45,F46,C44,0),0)</f>
        <v>-98498</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68</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f ca="1">IF(M48="住宅",0,IF(L49&gt;J52,L61,J61))</f>
        <v>0</v>
      </c>
      <c r="O47" s="2393" t="s">
        <v>2413</v>
      </c>
      <c r="P47" s="1590"/>
      <c r="Q47" s="1602"/>
      <c r="R47" s="1590"/>
    </row>
    <row r="48" spans="1:18" s="2058" customFormat="1" ht="18" customHeight="1" thickBot="1">
      <c r="A48" s="2083"/>
      <c r="C48" s="2086"/>
      <c r="D48" s="2087"/>
      <c r="E48" s="2087"/>
      <c r="F48" s="2088"/>
      <c r="G48" s="2089"/>
      <c r="I48" s="3144" t="s">
        <v>2347</v>
      </c>
      <c r="J48" s="2380" t="s">
        <v>3017</v>
      </c>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t="s">
        <v>3028</v>
      </c>
      <c r="K49" s="3152" t="s">
        <v>2354</v>
      </c>
      <c r="L49" s="1907">
        <f ca="1">INDIRECT("'数据-取费表'!f"&amp;$G$1)</f>
        <v>70</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v>2019</v>
      </c>
      <c r="K50" s="3153" t="s">
        <v>2355</v>
      </c>
      <c r="L50" s="2383"/>
      <c r="O50" s="2397" t="s">
        <v>2384</v>
      </c>
      <c r="P50" s="2398" t="s">
        <v>2409</v>
      </c>
      <c r="Q50" s="2399">
        <f ca="1">J61</f>
        <v>0</v>
      </c>
      <c r="R50" s="2398" t="s">
        <v>2385</v>
      </c>
    </row>
    <row r="51" spans="1:18" s="2058" customFormat="1" ht="18" customHeight="1" thickBot="1">
      <c r="A51" s="2095"/>
      <c r="D51" s="2093"/>
      <c r="E51" s="2093"/>
      <c r="F51" s="2084"/>
      <c r="H51" s="2092"/>
      <c r="I51" s="3122" t="s">
        <v>2350</v>
      </c>
      <c r="J51" s="3148">
        <f>SUMPRODUCT((I64:I66=J48)*(J63:L63=J49)*(J64:L66))</f>
        <v>60</v>
      </c>
      <c r="K51" s="3153" t="s">
        <v>2356</v>
      </c>
      <c r="L51" s="2383"/>
      <c r="O51" s="2400" t="s">
        <v>2386</v>
      </c>
      <c r="P51" s="2398" t="s">
        <v>2410</v>
      </c>
      <c r="Q51" s="2399">
        <f ca="1">C31</f>
        <v>91982</v>
      </c>
      <c r="R51" s="2398" t="s">
        <v>2383</v>
      </c>
    </row>
    <row r="52" spans="1:18" s="2058" customFormat="1" ht="18" customHeight="1" thickBot="1">
      <c r="A52" s="2095"/>
      <c r="F52" s="2084"/>
      <c r="I52" s="3145" t="s">
        <v>2351</v>
      </c>
      <c r="J52" s="3149">
        <f>IF(J50="",J51,J50+J51-YEAR('数据-取费表'!B3))</f>
        <v>179</v>
      </c>
      <c r="K52" s="3122" t="s">
        <v>2357</v>
      </c>
      <c r="L52" s="3156">
        <f ca="1">ROUND(-PV(INDIRECT("'数据-取费表'!h"&amp;$G$1),L49,(C40-C14*J36),0),0)</f>
        <v>2206</v>
      </c>
      <c r="O52" s="2400" t="s">
        <v>2387</v>
      </c>
      <c r="P52" s="2398" t="s">
        <v>2388</v>
      </c>
      <c r="Q52" s="2401">
        <f ca="1">J59</f>
        <v>1.8169999999999999</v>
      </c>
      <c r="R52" s="2402"/>
    </row>
    <row r="53" spans="1:18" s="2058" customFormat="1" ht="18" customHeight="1" thickBot="1">
      <c r="A53" s="2095"/>
      <c r="F53" s="2084"/>
      <c r="I53" s="3146" t="s">
        <v>2424</v>
      </c>
      <c r="J53" s="2384">
        <f>'数据-取费表'!J6+0.5%</f>
        <v>9.0000000000000011E-2</v>
      </c>
      <c r="K53" s="3146" t="s">
        <v>2423</v>
      </c>
      <c r="L53" s="2384"/>
      <c r="O53" s="2400" t="s">
        <v>2389</v>
      </c>
      <c r="P53" s="2398" t="s">
        <v>2390</v>
      </c>
      <c r="Q53" s="2401">
        <f>J53</f>
        <v>9.0000000000000011E-2</v>
      </c>
      <c r="R53" s="2402"/>
    </row>
    <row r="54" spans="1:18" s="2058" customFormat="1" ht="29.25" thickBot="1">
      <c r="A54" s="2095"/>
      <c r="I54" s="3147" t="s">
        <v>2984</v>
      </c>
      <c r="J54" s="3150">
        <f ca="1">IF(M48="住宅",MAX(J52,L49-'数据-取费表'!B20),MIN(J52,L49-'数据-取费表'!B20))</f>
        <v>68</v>
      </c>
      <c r="K54" s="3457"/>
      <c r="L54" s="3458"/>
      <c r="O54" s="2400" t="s">
        <v>2391</v>
      </c>
      <c r="P54" s="2398" t="s">
        <v>2392</v>
      </c>
      <c r="Q54" s="2399">
        <f ca="1">J54</f>
        <v>68</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3157"/>
      <c r="K55" s="3158"/>
      <c r="O55" s="2397" t="s">
        <v>2394</v>
      </c>
      <c r="P55" s="2398" t="s">
        <v>2411</v>
      </c>
      <c r="Q55" s="2399">
        <f ca="1">Q49+Q50</f>
        <v>0</v>
      </c>
      <c r="R55" s="2402" t="s">
        <v>2395</v>
      </c>
    </row>
    <row r="56" spans="1:18" s="2058" customFormat="1" ht="16.5" thickBot="1">
      <c r="A56" s="2095"/>
      <c r="B56" s="2096"/>
      <c r="C56" s="2096"/>
      <c r="I56" s="3159" t="s">
        <v>2358</v>
      </c>
      <c r="J56" s="3099">
        <f ca="1">ROUND(IF(J48="钢混",J58/J51,1-(1-2%)*(J51-J58)/J51),3)</f>
        <v>1.8169999999999999</v>
      </c>
      <c r="K56" s="3160" t="s">
        <v>2359</v>
      </c>
      <c r="L56" s="2385"/>
      <c r="O56" s="2403" t="s">
        <v>2414</v>
      </c>
      <c r="P56" s="1590"/>
      <c r="Q56" s="1602"/>
      <c r="R56" s="1590"/>
    </row>
    <row r="57" spans="1:18" s="2058" customFormat="1" ht="43.5" thickBot="1">
      <c r="A57" s="2095"/>
      <c r="B57" s="2096"/>
      <c r="C57" s="2096"/>
      <c r="I57" s="3161" t="s">
        <v>2360</v>
      </c>
      <c r="J57" s="3171" t="s">
        <v>3015</v>
      </c>
      <c r="K57" s="3122" t="s">
        <v>2365</v>
      </c>
      <c r="L57" s="1907" t="str">
        <f ca="1">IF(L49&lt;J52,"——",L49-J52)</f>
        <v>——</v>
      </c>
      <c r="O57" s="2394" t="s">
        <v>2378</v>
      </c>
      <c r="P57" s="2395" t="s">
        <v>2379</v>
      </c>
      <c r="Q57" s="2396" t="s">
        <v>2380</v>
      </c>
      <c r="R57" s="2395" t="s">
        <v>2381</v>
      </c>
    </row>
    <row r="58" spans="1:18" s="2058" customFormat="1" ht="29.25" thickBot="1">
      <c r="A58" s="2095"/>
      <c r="B58" s="2096"/>
      <c r="C58" s="2096"/>
      <c r="I58" s="3162" t="s">
        <v>2361</v>
      </c>
      <c r="J58" s="3163">
        <f ca="1">IF(OR(M48="住宅",J52&lt;L49,J57="是"),"——",J52-L49)</f>
        <v>109</v>
      </c>
      <c r="K58" s="3122" t="s">
        <v>2366</v>
      </c>
      <c r="L58" s="1907" t="str">
        <f ca="1">IF(L49&lt;J52,"——",IF(L56="比较法",L50,IF(L56="基准地价",L51,L52)))</f>
        <v>——</v>
      </c>
      <c r="O58" s="2397" t="s">
        <v>2382</v>
      </c>
      <c r="P58" s="2398" t="s">
        <v>2408</v>
      </c>
      <c r="Q58" s="2399">
        <f ca="1">C41+J31</f>
        <v>0</v>
      </c>
      <c r="R58" s="2398" t="s">
        <v>2383</v>
      </c>
    </row>
    <row r="59" spans="1:18" s="2058" customFormat="1" ht="29.25" thickBot="1">
      <c r="A59" s="2095"/>
      <c r="B59" s="2096"/>
      <c r="C59" s="2096"/>
      <c r="I59" s="3162" t="s">
        <v>2362</v>
      </c>
      <c r="J59" s="3100">
        <f ca="1">IF(J56&lt;0.4,0.4,J56)</f>
        <v>1.8169999999999999</v>
      </c>
      <c r="K59" s="3122" t="s">
        <v>2367</v>
      </c>
      <c r="L59" s="1907">
        <f ca="1">IF(ISERROR(POWER(1+L53,L48-L49)*(POWER(1+L53,L49)-1)/(POWER(1+L53,L48)-1)),0,POWER(1+L53,L48-L49)*(POWER(1+L53,L49)-1)/(POWER(1+L53,L48)-1))</f>
        <v>0</v>
      </c>
      <c r="O59" s="2397" t="s">
        <v>2384</v>
      </c>
      <c r="P59" s="2398" t="s">
        <v>2415</v>
      </c>
      <c r="Q59" s="2399">
        <f ca="1">L61</f>
        <v>0</v>
      </c>
      <c r="R59" s="2402" t="s">
        <v>2417</v>
      </c>
    </row>
    <row r="60" spans="1:18" s="2058" customFormat="1" ht="29.25" thickBot="1">
      <c r="A60" s="2095"/>
      <c r="B60" s="2096"/>
      <c r="C60" s="2096"/>
      <c r="I60" s="3162" t="s">
        <v>2363</v>
      </c>
      <c r="J60" s="3163">
        <f ca="1">IF(OR(M48="住宅",J52&lt;L49,J57="是"),"——",ROUND(C30*J59,0))</f>
        <v>0</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f ca="1">IF(OR(M48="住宅",J52&lt;L49,J57="是"),"0",ROUND(J60/(1+J53)^J54,0))</f>
        <v>0</v>
      </c>
      <c r="K61" s="3166" t="s">
        <v>2369</v>
      </c>
      <c r="L61" s="3165">
        <f ca="1">IF(OR(M48="住宅",L49&lt;J52),0,ROUND(L58*(L59/L60-1),0))</f>
        <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f ca="1">Q58+Q59</f>
        <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f ca="1">L61</f>
        <v>0</v>
      </c>
      <c r="R68" s="2402" t="s">
        <v>2417</v>
      </c>
    </row>
    <row r="69" spans="1:18" s="2058" customFormat="1" ht="21.75" thickBot="1">
      <c r="A69" s="2095"/>
      <c r="B69" s="2096"/>
      <c r="C69" s="2096"/>
      <c r="K69" s="2085"/>
      <c r="O69" s="2400" t="s">
        <v>2386</v>
      </c>
      <c r="P69" s="2398" t="s">
        <v>2416</v>
      </c>
      <c r="Q69" s="2404">
        <f ca="1">L52</f>
        <v>2206</v>
      </c>
      <c r="R69" s="2405" t="s">
        <v>2419</v>
      </c>
    </row>
    <row r="70" spans="1:18" s="2058" customFormat="1" ht="20.25" thickBot="1">
      <c r="A70" s="2095"/>
      <c r="B70" s="2096"/>
      <c r="C70" s="2096"/>
      <c r="K70" s="2085"/>
      <c r="O70" s="2400" t="s">
        <v>2387</v>
      </c>
      <c r="P70" s="2406" t="s">
        <v>2401</v>
      </c>
      <c r="Q70" s="2399">
        <f ca="1">ROUND(Q71-Q72*Q73,0)</f>
        <v>-4234</v>
      </c>
      <c r="R70" s="2402"/>
    </row>
    <row r="71" spans="1:18" s="2058" customFormat="1" ht="15.75" thickBot="1">
      <c r="A71" s="2095"/>
      <c r="B71" s="2096"/>
      <c r="C71" s="2096"/>
      <c r="K71" s="2085"/>
      <c r="O71" s="2400" t="s">
        <v>2402</v>
      </c>
      <c r="P71" s="2406" t="s">
        <v>2403</v>
      </c>
      <c r="Q71" s="2399">
        <f ca="1">C42</f>
        <v>3584</v>
      </c>
      <c r="R71" s="2398" t="s">
        <v>2383</v>
      </c>
    </row>
    <row r="72" spans="1:18" s="2058" customFormat="1" ht="15.75" thickBot="1">
      <c r="A72" s="2095"/>
      <c r="B72" s="2096"/>
      <c r="C72" s="2096"/>
      <c r="K72" s="2085"/>
      <c r="O72" s="2400" t="s">
        <v>2404</v>
      </c>
      <c r="P72" s="2406" t="s">
        <v>2405</v>
      </c>
      <c r="Q72" s="2399">
        <f ca="1">C15</f>
        <v>91982</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f ca="1">Q67+Q68</f>
        <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63" priority="6">
      <formula>$F$12="自定义"</formula>
    </cfRule>
  </conditionalFormatting>
  <conditionalFormatting sqref="J13">
    <cfRule type="expression" dxfId="162" priority="5">
      <formula>$M$10="自定义"</formula>
    </cfRule>
  </conditionalFormatting>
  <conditionalFormatting sqref="K56">
    <cfRule type="expression" dxfId="161" priority="3">
      <formula>$L$48&gt;$J$51</formula>
    </cfRule>
  </conditionalFormatting>
  <conditionalFormatting sqref="I56">
    <cfRule type="expression" dxfId="160" priority="4">
      <formula>$J$51&gt;$L$48</formula>
    </cfRule>
  </conditionalFormatting>
  <conditionalFormatting sqref="I61">
    <cfRule type="expression" dxfId="159" priority="2">
      <formula>$J$51&gt;$L$48</formula>
    </cfRule>
  </conditionalFormatting>
  <conditionalFormatting sqref="K61">
    <cfRule type="expression" dxfId="158"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SUMIF(L1:L12,'基准地价-商业'!G2,M1:M12)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45"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3178" t="s">
        <v>2768</v>
      </c>
      <c r="X7" s="2924">
        <f>G2</f>
        <v>0</v>
      </c>
      <c r="Y7" s="2924" t="s">
        <v>2769</v>
      </c>
      <c r="Z7" s="2925">
        <f>G3</f>
        <v>2.2000000000000002</v>
      </c>
      <c r="AA7" s="2191"/>
      <c r="AB7" s="2191"/>
      <c r="AC7" s="2192"/>
      <c r="AD7" s="2926"/>
      <c r="AE7" s="2926"/>
      <c r="AF7" s="2926"/>
      <c r="AG7" s="2926"/>
      <c r="AH7" s="2926"/>
      <c r="AI7" s="2926"/>
      <c r="AJ7" s="2927"/>
    </row>
    <row r="8" spans="1:39" ht="15">
      <c r="A8" s="3446"/>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47" t="s">
        <v>2786</v>
      </c>
      <c r="X8" s="3448"/>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6"/>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49"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6"/>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49"/>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6"/>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49"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5"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49"/>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0"/>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49"/>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50"/>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51"/>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45"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46"/>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5"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6"/>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6"/>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7"/>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38" t="s">
        <v>1634</v>
      </c>
      <c r="B90" s="3438"/>
      <c r="C90" s="3438"/>
      <c r="D90" s="3438"/>
      <c r="E90" s="3438"/>
      <c r="F90" s="3438"/>
      <c r="G90" s="3438"/>
      <c r="H90" s="3438"/>
      <c r="I90" s="3438"/>
      <c r="J90" s="3438"/>
      <c r="K90" s="3180"/>
      <c r="L90" s="3180"/>
      <c r="M90" s="3180"/>
      <c r="N90" s="3180"/>
    </row>
    <row r="91" spans="1:40">
      <c r="A91" s="3439" t="s">
        <v>922</v>
      </c>
      <c r="B91" s="3439" t="s">
        <v>1635</v>
      </c>
      <c r="C91" s="1137" t="s">
        <v>1636</v>
      </c>
      <c r="D91" s="1138"/>
      <c r="E91" s="1138"/>
      <c r="F91" s="1138"/>
      <c r="G91" s="1138"/>
      <c r="H91" s="1138"/>
      <c r="I91" s="1138"/>
      <c r="J91" s="1139"/>
      <c r="K91" s="1131"/>
      <c r="L91" s="1131"/>
      <c r="M91" s="1131"/>
      <c r="N91" s="1131"/>
    </row>
    <row r="92" spans="1:40">
      <c r="A92" s="3439"/>
      <c r="B92" s="3439"/>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40"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1"/>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0" t="s">
        <v>1638</v>
      </c>
      <c r="B101" s="1144" t="s">
        <v>883</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41"/>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41"/>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41"/>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41"/>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41"/>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41"/>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41"/>
      <c r="B108" s="3443"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2"/>
      <c r="B109" s="3444"/>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34" t="s">
        <v>1640</v>
      </c>
      <c r="B110" s="3434"/>
      <c r="C110" s="3434"/>
      <c r="D110" s="3434"/>
      <c r="E110" s="3434"/>
      <c r="F110" s="3434"/>
      <c r="G110" s="3434"/>
      <c r="H110" s="3434"/>
      <c r="I110" s="3434"/>
      <c r="J110" s="3434"/>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1" sqref="B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-56295</v>
      </c>
      <c r="C2" s="2103"/>
      <c r="D2" s="2103"/>
      <c r="E2" s="2103"/>
      <c r="F2" s="2103"/>
      <c r="G2" s="2103"/>
      <c r="H2" s="2103"/>
      <c r="I2" s="2103"/>
      <c r="J2" s="2103"/>
      <c r="K2" s="2103"/>
    </row>
    <row r="3" spans="1:31" s="2040" customFormat="1" ht="18" customHeight="1">
      <c r="A3" s="2105" t="s">
        <v>1685</v>
      </c>
      <c r="B3" s="2106">
        <f ca="1">ROUND(B2*10000/IF(B1="",'数据-汇总表'!E3,INDIRECT("'数据-取费表'!K"&amp;$K$1)),0)</f>
        <v>-5576</v>
      </c>
      <c r="C3" s="2103"/>
      <c r="D3" s="2103"/>
      <c r="E3" s="2103"/>
      <c r="F3" s="2103"/>
      <c r="G3" s="2103"/>
      <c r="H3" s="2103"/>
      <c r="I3" s="2103"/>
      <c r="J3" s="2103"/>
      <c r="K3" s="2103"/>
    </row>
    <row r="4" spans="1:31" s="2040" customFormat="1" ht="18" customHeight="1">
      <c r="A4" s="423" t="s">
        <v>468</v>
      </c>
      <c r="B4" s="424">
        <f ca="1">ROUND(B2*10000/IF(B1="",'数据-汇总表'!D3,INDIRECT("'数据-取费表'!R"&amp;$K$1)),0)</f>
        <v>-12268</v>
      </c>
      <c r="C4" s="425"/>
      <c r="D4" s="419"/>
      <c r="E4" s="419"/>
      <c r="F4" s="419"/>
      <c r="G4" s="419"/>
      <c r="H4" s="419"/>
      <c r="I4" s="419"/>
      <c r="J4" s="419"/>
      <c r="K4" s="419"/>
    </row>
    <row r="5" spans="1:31" s="2040" customFormat="1" ht="18" customHeight="1" thickBot="1">
      <c r="A5" s="426"/>
      <c r="B5" s="427">
        <f ca="1">ROUND(B2/(IF(B1="",'数据-汇总表'!D3,INDIRECT("'数据-取费表'!R"&amp;$K$1))/666.67),0)</f>
        <v>-818</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SUMIF('数据-汇总表'!$C19:$C33,'剩余法-商业'!C7,'数据-汇总表'!$E19:$E33)</f>
        <v>0</v>
      </c>
      <c r="D9" s="438">
        <f>SUMIF('数据-汇总表'!$C19:$C33,'剩余法-商业'!D7,'数据-汇总表'!$E19:$E33)</f>
        <v>0</v>
      </c>
      <c r="E9" s="438">
        <f>SUMIF('数据-汇总表'!$C19:$C33,'剩余法-商业'!E7,'数据-汇总表'!$E19:$E33)</f>
        <v>0</v>
      </c>
      <c r="F9" s="438">
        <f>SUMIF('数据-汇总表'!$C19:$C33,'剩余法-商业'!F7,'数据-汇总表'!$E19:$E33)</f>
        <v>0</v>
      </c>
      <c r="G9" s="438">
        <f>SUMIF('数据-汇总表'!$C19:$C33,'剩余法-商业'!G7,'数据-汇总表'!$E19:$E33)</f>
        <v>0</v>
      </c>
      <c r="H9" s="438">
        <f>SUMIF('数据-汇总表'!$C19:$C33,'剩余法-商业'!H7,'数据-汇总表'!$E19:$E33)</f>
        <v>0</v>
      </c>
      <c r="I9" s="438">
        <f>SUMIF('数据-汇总表'!$C19:$C33,'剩余法-商业'!I7,'数据-汇总表'!$E19:$E33)</f>
        <v>0</v>
      </c>
      <c r="J9" s="438">
        <f>SUMIF('数据-汇总表'!$C19:$C33,'剩余法-商业'!J7,'数据-汇总表'!$E19:$E33)</f>
        <v>0</v>
      </c>
      <c r="K9" s="439">
        <f>SUMIF('数据-汇总表'!$C19:$C33,'剩余法-商业'!K7,'数据-汇总表'!$E19:$E33)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50425</v>
      </c>
      <c r="D13" s="2841"/>
      <c r="E13" s="2842"/>
      <c r="F13" s="2843"/>
      <c r="G13" s="2809"/>
      <c r="H13" s="2810"/>
      <c r="I13" s="2810"/>
      <c r="J13" s="2810"/>
      <c r="K13" s="2811"/>
    </row>
    <row r="14" spans="1:31" s="2115" customFormat="1" ht="13.5" customHeight="1">
      <c r="A14" s="2839" t="s">
        <v>1850</v>
      </c>
      <c r="B14" s="2840" t="s">
        <v>480</v>
      </c>
      <c r="C14" s="53">
        <f ca="1">ROUND(C13*F14,0)</f>
        <v>1513</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2515</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756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57228</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1516</v>
      </c>
      <c r="D20" s="2851"/>
      <c r="E20" s="3172"/>
      <c r="F20" s="2852"/>
      <c r="G20" s="3086"/>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1175</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2846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2846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62765</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62765</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23968</v>
      </c>
      <c r="D33" s="464">
        <f ca="1">C34</f>
        <v>0.41160000000000002</v>
      </c>
      <c r="E33" s="466" t="s">
        <v>495</v>
      </c>
      <c r="F33" s="476">
        <f ca="1">IF(B1="",'数据-取费表'!Q16,INDIRECT("'数据-取费表'!q"&amp;$K$1))</f>
        <v>0.4</v>
      </c>
      <c r="G33" s="2813"/>
      <c r="H33" s="2814"/>
      <c r="I33" s="2814"/>
      <c r="J33" s="2814"/>
      <c r="K33" s="2815"/>
    </row>
    <row r="34" spans="1:11" s="2122" customFormat="1" ht="13.5" customHeight="1">
      <c r="A34" s="372" t="s">
        <v>1857</v>
      </c>
      <c r="B34" s="2860" t="s">
        <v>501</v>
      </c>
      <c r="C34" s="469">
        <f ca="1">ROUND((1+C25)*F33,4)</f>
        <v>0.41160000000000002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23968</v>
      </c>
      <c r="D35" s="1627"/>
      <c r="E35" s="2861"/>
      <c r="F35" s="1628"/>
      <c r="G35" s="2819"/>
      <c r="H35" s="2820"/>
      <c r="I35" s="2820"/>
      <c r="J35" s="2820"/>
      <c r="K35" s="2821"/>
    </row>
    <row r="36" spans="1:11" s="2084" customFormat="1" ht="13.5" customHeight="1" thickBot="1">
      <c r="A36" s="281" t="s">
        <v>1845</v>
      </c>
      <c r="B36" s="2823"/>
      <c r="C36" s="2862">
        <f ca="1">ROUND((C6-C30-C33)/(1+D30+D33),0)</f>
        <v>-56295</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c r="D1" s="2049"/>
      <c r="E1" s="2386" t="s">
        <v>870</v>
      </c>
      <c r="F1" s="2387">
        <f ca="1">J54</f>
        <v>0</v>
      </c>
      <c r="G1" s="771">
        <f>MATCH(C1,'数据-取费表'!A6:A16,0)+5</f>
        <v>7</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1685</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0</v>
      </c>
      <c r="D7" s="2495" t="s">
        <v>2464</v>
      </c>
      <c r="E7" s="2489"/>
      <c r="F7" s="2490"/>
      <c r="G7" s="1590"/>
      <c r="H7" s="778">
        <v>1</v>
      </c>
      <c r="I7" s="779" t="s">
        <v>2461</v>
      </c>
      <c r="J7" s="53">
        <f ca="1">J8+J12+J14</f>
        <v>0</v>
      </c>
      <c r="K7" s="2495" t="s">
        <v>2464</v>
      </c>
      <c r="L7" s="2489"/>
      <c r="M7" s="2490"/>
    </row>
    <row r="8" spans="1:25" ht="18" customHeight="1">
      <c r="A8" s="1829" t="s">
        <v>1825</v>
      </c>
      <c r="B8" s="3452" t="s">
        <v>2466</v>
      </c>
      <c r="C8" s="1824">
        <f ca="1">ROUND(F8*F10*F9*(1-F11)/10000,0)</f>
        <v>0</v>
      </c>
      <c r="D8" s="1821" t="s">
        <v>2537</v>
      </c>
      <c r="E8" s="61" t="s">
        <v>637</v>
      </c>
      <c r="F8" s="782">
        <f ca="1">INDIRECT("'数据-取费表'!u"&amp;$G$1)</f>
        <v>2</v>
      </c>
      <c r="G8" s="1590"/>
      <c r="H8" s="2503" t="s">
        <v>1825</v>
      </c>
      <c r="I8" s="3452" t="s">
        <v>2466</v>
      </c>
      <c r="J8" s="780">
        <f ca="1">ROUND(M8*M10*M9*(1-M11)/10000,0)</f>
        <v>0</v>
      </c>
      <c r="K8" s="338" t="s">
        <v>2537</v>
      </c>
      <c r="L8" s="781" t="s">
        <v>637</v>
      </c>
      <c r="M8" s="782">
        <f ca="1">INDIRECT("'数据-取费表'!z"&amp;$G$1)</f>
        <v>0</v>
      </c>
    </row>
    <row r="9" spans="1:25" ht="18" customHeight="1">
      <c r="A9" s="2499"/>
      <c r="B9" s="3453"/>
      <c r="C9" s="1825"/>
      <c r="D9" s="1822"/>
      <c r="E9" s="61" t="s">
        <v>638</v>
      </c>
      <c r="F9" s="782">
        <f ca="1">IF(INDIRECT("'数据-取费表'!ah"&amp;$G$1)="",INDIRECT("'数据-取费表'!k"&amp;$G$1),INDIRECT("'数据-取费表'!ah"&amp;$G$1))</f>
        <v>0</v>
      </c>
      <c r="G9" s="1590"/>
      <c r="H9" s="2488"/>
      <c r="I9" s="3453"/>
      <c r="J9" s="785"/>
      <c r="K9" s="786"/>
      <c r="L9" s="781" t="s">
        <v>638</v>
      </c>
      <c r="M9" s="782">
        <f ca="1">F9</f>
        <v>0</v>
      </c>
    </row>
    <row r="10" spans="1:25" ht="18" customHeight="1">
      <c r="A10" s="2492"/>
      <c r="B10" s="3454"/>
      <c r="C10" s="1825"/>
      <c r="D10" s="1822"/>
      <c r="E10" s="61" t="s">
        <v>639</v>
      </c>
      <c r="F10" s="782">
        <f ca="1">INDIRECT("'数据-取费表'!ai"&amp;$G$1)</f>
        <v>365</v>
      </c>
      <c r="G10" s="1590"/>
      <c r="H10" s="2488"/>
      <c r="I10" s="3454"/>
      <c r="J10" s="785"/>
      <c r="K10" s="786"/>
      <c r="L10" s="781" t="s">
        <v>639</v>
      </c>
      <c r="M10" s="782">
        <f ca="1">INDIRECT("'数据-取费表'!ai"&amp;$G$1)</f>
        <v>365</v>
      </c>
    </row>
    <row r="11" spans="1:25" ht="18" customHeight="1">
      <c r="A11" s="783"/>
      <c r="B11" s="3455"/>
      <c r="C11" s="1825"/>
      <c r="D11" s="1822"/>
      <c r="E11" s="61" t="s">
        <v>640</v>
      </c>
      <c r="F11" s="791">
        <f ca="1">INDIRECT("'数据-取费表'!w"&amp;$G$1)</f>
        <v>0.1</v>
      </c>
      <c r="G11" s="1590"/>
      <c r="H11" s="2504"/>
      <c r="I11" s="3454"/>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0</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0</v>
      </c>
      <c r="D16" s="3175" t="s">
        <v>646</v>
      </c>
      <c r="E16" s="3174"/>
      <c r="F16" s="802"/>
      <c r="G16" s="1590"/>
      <c r="H16" s="800" t="s">
        <v>1825</v>
      </c>
      <c r="I16" s="2230" t="s">
        <v>2828</v>
      </c>
      <c r="J16" s="53">
        <f ca="1">C31</f>
        <v>0</v>
      </c>
      <c r="K16" s="26"/>
      <c r="L16" s="798"/>
      <c r="M16" s="799"/>
    </row>
    <row r="17" spans="1:25" s="2063" customFormat="1" ht="18" customHeight="1">
      <c r="A17" s="800" t="s">
        <v>1850</v>
      </c>
      <c r="B17" s="781" t="s">
        <v>647</v>
      </c>
      <c r="C17" s="53">
        <f ca="1">ROUND(C16*F17,0)</f>
        <v>0</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0</v>
      </c>
      <c r="D18" s="781" t="s">
        <v>648</v>
      </c>
      <c r="E18" s="781" t="s">
        <v>649</v>
      </c>
      <c r="F18" s="806">
        <f ca="1">IF(INDIRECT("'数据-取费表'!c"&amp;$G$1)="住宅",'数据-取费表'!B34,0)</f>
        <v>0.05</v>
      </c>
      <c r="G18" s="1590"/>
      <c r="H18" s="794" t="s">
        <v>1828</v>
      </c>
      <c r="I18" s="795" t="s">
        <v>651</v>
      </c>
      <c r="J18" s="796">
        <f ca="1">ROUND(J19+J24+J25+J26,0)</f>
        <v>0</v>
      </c>
      <c r="K18" s="26" t="s">
        <v>652</v>
      </c>
      <c r="L18" s="3183"/>
      <c r="M18" s="56"/>
    </row>
    <row r="19" spans="1:25" s="2063" customFormat="1" ht="18" customHeight="1">
      <c r="A19" s="800" t="s">
        <v>1852</v>
      </c>
      <c r="B19" s="781" t="s">
        <v>653</v>
      </c>
      <c r="C19" s="53">
        <f ca="1">ROUND(F19*(INDIRECT("'数据-取费表'!k"&amp;$G$1)+INDIRECT("'数据-取费表'!S"&amp;$G$1))/10000,0)</f>
        <v>0</v>
      </c>
      <c r="D19" s="781" t="s">
        <v>654</v>
      </c>
      <c r="E19" s="781" t="s">
        <v>655</v>
      </c>
      <c r="F19" s="56">
        <f>'数据-取费表'!B35</f>
        <v>200</v>
      </c>
      <c r="G19" s="1591"/>
      <c r="H19" s="800" t="s">
        <v>1825</v>
      </c>
      <c r="I19" s="781" t="s">
        <v>656</v>
      </c>
      <c r="J19" s="53">
        <f ca="1">ROUND(IF(项目基本情况!B11="自然人",J7*M19,J20+J21+J22),0)</f>
        <v>0</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0</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0</v>
      </c>
      <c r="D21" s="261" t="s">
        <v>663</v>
      </c>
      <c r="E21" s="3183"/>
      <c r="F21" s="56"/>
      <c r="G21" s="1590"/>
      <c r="H21" s="1829" t="s">
        <v>1850</v>
      </c>
      <c r="I21" s="781" t="s">
        <v>664</v>
      </c>
      <c r="J21" s="53">
        <f ca="1">IF(K21="按租金收入计税",ROUND(J7*M21,1),ROUND(C31*F35*0.7,1))</f>
        <v>0</v>
      </c>
      <c r="K21" s="808" t="s">
        <v>665</v>
      </c>
      <c r="L21" s="781" t="s">
        <v>649</v>
      </c>
      <c r="M21" s="806">
        <f>IF(K21="按租金收入计税",'数据-取费表'!B51,'数据-取费表'!B50)</f>
        <v>1.2E-2</v>
      </c>
    </row>
    <row r="22" spans="1:25" s="2063" customFormat="1" ht="18" customHeight="1">
      <c r="A22" s="800" t="s">
        <v>1878</v>
      </c>
      <c r="B22" s="781" t="s">
        <v>666</v>
      </c>
      <c r="C22" s="53">
        <f ca="1">ROUND(C21*F22,0)</f>
        <v>0</v>
      </c>
      <c r="D22" s="809" t="s">
        <v>667</v>
      </c>
      <c r="E22" s="781" t="s">
        <v>649</v>
      </c>
      <c r="F22" s="806">
        <f>'数据-取费表'!B37</f>
        <v>0.02</v>
      </c>
      <c r="G22" s="1591"/>
      <c r="H22" s="1831" t="s">
        <v>1851</v>
      </c>
      <c r="I22" s="1821" t="s">
        <v>668</v>
      </c>
      <c r="J22" s="54">
        <f ca="1">ROUND(M22*M23/10000,0)</f>
        <v>0</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0</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0</v>
      </c>
      <c r="K24" s="3176" t="s">
        <v>677</v>
      </c>
      <c r="L24" s="781" t="s">
        <v>649</v>
      </c>
      <c r="M24" s="814">
        <f ca="1">INDIRECT("'数据-取费表'!Ak"&amp;$G$1)</f>
        <v>0</v>
      </c>
    </row>
    <row r="25" spans="1:25" s="2063" customFormat="1" ht="18" customHeight="1">
      <c r="A25" s="800" t="s">
        <v>1876</v>
      </c>
      <c r="B25" s="781" t="s">
        <v>2440</v>
      </c>
      <c r="C25" s="53">
        <f ca="1">ROUND(IF('数据-取费表'!B22&lt;=1,(C21+C22)*F26*F25/2,(C21+C22)*(POWER((1+F26),F25/2)-1)),0)</f>
        <v>0</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0</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0</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0</v>
      </c>
      <c r="K27" s="3175" t="s">
        <v>700</v>
      </c>
      <c r="L27" s="3173"/>
      <c r="M27" s="817"/>
    </row>
    <row r="28" spans="1:25" ht="18" customHeight="1">
      <c r="A28" s="800" t="s">
        <v>1876</v>
      </c>
      <c r="B28" s="781" t="s">
        <v>2441</v>
      </c>
      <c r="C28" s="53">
        <f ca="1">ROUND((C21+C22)*F28,0)</f>
        <v>0</v>
      </c>
      <c r="D28" s="809" t="s">
        <v>701</v>
      </c>
      <c r="E28" s="792" t="s">
        <v>702</v>
      </c>
      <c r="F28" s="791">
        <f ca="1">INDIRECT("'数据-取费表'!q"&amp;$G$1)</f>
        <v>0.25</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5.0000000000000001E-3</v>
      </c>
      <c r="D29" s="809" t="s">
        <v>706</v>
      </c>
      <c r="E29" s="803"/>
      <c r="F29" s="804"/>
      <c r="G29" s="1590"/>
      <c r="H29" s="783"/>
      <c r="I29" s="784"/>
      <c r="J29" s="785"/>
      <c r="K29" s="818" t="s">
        <v>707</v>
      </c>
      <c r="L29" s="781" t="s">
        <v>708</v>
      </c>
      <c r="M29" s="819">
        <f ca="1">INDIRECT("'数据-取费表'!ag"&amp;$G$1)</f>
        <v>-70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0</v>
      </c>
      <c r="D31" s="2544"/>
      <c r="E31" s="2545"/>
      <c r="F31" s="2546"/>
      <c r="G31" s="1591"/>
      <c r="H31" s="820" t="s">
        <v>1873</v>
      </c>
      <c r="I31" s="3009" t="s">
        <v>2827</v>
      </c>
      <c r="J31" s="822">
        <f ca="1">ROUND(J28/(1+F45)^F46,0)</f>
        <v>0</v>
      </c>
      <c r="K31" s="823" t="s">
        <v>688</v>
      </c>
      <c r="L31" s="824"/>
      <c r="M31" s="825">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0</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0</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0</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1834</v>
      </c>
      <c r="B36" s="338" t="s">
        <v>668</v>
      </c>
      <c r="C36" s="54">
        <f ca="1">ROUND(F36*F37/10000,1)</f>
        <v>0</v>
      </c>
      <c r="D36" s="811" t="s">
        <v>669</v>
      </c>
      <c r="E36" s="781" t="s">
        <v>670</v>
      </c>
      <c r="F36" s="637">
        <f>'数据-取费表'!B52</f>
        <v>1.5</v>
      </c>
      <c r="G36" s="2061"/>
      <c r="H36" s="2064"/>
      <c r="I36" s="3456"/>
      <c r="J36" s="2078"/>
      <c r="K36" s="2079"/>
      <c r="L36" s="2078"/>
      <c r="M36" s="2078"/>
    </row>
    <row r="37" spans="1:18" ht="18" customHeight="1">
      <c r="A37" s="812"/>
      <c r="B37" s="790"/>
      <c r="C37" s="69"/>
      <c r="D37" s="813"/>
      <c r="E37" s="781" t="s">
        <v>674</v>
      </c>
      <c r="F37" s="782">
        <f ca="1">INDIRECT("'数据-取费表'!r"&amp;$G$1)</f>
        <v>0</v>
      </c>
      <c r="G37" s="2061"/>
      <c r="H37" s="2064"/>
      <c r="I37" s="3456"/>
      <c r="J37" s="2076"/>
      <c r="K37" s="2077"/>
      <c r="L37" s="2076"/>
      <c r="M37" s="2076"/>
    </row>
    <row r="38" spans="1:18" ht="18" customHeight="1">
      <c r="A38" s="800" t="s">
        <v>1878</v>
      </c>
      <c r="B38" s="781" t="s">
        <v>676</v>
      </c>
      <c r="C38" s="53">
        <f ca="1">ROUND(C31*F38,1)</f>
        <v>0</v>
      </c>
      <c r="D38" s="3176" t="s">
        <v>691</v>
      </c>
      <c r="E38" s="781" t="s">
        <v>649</v>
      </c>
      <c r="F38" s="814">
        <f ca="1">INDIRECT("'数据-取费表'!Ak"&amp;$G$1)</f>
        <v>0</v>
      </c>
      <c r="G38" s="2061"/>
      <c r="H38" s="2076"/>
      <c r="I38" s="3182"/>
      <c r="J38" s="1987"/>
      <c r="K38" s="2081"/>
      <c r="L38" s="2076"/>
      <c r="M38" s="2076"/>
    </row>
    <row r="39" spans="1:18" ht="18" customHeight="1">
      <c r="A39" s="800" t="s">
        <v>1879</v>
      </c>
      <c r="B39" s="781" t="s">
        <v>679</v>
      </c>
      <c r="C39" s="53">
        <f ca="1">ROUND(C15*F39,1)</f>
        <v>0</v>
      </c>
      <c r="D39" s="3176" t="s">
        <v>680</v>
      </c>
      <c r="E39" s="781" t="s">
        <v>649</v>
      </c>
      <c r="F39" s="815">
        <f ca="1">INDIRECT("'数据-取费表'!Al"&amp;$G$1)</f>
        <v>0</v>
      </c>
      <c r="G39" s="2061"/>
      <c r="H39" s="2076"/>
      <c r="I39" s="3182"/>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0</v>
      </c>
      <c r="D42" s="3175" t="s">
        <v>694</v>
      </c>
      <c r="E42" s="3173"/>
      <c r="F42" s="817"/>
      <c r="G42" s="2061"/>
      <c r="H42" s="2061"/>
      <c r="I42" s="2061"/>
      <c r="J42" s="2061"/>
      <c r="K42" s="2082"/>
      <c r="L42" s="2061"/>
      <c r="M42" s="2061"/>
    </row>
    <row r="43" spans="1:18" ht="18" customHeight="1">
      <c r="A43" s="800" t="s">
        <v>1878</v>
      </c>
      <c r="B43" s="832" t="s">
        <v>711</v>
      </c>
      <c r="C43" s="833">
        <f ca="1">ROUND(C15*F43,0)</f>
        <v>0</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0</v>
      </c>
      <c r="D44" s="460" t="s">
        <v>714</v>
      </c>
      <c r="E44" s="461"/>
      <c r="F44" s="462"/>
      <c r="G44" s="2061"/>
      <c r="H44" s="2061"/>
      <c r="I44" s="2061"/>
      <c r="J44" s="2061"/>
      <c r="K44" s="2082"/>
      <c r="L44" s="2061"/>
      <c r="M44" s="2061"/>
    </row>
    <row r="45" spans="1:18" ht="18" customHeight="1">
      <c r="A45" s="800" t="s">
        <v>1880</v>
      </c>
      <c r="B45" s="1353" t="s">
        <v>715</v>
      </c>
      <c r="C45" s="3035">
        <f ca="1">ROUND(-PV(F45,F46,C44,0),0)</f>
        <v>0</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70</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#DIV/0!</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f ca="1">INDIRECT("'数据-取费表'!f"&amp;$G$1)</f>
        <v>70</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str">
        <f ca="1">J61</f>
        <v>0</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f ca="1">C31</f>
        <v>0</v>
      </c>
      <c r="R51" s="2398" t="s">
        <v>2383</v>
      </c>
    </row>
    <row r="52" spans="1:18" s="2058" customFormat="1" ht="18" customHeight="1" thickBot="1">
      <c r="A52" s="2095"/>
      <c r="F52" s="2084"/>
      <c r="I52" s="3145" t="s">
        <v>2351</v>
      </c>
      <c r="J52" s="3149">
        <f>IF(J50="",J51,J50+J51-YEAR('数据-取费表'!B3))</f>
        <v>0</v>
      </c>
      <c r="K52" s="3122" t="s">
        <v>2357</v>
      </c>
      <c r="L52" s="3156">
        <f ca="1">ROUND(-PV(INDIRECT("'数据-取费表'!h"&amp;$G$1),L49,(C40-C14*J36),0),0)</f>
        <v>0</v>
      </c>
      <c r="O52" s="2400" t="s">
        <v>2387</v>
      </c>
      <c r="P52" s="2398" t="s">
        <v>2388</v>
      </c>
      <c r="Q52" s="2401" t="e">
        <f ca="1">J59</f>
        <v>#VALUE!</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f ca="1">IF(M48="住宅",MAX(J52,L49-'数据-取费表'!B20),MIN(J52,L49-'数据-取费表'!B20))</f>
        <v>0</v>
      </c>
      <c r="K54" s="3457"/>
      <c r="L54" s="3458"/>
      <c r="O54" s="2400" t="s">
        <v>2391</v>
      </c>
      <c r="P54" s="2398" t="s">
        <v>2392</v>
      </c>
      <c r="Q54" s="2399">
        <f ca="1">J54</f>
        <v>0</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7" t="s">
        <v>2394</v>
      </c>
      <c r="P55" s="2398" t="s">
        <v>2411</v>
      </c>
      <c r="Q55" s="2399">
        <f ca="1">Q49+Q50</f>
        <v>0</v>
      </c>
      <c r="R55" s="2402" t="s">
        <v>2395</v>
      </c>
    </row>
    <row r="56" spans="1:18" s="2058" customFormat="1" ht="16.5" thickBot="1">
      <c r="A56" s="2095"/>
      <c r="B56" s="2096"/>
      <c r="C56" s="2096"/>
      <c r="I56" s="3159" t="s">
        <v>2358</v>
      </c>
      <c r="J56" s="3099" t="e">
        <f ca="1">ROUND(IF(J48="钢混",J58/J51,1-(1-2%)*(J51-J58)/J51),3)</f>
        <v>#VALUE!</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f ca="1">IF(L49&lt;J52,"——",L49-J52)</f>
        <v>70</v>
      </c>
      <c r="O57" s="2394" t="s">
        <v>2378</v>
      </c>
      <c r="P57" s="2395" t="s">
        <v>2379</v>
      </c>
      <c r="Q57" s="2396" t="s">
        <v>2380</v>
      </c>
      <c r="R57" s="2395" t="s">
        <v>2381</v>
      </c>
    </row>
    <row r="58" spans="1:18" s="2058" customFormat="1" ht="29.25" thickBot="1">
      <c r="A58" s="2095"/>
      <c r="B58" s="2096"/>
      <c r="C58" s="2096"/>
      <c r="I58" s="3162" t="s">
        <v>2361</v>
      </c>
      <c r="J58" s="3163" t="str">
        <f ca="1">IF(OR(M48="住宅",J52&lt;L49,J57="是"),"——",J52-L49)</f>
        <v>——</v>
      </c>
      <c r="K58" s="3122" t="s">
        <v>2366</v>
      </c>
      <c r="L58" s="1907">
        <f ca="1">IF(L49&lt;J52,"——",IF(L56="比较法",L50,IF(L56="基准地价",L51,L52)))</f>
        <v>0</v>
      </c>
      <c r="O58" s="2397" t="s">
        <v>2382</v>
      </c>
      <c r="P58" s="2398" t="s">
        <v>2408</v>
      </c>
      <c r="Q58" s="2399">
        <f ca="1">C41+J31</f>
        <v>0</v>
      </c>
      <c r="R58" s="2398" t="s">
        <v>2383</v>
      </c>
    </row>
    <row r="59" spans="1:18" s="2058" customFormat="1" ht="29.25" thickBot="1">
      <c r="A59" s="2095"/>
      <c r="B59" s="2096"/>
      <c r="C59" s="2096"/>
      <c r="I59" s="3162" t="s">
        <v>2362</v>
      </c>
      <c r="J59" s="3100" t="e">
        <f ca="1">IF(J56&lt;0.4,0.4,J56)</f>
        <v>#VALUE!</v>
      </c>
      <c r="K59" s="3122" t="s">
        <v>2367</v>
      </c>
      <c r="L59" s="1907">
        <f ca="1">IF(ISERROR(POWER(1+L53,L48-L49)*(POWER(1+L53,L49)-1)/(POWER(1+L53,L48)-1)),0,POWER(1+L53,L48-L49)*(POWER(1+L53,L49)-1)/(POWER(1+L53,L48)-1))</f>
        <v>0</v>
      </c>
      <c r="O59" s="2397" t="s">
        <v>2384</v>
      </c>
      <c r="P59" s="2398" t="s">
        <v>2415</v>
      </c>
      <c r="Q59" s="2399" t="e">
        <f ca="1">L61</f>
        <v>#DIV/0!</v>
      </c>
      <c r="R59" s="2402" t="s">
        <v>2417</v>
      </c>
    </row>
    <row r="60" spans="1:18" s="2058" customFormat="1" ht="29.25" thickBot="1">
      <c r="A60" s="2095"/>
      <c r="B60" s="2096"/>
      <c r="C60" s="2096"/>
      <c r="I60" s="3162" t="s">
        <v>2363</v>
      </c>
      <c r="J60" s="3163" t="str">
        <f ca="1">IF(OR(M48="住宅",J52&lt;L49,J57="是"),"——",ROUND(C30*J59,0))</f>
        <v>——</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str">
        <f ca="1">IF(OR(M48="住宅",J52&lt;L49,J57="是"),"0",ROUND(J60/(1+J53)^J54,0))</f>
        <v>0</v>
      </c>
      <c r="K61" s="3166" t="s">
        <v>2369</v>
      </c>
      <c r="L61" s="3165" t="e">
        <f ca="1">IF(OR(M48="住宅",L49&lt;J52),0,ROUND(L58*(L59/L60-1),0))</f>
        <v>#DIV/0!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#DIV/0!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t="e">
        <f ca="1">L61</f>
        <v>#DIV/0!</v>
      </c>
      <c r="R68" s="2402" t="s">
        <v>2417</v>
      </c>
    </row>
    <row r="69" spans="1:18" s="2058" customFormat="1" ht="21.75" thickBot="1">
      <c r="A69" s="2095"/>
      <c r="B69" s="2096"/>
      <c r="C69" s="2096"/>
      <c r="K69" s="2085"/>
      <c r="O69" s="2400" t="s">
        <v>2386</v>
      </c>
      <c r="P69" s="2398" t="s">
        <v>2416</v>
      </c>
      <c r="Q69" s="2404">
        <f ca="1">L52</f>
        <v>0</v>
      </c>
      <c r="R69" s="2405" t="s">
        <v>2419</v>
      </c>
    </row>
    <row r="70" spans="1:18" s="2058" customFormat="1" ht="20.25" thickBot="1">
      <c r="A70" s="2095"/>
      <c r="B70" s="2096"/>
      <c r="C70" s="2096"/>
      <c r="K70" s="2085"/>
      <c r="O70" s="2400" t="s">
        <v>2387</v>
      </c>
      <c r="P70" s="2406" t="s">
        <v>2401</v>
      </c>
      <c r="Q70" s="2399">
        <f ca="1">ROUND(Q71-Q72*Q73,0)</f>
        <v>0</v>
      </c>
      <c r="R70" s="2402"/>
    </row>
    <row r="71" spans="1:18" s="2058" customFormat="1" ht="15.75" thickBot="1">
      <c r="A71" s="2095"/>
      <c r="B71" s="2096"/>
      <c r="C71" s="2096"/>
      <c r="K71" s="2085"/>
      <c r="O71" s="2400" t="s">
        <v>2402</v>
      </c>
      <c r="P71" s="2406" t="s">
        <v>2403</v>
      </c>
      <c r="Q71" s="2399">
        <f ca="1">C42</f>
        <v>0</v>
      </c>
      <c r="R71" s="2398" t="s">
        <v>2383</v>
      </c>
    </row>
    <row r="72" spans="1:18" s="2058" customFormat="1" ht="15.75" thickBot="1">
      <c r="A72" s="2095"/>
      <c r="B72" s="2096"/>
      <c r="C72" s="2096"/>
      <c r="K72" s="2085"/>
      <c r="O72" s="2400" t="s">
        <v>2404</v>
      </c>
      <c r="P72" s="2406" t="s">
        <v>2405</v>
      </c>
      <c r="Q72" s="2399">
        <f ca="1">C15</f>
        <v>0</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#DIV/0!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SUMIF(L1:L12,'基准地价-办公'!G2,M1:M12)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45"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3178" t="s">
        <v>2768</v>
      </c>
      <c r="X7" s="2924">
        <f>G2</f>
        <v>0</v>
      </c>
      <c r="Y7" s="2924" t="s">
        <v>2769</v>
      </c>
      <c r="Z7" s="2925">
        <f>G3</f>
        <v>2.2000000000000002</v>
      </c>
      <c r="AA7" s="2191"/>
      <c r="AB7" s="2191"/>
      <c r="AC7" s="2192"/>
      <c r="AD7" s="2926"/>
      <c r="AE7" s="2926"/>
      <c r="AF7" s="2926"/>
      <c r="AG7" s="2926"/>
      <c r="AH7" s="2926"/>
      <c r="AI7" s="2926"/>
      <c r="AJ7" s="2927"/>
    </row>
    <row r="8" spans="1:39" ht="15">
      <c r="A8" s="3446"/>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47" t="s">
        <v>2786</v>
      </c>
      <c r="X8" s="3448"/>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6"/>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49"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6"/>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49"/>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6"/>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49"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5"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49"/>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0"/>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49"/>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50"/>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51"/>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45"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46"/>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5"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6"/>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6"/>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7"/>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38" t="s">
        <v>1634</v>
      </c>
      <c r="B90" s="3438"/>
      <c r="C90" s="3438"/>
      <c r="D90" s="3438"/>
      <c r="E90" s="3438"/>
      <c r="F90" s="3438"/>
      <c r="G90" s="3438"/>
      <c r="H90" s="3438"/>
      <c r="I90" s="3438"/>
      <c r="J90" s="3438"/>
      <c r="K90" s="3180"/>
      <c r="L90" s="3180"/>
      <c r="M90" s="3180"/>
      <c r="N90" s="3180"/>
    </row>
    <row r="91" spans="1:40">
      <c r="A91" s="3439" t="s">
        <v>922</v>
      </c>
      <c r="B91" s="3439" t="s">
        <v>1635</v>
      </c>
      <c r="C91" s="1137" t="s">
        <v>1636</v>
      </c>
      <c r="D91" s="1138"/>
      <c r="E91" s="1138"/>
      <c r="F91" s="1138"/>
      <c r="G91" s="1138"/>
      <c r="H91" s="1138"/>
      <c r="I91" s="1138"/>
      <c r="J91" s="1139"/>
      <c r="K91" s="1131"/>
      <c r="L91" s="1131"/>
      <c r="M91" s="1131"/>
      <c r="N91" s="1131"/>
    </row>
    <row r="92" spans="1:40">
      <c r="A92" s="3439"/>
      <c r="B92" s="3439"/>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40"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1"/>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0" t="s">
        <v>1638</v>
      </c>
      <c r="B101" s="1144" t="s">
        <v>883</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41"/>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41"/>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41"/>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41"/>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41"/>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41"/>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41"/>
      <c r="B108" s="3443"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2"/>
      <c r="B109" s="3444"/>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34" t="s">
        <v>1640</v>
      </c>
      <c r="B110" s="3434"/>
      <c r="C110" s="3434"/>
      <c r="D110" s="3434"/>
      <c r="E110" s="3434"/>
      <c r="F110" s="3434"/>
      <c r="G110" s="3434"/>
      <c r="H110" s="3434"/>
      <c r="I110" s="3434"/>
      <c r="J110" s="3434"/>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25" sqref="B2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-56295</v>
      </c>
      <c r="C2" s="2103"/>
      <c r="D2" s="2103"/>
      <c r="E2" s="2103"/>
      <c r="F2" s="2103"/>
      <c r="G2" s="2103"/>
      <c r="H2" s="2103"/>
      <c r="I2" s="2103"/>
      <c r="J2" s="2103"/>
      <c r="K2" s="2103"/>
    </row>
    <row r="3" spans="1:31" s="2040" customFormat="1" ht="18" customHeight="1">
      <c r="A3" s="2105" t="s">
        <v>1685</v>
      </c>
      <c r="B3" s="2106">
        <f ca="1">ROUND(B2*10000/IF(B1="",'数据-汇总表'!E3,INDIRECT("'数据-取费表'!K"&amp;$K$1)),0)</f>
        <v>-5576</v>
      </c>
      <c r="C3" s="2103"/>
      <c r="D3" s="2103"/>
      <c r="E3" s="2103"/>
      <c r="F3" s="2103"/>
      <c r="G3" s="2103"/>
      <c r="H3" s="2103"/>
      <c r="I3" s="2103"/>
      <c r="J3" s="2103"/>
      <c r="K3" s="2103"/>
    </row>
    <row r="4" spans="1:31" s="2040" customFormat="1" ht="18" customHeight="1">
      <c r="A4" s="423" t="s">
        <v>468</v>
      </c>
      <c r="B4" s="424">
        <f ca="1">ROUND(B2*10000/IF(B1="",'数据-汇总表'!D3,INDIRECT("'数据-取费表'!R"&amp;$K$1)),0)</f>
        <v>-12268</v>
      </c>
      <c r="C4" s="425"/>
      <c r="D4" s="419"/>
      <c r="E4" s="419"/>
      <c r="F4" s="419"/>
      <c r="G4" s="419"/>
      <c r="H4" s="419"/>
      <c r="I4" s="419"/>
      <c r="J4" s="419"/>
      <c r="K4" s="419"/>
    </row>
    <row r="5" spans="1:31" s="2040" customFormat="1" ht="18" customHeight="1" thickBot="1">
      <c r="A5" s="426"/>
      <c r="B5" s="427">
        <f ca="1">ROUND(B2/(IF(B1="",'数据-汇总表'!D3,INDIRECT("'数据-取费表'!R"&amp;$K$1))/666.67),0)</f>
        <v>-818</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SUMIF('数据-汇总表'!$C19:$C33,'剩余法-办公'!C7,'数据-汇总表'!$E19:$E33)</f>
        <v>0</v>
      </c>
      <c r="D9" s="438">
        <f>SUMIF('数据-汇总表'!$C19:$C33,'剩余法-办公'!D7,'数据-汇总表'!$E19:$E33)</f>
        <v>0</v>
      </c>
      <c r="E9" s="438">
        <f>SUMIF('数据-汇总表'!$C19:$C33,'剩余法-办公'!E7,'数据-汇总表'!$E19:$E33)</f>
        <v>0</v>
      </c>
      <c r="F9" s="438">
        <f>SUMIF('数据-汇总表'!$C19:$C33,'剩余法-办公'!F7,'数据-汇总表'!$E19:$E33)</f>
        <v>0</v>
      </c>
      <c r="G9" s="438">
        <f>SUMIF('数据-汇总表'!$C19:$C33,'剩余法-办公'!G7,'数据-汇总表'!$E19:$E33)</f>
        <v>0</v>
      </c>
      <c r="H9" s="438">
        <f>SUMIF('数据-汇总表'!$C19:$C33,'剩余法-办公'!H7,'数据-汇总表'!$E19:$E33)</f>
        <v>0</v>
      </c>
      <c r="I9" s="438">
        <f>SUMIF('数据-汇总表'!$C19:$C33,'剩余法-办公'!I7,'数据-汇总表'!$E19:$E33)</f>
        <v>0</v>
      </c>
      <c r="J9" s="438">
        <f>SUMIF('数据-汇总表'!$C19:$C33,'剩余法-办公'!J7,'数据-汇总表'!$E19:$E33)</f>
        <v>0</v>
      </c>
      <c r="K9" s="439">
        <f>SUMIF('数据-汇总表'!$C19:$C33,'剩余法-办公'!K7,'数据-汇总表'!$E19:$E33)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50425</v>
      </c>
      <c r="D13" s="2841"/>
      <c r="E13" s="2842"/>
      <c r="F13" s="2843"/>
      <c r="G13" s="2809"/>
      <c r="H13" s="2810"/>
      <c r="I13" s="2810"/>
      <c r="J13" s="2810"/>
      <c r="K13" s="2811"/>
    </row>
    <row r="14" spans="1:31" s="2115" customFormat="1" ht="13.5" customHeight="1">
      <c r="A14" s="2839" t="s">
        <v>1850</v>
      </c>
      <c r="B14" s="2840" t="s">
        <v>480</v>
      </c>
      <c r="C14" s="53">
        <f ca="1">ROUND(C13*F14,0)</f>
        <v>1513</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2515</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756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57228</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1516</v>
      </c>
      <c r="D20" s="2851"/>
      <c r="E20" s="3172"/>
      <c r="F20" s="2852"/>
      <c r="G20" s="3086"/>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1175</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2846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2846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62765</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62765</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23968</v>
      </c>
      <c r="D33" s="464">
        <f ca="1">C34</f>
        <v>0.41160000000000002</v>
      </c>
      <c r="E33" s="466" t="s">
        <v>495</v>
      </c>
      <c r="F33" s="476">
        <f ca="1">IF(B1="",'数据-取费表'!Q16,INDIRECT("'数据-取费表'!q"&amp;$K$1))</f>
        <v>0.4</v>
      </c>
      <c r="G33" s="2813"/>
      <c r="H33" s="2814"/>
      <c r="I33" s="2814"/>
      <c r="J33" s="2814"/>
      <c r="K33" s="2815"/>
    </row>
    <row r="34" spans="1:11" s="2122" customFormat="1" ht="13.5" customHeight="1">
      <c r="A34" s="372" t="s">
        <v>1857</v>
      </c>
      <c r="B34" s="2860" t="s">
        <v>501</v>
      </c>
      <c r="C34" s="469">
        <f ca="1">ROUND((1+C25)*F33,4)</f>
        <v>0.41160000000000002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23968</v>
      </c>
      <c r="D35" s="1627"/>
      <c r="E35" s="2861"/>
      <c r="F35" s="1628"/>
      <c r="G35" s="2819"/>
      <c r="H35" s="2820"/>
      <c r="I35" s="2820"/>
      <c r="J35" s="2820"/>
      <c r="K35" s="2821"/>
    </row>
    <row r="36" spans="1:11" s="2084" customFormat="1" ht="13.5" customHeight="1" thickBot="1">
      <c r="A36" s="281" t="s">
        <v>1845</v>
      </c>
      <c r="B36" s="2823"/>
      <c r="C36" s="2862">
        <f ca="1">ROUND((C6-C30-C33)/(1+D30+D33),0)</f>
        <v>-56295</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4" workbookViewId="0">
      <selection activeCell="E12" sqref="E1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-56295</v>
      </c>
      <c r="C2" s="2103"/>
      <c r="D2" s="2103"/>
      <c r="E2" s="2103"/>
      <c r="F2" s="2103"/>
      <c r="G2" s="2103"/>
      <c r="H2" s="2103"/>
      <c r="I2" s="2103"/>
      <c r="J2" s="2103"/>
      <c r="K2" s="2103"/>
    </row>
    <row r="3" spans="1:31" s="2040" customFormat="1" ht="18" customHeight="1">
      <c r="A3" s="2105" t="s">
        <v>1685</v>
      </c>
      <c r="B3" s="2106">
        <f ca="1">ROUND(B2*10000/IF(B1="",'数据-汇总表'!E3,INDIRECT("'数据-取费表'!K"&amp;$K$1)),0)</f>
        <v>-5576</v>
      </c>
      <c r="C3" s="2103"/>
      <c r="D3" s="2103"/>
      <c r="E3" s="2103"/>
      <c r="F3" s="2103"/>
      <c r="G3" s="2103"/>
      <c r="H3" s="2103"/>
      <c r="I3" s="2103"/>
      <c r="J3" s="2103"/>
      <c r="K3" s="2103"/>
    </row>
    <row r="4" spans="1:31" s="2040" customFormat="1" ht="18" customHeight="1">
      <c r="A4" s="423" t="s">
        <v>468</v>
      </c>
      <c r="B4" s="424">
        <f ca="1">ROUND(B2*10000/IF(B1="",'数据-汇总表'!D3,INDIRECT("'数据-取费表'!R"&amp;$K$1)),0)</f>
        <v>-12268</v>
      </c>
      <c r="C4" s="425"/>
      <c r="D4" s="419"/>
      <c r="E4" s="419"/>
      <c r="F4" s="419"/>
      <c r="G4" s="419"/>
      <c r="H4" s="419"/>
      <c r="I4" s="419"/>
      <c r="J4" s="419"/>
      <c r="K4" s="419"/>
    </row>
    <row r="5" spans="1:31" s="2040" customFormat="1" ht="18" customHeight="1" thickBot="1">
      <c r="A5" s="426"/>
      <c r="B5" s="427">
        <f ca="1">ROUND(B2/(IF(B1="",'数据-汇总表'!D3,INDIRECT("'数据-取费表'!R"&amp;$K$1))/666.67),0)</f>
        <v>-818</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SUMIF('数据-汇总表'!$C19:$C33,'剩余法-待开发'!C7,'数据-汇总表'!$E19:$E33)</f>
        <v>0</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2805" t="s">
        <v>476</v>
      </c>
      <c r="E12" s="2805" t="s">
        <v>477</v>
      </c>
      <c r="F12" s="2805"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50425</v>
      </c>
      <c r="D13" s="2841"/>
      <c r="E13" s="2842"/>
      <c r="F13" s="2843"/>
      <c r="G13" s="2809"/>
      <c r="H13" s="2810"/>
      <c r="I13" s="2810"/>
      <c r="J13" s="2810"/>
      <c r="K13" s="2811"/>
    </row>
    <row r="14" spans="1:31" s="2115" customFormat="1" ht="13.5" customHeight="1">
      <c r="A14" s="2839" t="s">
        <v>1850</v>
      </c>
      <c r="B14" s="2840" t="s">
        <v>480</v>
      </c>
      <c r="C14" s="53">
        <f ca="1">ROUND(C13*F14,0)</f>
        <v>1513</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2515</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756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57228</v>
      </c>
      <c r="D18" s="2850"/>
      <c r="E18" s="465"/>
      <c r="F18" s="465"/>
      <c r="G18" s="2813" t="s">
        <v>2433</v>
      </c>
      <c r="H18" s="2814"/>
      <c r="I18" s="2814"/>
      <c r="J18" s="2814"/>
      <c r="K18" s="2815"/>
    </row>
    <row r="19" spans="1:14" s="2115" customFormat="1" ht="13.5" customHeight="1">
      <c r="A19" s="2847" t="s">
        <v>1855</v>
      </c>
      <c r="B19" s="2848" t="s">
        <v>488</v>
      </c>
      <c r="C19" s="2805">
        <f ca="1">ROUND(D19*E19/10000,0)</f>
        <v>0</v>
      </c>
      <c r="D19" s="2851">
        <f ca="1">D16</f>
        <v>100957</v>
      </c>
      <c r="E19" s="2805">
        <f>'数据-取费表'!B32</f>
        <v>0</v>
      </c>
      <c r="F19" s="465"/>
      <c r="G19" s="2809" t="s">
        <v>489</v>
      </c>
      <c r="H19" s="2810"/>
      <c r="I19" s="2814"/>
      <c r="J19" s="2814"/>
      <c r="K19" s="2815"/>
    </row>
    <row r="20" spans="1:14" s="2115" customFormat="1" ht="13.5" customHeight="1">
      <c r="A20" s="2847" t="s">
        <v>1856</v>
      </c>
      <c r="B20" s="2848" t="s">
        <v>490</v>
      </c>
      <c r="C20" s="2805">
        <f ca="1">C21+C22-IF(B1="",'数据-取费表'!B29,IF(G20="已全部缴纳",C21+C22,H20))</f>
        <v>1516</v>
      </c>
      <c r="D20" s="2851"/>
      <c r="E20" s="2805"/>
      <c r="F20" s="2852"/>
      <c r="G20" s="3086"/>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1175</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2846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2846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62765</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62765</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23968</v>
      </c>
      <c r="D33" s="464">
        <f ca="1">C34</f>
        <v>0.41160000000000002</v>
      </c>
      <c r="E33" s="466" t="s">
        <v>495</v>
      </c>
      <c r="F33" s="476">
        <f ca="1">IF(B1="",'数据-取费表'!Q16,INDIRECT("'数据-取费表'!q"&amp;$K$1))</f>
        <v>0.4</v>
      </c>
      <c r="G33" s="2813"/>
      <c r="H33" s="2814"/>
      <c r="I33" s="2814"/>
      <c r="J33" s="2814"/>
      <c r="K33" s="2815"/>
    </row>
    <row r="34" spans="1:11" s="2122" customFormat="1" ht="13.5" customHeight="1">
      <c r="A34" s="372" t="s">
        <v>1857</v>
      </c>
      <c r="B34" s="2860" t="s">
        <v>501</v>
      </c>
      <c r="C34" s="469">
        <f ca="1">ROUND((1+C25)*F33,4)</f>
        <v>0.41160000000000002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23968</v>
      </c>
      <c r="D35" s="1627"/>
      <c r="E35" s="2861"/>
      <c r="F35" s="1628"/>
      <c r="G35" s="2819"/>
      <c r="H35" s="2820"/>
      <c r="I35" s="2820"/>
      <c r="J35" s="2820"/>
      <c r="K35" s="2821"/>
    </row>
    <row r="36" spans="1:11" s="2084" customFormat="1" ht="13.5" customHeight="1" thickBot="1">
      <c r="A36" s="281" t="s">
        <v>1845</v>
      </c>
      <c r="B36" s="2823"/>
      <c r="C36" s="2862">
        <f ca="1">ROUND((C6-C30-C33)/(1+D30+D33),0)</f>
        <v>-56295</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8" t="s">
        <v>466</v>
      </c>
      <c r="B1" s="2806"/>
      <c r="C1" s="2103"/>
      <c r="D1" s="2103"/>
      <c r="E1" s="2103"/>
      <c r="F1" s="2103"/>
      <c r="G1" s="2103"/>
      <c r="H1" s="2103"/>
      <c r="I1" s="2103"/>
      <c r="J1" s="2103"/>
      <c r="K1" s="419">
        <f>MATCH(B1,'数据-取费表'!A6:A16,0)+5</f>
        <v>7</v>
      </c>
    </row>
    <row r="2" spans="1:41" s="2040" customFormat="1" ht="18" customHeight="1">
      <c r="A2" s="420" t="s">
        <v>467</v>
      </c>
      <c r="B2" s="421">
        <f ca="1">C32</f>
        <v>0</v>
      </c>
      <c r="C2" s="2103"/>
      <c r="D2" s="2103"/>
      <c r="E2" s="2103"/>
      <c r="F2" s="2103"/>
      <c r="G2" s="2103"/>
      <c r="H2" s="2103"/>
      <c r="I2" s="2103"/>
      <c r="J2" s="2103"/>
      <c r="K2" s="2103"/>
    </row>
    <row r="3" spans="1:41" s="2040" customFormat="1" ht="18" customHeight="1">
      <c r="A3" s="1377" t="s">
        <v>1685</v>
      </c>
      <c r="B3" s="422">
        <f ca="1">ROUND(B2*10000/IF(B1="",'数据-汇总表'!E3,INDIRECT("'数据-取费表'!K"&amp;$K$1)),0)</f>
        <v>0</v>
      </c>
      <c r="C3" s="2103"/>
      <c r="D3" s="2103"/>
      <c r="E3" s="2103"/>
      <c r="F3" s="2103"/>
      <c r="G3" s="2103"/>
      <c r="H3" s="2103"/>
      <c r="I3" s="2103"/>
      <c r="J3" s="2103"/>
      <c r="K3" s="2103"/>
    </row>
    <row r="4" spans="1:41" s="2040" customFormat="1" ht="18" customHeight="1">
      <c r="A4" s="423" t="s">
        <v>468</v>
      </c>
      <c r="B4" s="424">
        <f ca="1">ROUND(B2*10000/IF(B1="",'数据-汇总表'!D3,INDIRECT("'数据-取费表'!R"&amp;$K$1)),0)</f>
        <v>0</v>
      </c>
      <c r="C4" s="2060"/>
      <c r="D4" s="2103"/>
      <c r="E4" s="2103"/>
      <c r="F4" s="2103"/>
      <c r="G4" s="2103"/>
      <c r="H4" s="2103"/>
      <c r="I4" s="2103"/>
      <c r="J4" s="2103"/>
      <c r="K4" s="2103"/>
    </row>
    <row r="5" spans="1:41" s="2040" customFormat="1" ht="18" customHeight="1" thickBot="1">
      <c r="A5" s="426"/>
      <c r="B5" s="427">
        <f ca="1">ROUND(B2/(IF(B1="",'数据-汇总表'!D3,INDIRECT("'数据-取费表'!R"&amp;$K$1))/666.67),0)</f>
        <v>0</v>
      </c>
      <c r="C5" s="428" t="s">
        <v>469</v>
      </c>
      <c r="D5" s="2103"/>
      <c r="E5" s="2103"/>
      <c r="F5" s="2103"/>
      <c r="G5" s="2103"/>
      <c r="H5" s="2103"/>
      <c r="I5" s="2103"/>
      <c r="J5" s="2103"/>
      <c r="K5" s="2103"/>
    </row>
    <row r="6" spans="1:41" s="2110" customFormat="1" ht="16.5" customHeight="1">
      <c r="A6" s="429" t="s">
        <v>2655</v>
      </c>
      <c r="B6" s="430"/>
      <c r="C6" s="1621">
        <f>SUM(C10:K10)</f>
        <v>0</v>
      </c>
      <c r="D6" s="2108"/>
      <c r="E6" s="2108"/>
      <c r="F6" s="2108"/>
      <c r="G6" s="2108"/>
      <c r="H6" s="2108"/>
      <c r="I6" s="2108"/>
      <c r="J6" s="2108"/>
      <c r="K6" s="2109"/>
    </row>
    <row r="7" spans="1:41" s="2112" customFormat="1" ht="15">
      <c r="A7" s="431" t="s">
        <v>470</v>
      </c>
      <c r="B7" s="432"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5" t="s">
        <v>472</v>
      </c>
      <c r="C8" s="436"/>
      <c r="D8" s="436"/>
      <c r="E8" s="436"/>
      <c r="F8" s="436"/>
      <c r="G8" s="436"/>
      <c r="H8" s="436"/>
      <c r="I8" s="436"/>
      <c r="J8" s="436"/>
      <c r="K8" s="437"/>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1" t="s">
        <v>470</v>
      </c>
      <c r="B12" s="441" t="s">
        <v>471</v>
      </c>
      <c r="C12" s="442" t="s">
        <v>475</v>
      </c>
      <c r="D12" s="443" t="s">
        <v>476</v>
      </c>
      <c r="E12" s="443" t="s">
        <v>477</v>
      </c>
      <c r="F12" s="443" t="s">
        <v>478</v>
      </c>
      <c r="G12" s="441"/>
      <c r="H12" s="444"/>
      <c r="I12" s="444"/>
      <c r="J12" s="444"/>
      <c r="K12" s="445"/>
    </row>
    <row r="13" spans="1:41" s="2115" customFormat="1" ht="13.5" customHeight="1">
      <c r="A13" s="1631" t="s">
        <v>1849</v>
      </c>
      <c r="B13" s="446" t="s">
        <v>479</v>
      </c>
      <c r="C13" s="447">
        <f ca="1">IF(B1="",'数据-取费表'!M16,INDIRECT("'数据-取费表'!M"&amp;$K$1)+INDIRECT("'数据-取费表'!t"&amp;$K$1))</f>
        <v>50425</v>
      </c>
      <c r="D13" s="448"/>
      <c r="E13" s="362"/>
      <c r="F13" s="449"/>
      <c r="G13" s="441"/>
      <c r="H13" s="444"/>
      <c r="I13" s="444"/>
      <c r="J13" s="444"/>
      <c r="K13" s="445"/>
    </row>
    <row r="14" spans="1:41" s="2115" customFormat="1" ht="13.5" customHeight="1">
      <c r="A14" s="1631" t="s">
        <v>1850</v>
      </c>
      <c r="B14" s="446" t="s">
        <v>480</v>
      </c>
      <c r="C14" s="53">
        <f ca="1">ROUND(C13*F14,0)</f>
        <v>1513</v>
      </c>
      <c r="D14" s="448"/>
      <c r="E14" s="362"/>
      <c r="F14" s="450">
        <f>'数据-取费表'!B33</f>
        <v>0.03</v>
      </c>
      <c r="G14" s="441" t="s">
        <v>502</v>
      </c>
      <c r="H14" s="444"/>
      <c r="I14" s="444"/>
      <c r="J14" s="444"/>
      <c r="K14" s="445"/>
    </row>
    <row r="15" spans="1:41" s="2115" customFormat="1" ht="13.5" customHeight="1">
      <c r="A15" s="1631" t="s">
        <v>1851</v>
      </c>
      <c r="B15" s="446" t="s">
        <v>482</v>
      </c>
      <c r="C15" s="53">
        <f ca="1">ROUND(IF(B1="",SUMIF('数据-取费表'!C:C,"住宅",'数据-取费表'!M:M)*F15,IF(INDIRECT("'数据-取费表'!c"&amp;$K$1)="住宅",INDIRECT("'数据-取费表'!M"&amp;$K$1)*F15,0)),0)</f>
        <v>2515</v>
      </c>
      <c r="D15" s="448"/>
      <c r="E15" s="362"/>
      <c r="F15" s="450">
        <f>'数据-取费表'!B34</f>
        <v>0.05</v>
      </c>
      <c r="G15" s="441" t="s">
        <v>502</v>
      </c>
      <c r="H15" s="444"/>
      <c r="I15" s="444"/>
      <c r="J15" s="444"/>
      <c r="K15" s="445"/>
    </row>
    <row r="16" spans="1:41" s="2116" customFormat="1" ht="13.5" customHeight="1">
      <c r="A16" s="1631" t="s">
        <v>1852</v>
      </c>
      <c r="B16" s="446" t="s">
        <v>484</v>
      </c>
      <c r="C16" s="53">
        <f ca="1">ROUND(D16*E16/10000,0)</f>
        <v>2019</v>
      </c>
      <c r="D16" s="448">
        <f ca="1">IF(B1="",'数据-汇总表'!E3,INDIRECT("'数据-取费表'!K"&amp;$K$1)+INDIRECT("'数据-取费表'!S"&amp;$K$1))</f>
        <v>100957</v>
      </c>
      <c r="E16" s="53">
        <f>'数据-取费表'!B35</f>
        <v>200</v>
      </c>
      <c r="F16" s="450"/>
      <c r="G16" s="441"/>
      <c r="H16" s="444"/>
      <c r="I16" s="444"/>
      <c r="J16" s="444"/>
      <c r="K16" s="445"/>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6" t="s">
        <v>485</v>
      </c>
      <c r="C17" s="451">
        <f ca="1">ROUND(C13*F17,0)</f>
        <v>756</v>
      </c>
      <c r="D17" s="452"/>
      <c r="E17" s="451"/>
      <c r="F17" s="453">
        <f>'数据-取费表'!B36</f>
        <v>1.4999999999999999E-2</v>
      </c>
      <c r="G17" s="441" t="s">
        <v>502</v>
      </c>
      <c r="H17" s="454"/>
      <c r="I17" s="454"/>
      <c r="J17" s="454"/>
      <c r="K17" s="455"/>
    </row>
    <row r="18" spans="1:14" s="2118" customFormat="1" ht="13.5" customHeight="1">
      <c r="A18" s="1632" t="s">
        <v>1854</v>
      </c>
      <c r="B18" s="456" t="s">
        <v>487</v>
      </c>
      <c r="C18" s="457">
        <f ca="1">SUM(C13:C17)</f>
        <v>57228</v>
      </c>
      <c r="D18" s="458"/>
      <c r="E18" s="459"/>
      <c r="F18" s="459"/>
      <c r="G18" s="1324" t="s">
        <v>2435</v>
      </c>
      <c r="H18" s="444"/>
      <c r="I18" s="444"/>
      <c r="J18" s="444"/>
      <c r="K18" s="445"/>
    </row>
    <row r="19" spans="1:14" s="2118" customFormat="1" ht="13.5" customHeight="1">
      <c r="A19" s="1632" t="s">
        <v>1855</v>
      </c>
      <c r="B19" s="456" t="s">
        <v>493</v>
      </c>
      <c r="C19" s="457">
        <f ca="1">ROUND(C18*F19,0)</f>
        <v>1145</v>
      </c>
      <c r="D19" s="459"/>
      <c r="E19" s="459"/>
      <c r="F19" s="463">
        <f>'数据-取费表'!B37</f>
        <v>0.02</v>
      </c>
      <c r="G19" s="441" t="s">
        <v>503</v>
      </c>
      <c r="H19" s="444"/>
      <c r="I19" s="444"/>
      <c r="J19" s="444"/>
      <c r="K19" s="445"/>
      <c r="L19" s="2120"/>
      <c r="M19" s="2120"/>
      <c r="N19" s="2120"/>
    </row>
    <row r="20" spans="1:14" s="2118" customFormat="1" ht="13.5" customHeight="1">
      <c r="A20" s="1632" t="s">
        <v>1856</v>
      </c>
      <c r="B20" s="456" t="s">
        <v>504</v>
      </c>
      <c r="C20" s="3027">
        <f>F20</f>
        <v>0.02</v>
      </c>
      <c r="D20" s="466" t="s">
        <v>505</v>
      </c>
      <c r="E20" s="466"/>
      <c r="F20" s="483">
        <f>'数据-取费表'!B38</f>
        <v>0.02</v>
      </c>
      <c r="G20" s="1324" t="s">
        <v>506</v>
      </c>
      <c r="H20" s="444"/>
      <c r="I20" s="444"/>
      <c r="J20" s="444"/>
      <c r="K20" s="445"/>
      <c r="L20" s="2120"/>
      <c r="M20" s="2120"/>
      <c r="N20" s="2120"/>
    </row>
    <row r="21" spans="1:14" s="2120" customFormat="1" ht="13.5" customHeight="1">
      <c r="A21" s="1632" t="s">
        <v>1859</v>
      </c>
      <c r="B21" s="458" t="s">
        <v>494</v>
      </c>
      <c r="C21" s="467">
        <f ca="1">C22</f>
        <v>2773</v>
      </c>
      <c r="D21" s="464">
        <f ca="1">C23</f>
        <v>1E-3</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7" t="s">
        <v>2457</v>
      </c>
    </row>
    <row r="22" spans="1:14" s="2119" customFormat="1" ht="13.5" customHeight="1">
      <c r="A22" s="1631" t="s">
        <v>1849</v>
      </c>
      <c r="B22" s="1325" t="s">
        <v>2438</v>
      </c>
      <c r="C22" s="484">
        <f ca="1">ROUND(IF('数据-取费表'!B22&lt;=1,(C18+C19)*F21*'数据-取费表'!B20/2,(C18+C19)*(POWER((1+F21),'数据-取费表'!B20/2)-1)),0)</f>
        <v>2773</v>
      </c>
      <c r="D22" s="469"/>
      <c r="E22" s="470"/>
      <c r="F22" s="471"/>
      <c r="G22" s="2566" t="str">
        <f>IF('数据-取费表'!B22&lt;=1,"((1)+(2))×年利率×建设期÷2","((1)+(2))×((1+年利率)^(建设期÷2)-1)")</f>
        <v>((1)+(2))×((1+年利率)^(建设期÷2)-1)</v>
      </c>
      <c r="H22" s="454"/>
      <c r="I22" s="454"/>
      <c r="J22" s="454"/>
      <c r="K22" s="455"/>
    </row>
    <row r="23" spans="1:14" s="2119" customFormat="1" ht="13.5" customHeight="1">
      <c r="A23" s="1631" t="s">
        <v>1850</v>
      </c>
      <c r="B23" s="1325" t="s">
        <v>508</v>
      </c>
      <c r="C23" s="485">
        <f ca="1">ROUND(IF('数据-取费表'!B22&lt;=1,F20*F21*'数据-取费表'!B20/2,F20*(POWER((1+F21),'数据-取费表'!B20/2)-1)),4)</f>
        <v>1E-3</v>
      </c>
      <c r="D23" s="469"/>
      <c r="E23" s="470"/>
      <c r="F23" s="471"/>
      <c r="G23" s="2566" t="str">
        <f>IF('数据-取费表'!B22&lt;=1,"销售费用率×年利率×建设期÷2","销售费用率×((1+年利率)^(建设期÷2)-1)")</f>
        <v>销售费用率×((1+年利率)^(建设期÷2)-1)</v>
      </c>
      <c r="H23" s="454"/>
      <c r="I23" s="454"/>
      <c r="J23" s="454"/>
      <c r="K23" s="455"/>
    </row>
    <row r="24" spans="1:14" s="2119" customFormat="1" ht="13.5" customHeight="1">
      <c r="A24" s="1632" t="s">
        <v>1860</v>
      </c>
      <c r="B24" s="3029" t="s">
        <v>2835</v>
      </c>
      <c r="C24" s="475">
        <f ca="1">C25</f>
        <v>23349</v>
      </c>
      <c r="D24" s="486">
        <f ca="1">C26</f>
        <v>8.0000000000000002E-3</v>
      </c>
      <c r="E24" s="466" t="s">
        <v>507</v>
      </c>
      <c r="F24" s="476">
        <f ca="1">IF(B1="",'数据-取费表'!Q16,INDIRECT("'数据-取费表'!q"&amp;$K$1))</f>
        <v>0.4</v>
      </c>
      <c r="G24" s="441"/>
      <c r="H24" s="444"/>
      <c r="I24" s="444"/>
      <c r="J24" s="444"/>
      <c r="K24" s="445"/>
    </row>
    <row r="25" spans="1:14" s="2119" customFormat="1" ht="13.5" customHeight="1">
      <c r="A25" s="1631" t="s">
        <v>1849</v>
      </c>
      <c r="B25" s="1325" t="s">
        <v>2439</v>
      </c>
      <c r="C25" s="487">
        <f ca="1">ROUND((C18+C19)*F24,0)</f>
        <v>23349</v>
      </c>
      <c r="D25" s="469"/>
      <c r="E25" s="470"/>
      <c r="F25" s="477"/>
      <c r="G25" s="1323" t="s">
        <v>2436</v>
      </c>
      <c r="H25" s="454"/>
      <c r="I25" s="454"/>
      <c r="J25" s="454"/>
      <c r="K25" s="455"/>
    </row>
    <row r="26" spans="1:14" s="2119" customFormat="1" ht="13.5" customHeight="1">
      <c r="A26" s="1631" t="s">
        <v>1850</v>
      </c>
      <c r="B26" s="1325" t="s">
        <v>509</v>
      </c>
      <c r="C26" s="488">
        <f ca="1">ROUND(F20*F24,4)</f>
        <v>8.0000000000000002E-3</v>
      </c>
      <c r="D26" s="469"/>
      <c r="E26" s="478"/>
      <c r="F26" s="477"/>
      <c r="G26" s="1323" t="s">
        <v>510</v>
      </c>
      <c r="H26" s="454"/>
      <c r="I26" s="454"/>
      <c r="J26" s="454"/>
      <c r="K26" s="455"/>
    </row>
    <row r="27" spans="1:14" s="2119" customFormat="1" ht="13.5" customHeight="1">
      <c r="A27" s="1635" t="s">
        <v>1868</v>
      </c>
      <c r="B27" s="456" t="s">
        <v>511</v>
      </c>
      <c r="C27" s="3028">
        <f>ROUND(F27/(1+'数据-取费表'!C42),4)</f>
        <v>5.2400000000000002E-2</v>
      </c>
      <c r="D27" s="459" t="s">
        <v>2833</v>
      </c>
      <c r="E27" s="459"/>
      <c r="F27" s="463">
        <f>'数据-取费表'!B41</f>
        <v>5.5000000000000007E-2</v>
      </c>
      <c r="G27" s="1959" t="s">
        <v>2294</v>
      </c>
      <c r="H27" s="444"/>
      <c r="I27" s="444"/>
      <c r="J27" s="444"/>
      <c r="K27" s="445"/>
    </row>
    <row r="28" spans="1:14" s="2120" customFormat="1" ht="13.5" customHeight="1">
      <c r="A28" s="1635" t="s">
        <v>1869</v>
      </c>
      <c r="B28" s="473" t="s">
        <v>512</v>
      </c>
      <c r="C28" s="467">
        <f ca="1">ROUND((C18+C19+C21+C24)/(1-C20-D21-D24-C27),0)</f>
        <v>91982</v>
      </c>
      <c r="D28" s="474"/>
      <c r="E28" s="466"/>
      <c r="F28" s="468"/>
      <c r="G28" s="1324" t="s">
        <v>2437</v>
      </c>
      <c r="H28" s="444"/>
      <c r="I28" s="444"/>
      <c r="J28" s="444"/>
      <c r="K28" s="445"/>
    </row>
    <row r="29" spans="1:14" s="2120" customFormat="1" ht="13.5" customHeight="1">
      <c r="A29" s="1635" t="s">
        <v>1870</v>
      </c>
      <c r="B29" s="473" t="s">
        <v>513</v>
      </c>
      <c r="C29" s="489">
        <f ca="1">IF(B1="",'数据-取费表'!N16,INDIRECT("'数据-取费表'!N"&amp;$K$1))</f>
        <v>0</v>
      </c>
      <c r="D29" s="490"/>
      <c r="E29" s="491"/>
      <c r="F29" s="492"/>
      <c r="G29" s="441"/>
      <c r="H29" s="444"/>
      <c r="I29" s="444"/>
      <c r="J29" s="444"/>
      <c r="K29" s="445"/>
    </row>
    <row r="30" spans="1:14" s="2120" customFormat="1" ht="13.5" customHeight="1">
      <c r="A30" s="440">
        <v>2</v>
      </c>
      <c r="B30" s="473" t="s">
        <v>514</v>
      </c>
      <c r="C30" s="494">
        <f ca="1">ROUND(C28*C29,0)</f>
        <v>0</v>
      </c>
      <c r="D30" s="490"/>
      <c r="E30" s="495"/>
      <c r="F30" s="496"/>
      <c r="G30" s="1326" t="s">
        <v>515</v>
      </c>
      <c r="H30" s="493"/>
      <c r="I30" s="493"/>
      <c r="J30" s="444"/>
      <c r="K30" s="445"/>
    </row>
    <row r="31" spans="1:14" s="2125" customFormat="1" ht="13.5" customHeight="1">
      <c r="A31" s="2481" t="s">
        <v>1866</v>
      </c>
      <c r="B31" s="1327"/>
      <c r="C31" s="497">
        <f>ROUND(C6*F31/(1+'数据-取费表'!C42),0)</f>
        <v>0</v>
      </c>
      <c r="D31" s="1328"/>
      <c r="E31" s="1328"/>
      <c r="F31" s="498">
        <f>'数据-取费表'!B41</f>
        <v>5.5000000000000007E-2</v>
      </c>
      <c r="G31" s="1329"/>
      <c r="H31" s="1329"/>
      <c r="I31" s="1329"/>
      <c r="J31" s="1330"/>
      <c r="K31" s="1331"/>
    </row>
    <row r="32" spans="1:14" s="2084"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482" t="s">
        <v>2978</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45889.5平方米。根据《建设工程规划许可证》[]、《出让合同》[]，估价对象规划建筑面积为100957平方米。</v>
      </c>
    </row>
    <row r="7" spans="1:4" ht="56.25">
      <c r="A7" s="1794" t="s">
        <v>2750</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2019年7月4日</v>
      </c>
    </row>
    <row r="12" spans="1:4" ht="18.75">
      <c r="A12" s="1796" t="s">
        <v>2028</v>
      </c>
    </row>
    <row r="13" spans="1:4" ht="18.75">
      <c r="A13" s="1790" t="s">
        <v>2947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2076</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根据《国有土地使用证》[]，估价对象（分摊）出让国有建设用地使用权面积为45889.5平方米。根据《建设工程规划许可证》[]、《出让合同》[]，估价对象规划建筑面积为100957平方米。</v>
      </c>
    </row>
    <row r="21" spans="1:1" ht="18.75">
      <c r="A21" s="1790" t="s">
        <v>2077</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7日、商业2059年12月7日、办公2069年12月7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0" t="s">
        <v>467</v>
      </c>
      <c r="B2" s="505"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2"/>
    </row>
    <row r="3" spans="1:30" s="1333" customFormat="1" ht="28.5" customHeight="1">
      <c r="A3" s="1377" t="s">
        <v>1685</v>
      </c>
      <c r="B3" s="507" t="e">
        <f>ROUND(B2*10000/'数据-汇总表'!E3,0)</f>
        <v>#DIV/0!</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30" s="1333" customFormat="1" ht="28.5" customHeight="1">
      <c r="A4" s="508" t="s">
        <v>520</v>
      </c>
      <c r="B4" s="424" t="e">
        <f>IF(B48="单位面积地价",C50,ROUND(B2*10000/'数据-汇总表'!D3,0))</f>
        <v>#DIV/0!</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5"/>
    </row>
    <row r="5" spans="1:30" s="1333" customFormat="1" ht="28.5" customHeight="1" thickBot="1">
      <c r="A5" s="426"/>
      <c r="B5" s="427" t="e">
        <f>ROUND(B2/('数据-汇总表'!D3/666.67),0)</f>
        <v>#DIV/0!</v>
      </c>
      <c r="C5" s="428"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5"/>
    </row>
    <row r="6" spans="1:30" ht="20.25">
      <c r="A6" s="509" t="s">
        <v>521</v>
      </c>
      <c r="B6" s="510"/>
      <c r="C6" s="3468" t="s">
        <v>522</v>
      </c>
      <c r="D6" s="3469"/>
      <c r="E6" s="3468" t="s">
        <v>523</v>
      </c>
      <c r="F6" s="3469"/>
      <c r="G6" s="3468" t="s">
        <v>524</v>
      </c>
      <c r="H6" s="3469"/>
      <c r="I6" s="3468" t="s">
        <v>525</v>
      </c>
      <c r="J6" s="3469"/>
      <c r="K6" s="511" t="s">
        <v>526</v>
      </c>
      <c r="L6" s="2132"/>
      <c r="M6" s="2131"/>
      <c r="N6" s="2131"/>
      <c r="O6" s="2133"/>
      <c r="P6" s="3470" t="s">
        <v>527</v>
      </c>
      <c r="Q6" s="3471"/>
      <c r="R6" s="3476" t="s">
        <v>523</v>
      </c>
      <c r="S6" s="3477"/>
      <c r="T6" s="3476" t="s">
        <v>524</v>
      </c>
      <c r="U6" s="3477"/>
      <c r="V6" s="3463" t="s">
        <v>525</v>
      </c>
      <c r="W6" s="3463"/>
      <c r="X6" s="1565"/>
      <c r="Y6" s="3476" t="s">
        <v>527</v>
      </c>
      <c r="Z6" s="3477"/>
      <c r="AA6" s="3465" t="s">
        <v>523</v>
      </c>
      <c r="AB6" s="3466" t="s">
        <v>524</v>
      </c>
      <c r="AC6" s="3465" t="s">
        <v>525</v>
      </c>
    </row>
    <row r="7" spans="1:30" ht="20.25">
      <c r="A7" s="512"/>
      <c r="B7" s="513"/>
      <c r="C7" s="3484" t="s">
        <v>2933</v>
      </c>
      <c r="D7" s="3485"/>
      <c r="E7" s="3484" t="s">
        <v>2934</v>
      </c>
      <c r="F7" s="3485"/>
      <c r="G7" s="3484" t="s">
        <v>2935</v>
      </c>
      <c r="H7" s="3485"/>
      <c r="I7" s="3484" t="s">
        <v>2936</v>
      </c>
      <c r="J7" s="3485"/>
      <c r="K7" s="511"/>
      <c r="L7" s="2132"/>
      <c r="M7" s="2131"/>
      <c r="N7" s="2131"/>
      <c r="O7" s="2133"/>
      <c r="P7" s="3472"/>
      <c r="Q7" s="3473"/>
      <c r="R7" s="3478"/>
      <c r="S7" s="3479"/>
      <c r="T7" s="3478"/>
      <c r="U7" s="3479"/>
      <c r="V7" s="3463"/>
      <c r="W7" s="3463"/>
      <c r="X7" s="1565"/>
      <c r="Y7" s="3478"/>
      <c r="Z7" s="3479"/>
      <c r="AA7" s="3466"/>
      <c r="AB7" s="3466"/>
      <c r="AC7" s="3466"/>
    </row>
    <row r="8" spans="1:30" ht="21" thickBot="1">
      <c r="A8" s="512"/>
      <c r="B8" s="513"/>
      <c r="C8" s="3486" t="s">
        <v>2937</v>
      </c>
      <c r="D8" s="3487"/>
      <c r="E8" s="3486" t="s">
        <v>2937</v>
      </c>
      <c r="F8" s="3487"/>
      <c r="G8" s="3482" t="s">
        <v>2937</v>
      </c>
      <c r="H8" s="3483"/>
      <c r="I8" s="3482" t="s">
        <v>2937</v>
      </c>
      <c r="J8" s="3483"/>
      <c r="K8" s="511" t="s">
        <v>528</v>
      </c>
      <c r="L8" s="2132"/>
      <c r="M8" s="2131"/>
      <c r="N8" s="2131"/>
      <c r="O8" s="2133"/>
      <c r="P8" s="3474"/>
      <c r="Q8" s="3475"/>
      <c r="R8" s="3478"/>
      <c r="S8" s="3479"/>
      <c r="T8" s="3480"/>
      <c r="U8" s="3481"/>
      <c r="V8" s="3463"/>
      <c r="W8" s="3463"/>
      <c r="X8" s="1565"/>
      <c r="Y8" s="3480"/>
      <c r="Z8" s="3481"/>
      <c r="AA8" s="3467"/>
      <c r="AB8" s="3467"/>
      <c r="AC8" s="3467"/>
    </row>
    <row r="9" spans="1:30" s="1217" customFormat="1" ht="21" thickBot="1">
      <c r="A9" s="2909"/>
      <c r="B9" s="2916" t="s">
        <v>529</v>
      </c>
      <c r="C9" s="2908">
        <f>'数据-取费表'!B2</f>
        <v>43650</v>
      </c>
      <c r="D9" s="517">
        <v>100</v>
      </c>
      <c r="E9" s="518"/>
      <c r="F9" s="519">
        <f>SUMIF(72:72,YEAR(E9)&amp;"-"&amp;INT((MONTH(E9)+2)/3),73:73)</f>
        <v>0</v>
      </c>
      <c r="G9" s="520"/>
      <c r="H9" s="517">
        <f>SUMIF(72:72,YEAR(G9)&amp;"-"&amp;INT((MONTH(G9)+2)/3),73:73)</f>
        <v>0</v>
      </c>
      <c r="I9" s="520"/>
      <c r="J9" s="517">
        <f>SUMIF(72:72,YEAR(I9)&amp;"-"&amp;INT((MONTH(I9)+2)/3),73:73)</f>
        <v>0</v>
      </c>
      <c r="K9" s="521"/>
      <c r="L9" s="2134"/>
      <c r="M9" s="2131"/>
      <c r="N9" s="2131"/>
      <c r="O9" s="2135"/>
      <c r="P9" s="3493" t="s">
        <v>530</v>
      </c>
      <c r="Q9" s="3495"/>
      <c r="R9" s="1566" t="s">
        <v>8</v>
      </c>
      <c r="S9" s="1567">
        <f t="shared" ref="S9:S17" si="0">F9</f>
        <v>0</v>
      </c>
      <c r="T9" s="1566" t="s">
        <v>8</v>
      </c>
      <c r="U9" s="1567">
        <f t="shared" ref="U9:U17" si="1">H9</f>
        <v>0</v>
      </c>
      <c r="V9" s="1566" t="s">
        <v>8</v>
      </c>
      <c r="W9" s="1567">
        <f t="shared" ref="W9:W17" si="2">J9</f>
        <v>0</v>
      </c>
      <c r="X9" s="1568"/>
      <c r="Y9" s="3493" t="s">
        <v>530</v>
      </c>
      <c r="Z9" s="3494"/>
      <c r="AA9" s="1569" t="e">
        <f>D9/F9</f>
        <v>#DIV/0!</v>
      </c>
      <c r="AB9" s="1569" t="e">
        <f>D9/H9</f>
        <v>#DIV/0!</v>
      </c>
      <c r="AC9" s="1569" t="e">
        <f>D9/J9</f>
        <v>#DIV/0!</v>
      </c>
    </row>
    <row r="10" spans="1:30" s="1217" customFormat="1" ht="21" thickBot="1">
      <c r="A10" s="2910"/>
      <c r="B10" s="2917" t="s">
        <v>531</v>
      </c>
      <c r="C10" s="853" t="s">
        <v>532</v>
      </c>
      <c r="D10" s="517">
        <v>100</v>
      </c>
      <c r="E10" s="522"/>
      <c r="F10" s="519">
        <f>SUMIF(75:75,E10,76:76)-SUMIF(75:75,C10,76:76)+100</f>
        <v>0</v>
      </c>
      <c r="G10" s="522"/>
      <c r="H10" s="517">
        <f>SUMIF(75:75,G10,76:76)-SUMIF(75:75,C10,76:76)+100</f>
        <v>0</v>
      </c>
      <c r="I10" s="522"/>
      <c r="J10" s="517">
        <f>SUMIF(75:75,I10,76:76)-SUMIF(75:75,C10,76:76)+100</f>
        <v>0</v>
      </c>
      <c r="K10" s="521"/>
      <c r="L10" s="2134"/>
      <c r="M10" s="2131"/>
      <c r="N10" s="2131"/>
      <c r="O10" s="2135"/>
      <c r="P10" s="3493" t="s">
        <v>533</v>
      </c>
      <c r="Q10" s="3494"/>
      <c r="R10" s="1566" t="s">
        <v>8</v>
      </c>
      <c r="S10" s="1567">
        <f t="shared" si="0"/>
        <v>0</v>
      </c>
      <c r="T10" s="1566" t="s">
        <v>8</v>
      </c>
      <c r="U10" s="1567">
        <f t="shared" si="1"/>
        <v>0</v>
      </c>
      <c r="V10" s="1566" t="s">
        <v>8</v>
      </c>
      <c r="W10" s="1567">
        <f t="shared" si="2"/>
        <v>0</v>
      </c>
      <c r="X10" s="1568"/>
      <c r="Y10" s="3493" t="s">
        <v>533</v>
      </c>
      <c r="Z10" s="3494"/>
      <c r="AA10" s="1569" t="e">
        <f t="shared" ref="AA10:AA47" si="3">D10/F10</f>
        <v>#DIV/0!</v>
      </c>
      <c r="AB10" s="1569" t="e">
        <f t="shared" ref="AB10:AB47" si="4">D10/H10</f>
        <v>#DIV/0!</v>
      </c>
      <c r="AC10" s="1569" t="e">
        <f t="shared" ref="AC10:AC47" si="5">D10/J10</f>
        <v>#DIV/0!</v>
      </c>
    </row>
    <row r="11" spans="1:30" s="1217" customFormat="1" ht="20.25">
      <c r="A11" s="2911"/>
      <c r="B11" s="2918" t="s">
        <v>2759</v>
      </c>
      <c r="C11" s="2905"/>
      <c r="D11" s="254">
        <v>100</v>
      </c>
      <c r="E11" s="523"/>
      <c r="F11" s="254">
        <f>SUMIF(77:77,E11,78:78)-SUMIF(77:77,C11,78:78)+100</f>
        <v>100</v>
      </c>
      <c r="G11" s="523"/>
      <c r="H11" s="254">
        <f>SUMIF(77:77,G11,78:78)-SUMIF(77:77,C11,78:78)+100</f>
        <v>100</v>
      </c>
      <c r="I11" s="523"/>
      <c r="J11" s="254">
        <f>SUMIF(77:77,I11,78:78)-SUMIF(77:77,C11,78:78)+100</f>
        <v>100</v>
      </c>
      <c r="K11" s="521"/>
      <c r="L11" s="2134"/>
      <c r="M11" s="2131"/>
      <c r="N11" s="2131"/>
      <c r="O11" s="2136"/>
      <c r="P11" s="3462" t="s">
        <v>535</v>
      </c>
      <c r="Q11" s="1148" t="str">
        <f t="shared" ref="Q11:Q17" si="6">B11</f>
        <v>用途</v>
      </c>
      <c r="R11" s="1566" t="s">
        <v>8</v>
      </c>
      <c r="S11" s="1567">
        <f t="shared" si="0"/>
        <v>100</v>
      </c>
      <c r="T11" s="1566" t="s">
        <v>8</v>
      </c>
      <c r="U11" s="1567">
        <f t="shared" si="1"/>
        <v>100</v>
      </c>
      <c r="V11" s="1566" t="s">
        <v>8</v>
      </c>
      <c r="W11" s="1567">
        <f t="shared" si="2"/>
        <v>100</v>
      </c>
      <c r="X11" s="1568"/>
      <c r="Y11" s="3383" t="s">
        <v>536</v>
      </c>
      <c r="Z11" s="1147" t="str">
        <f t="shared" ref="Z11:Z17" si="7">Q11</f>
        <v>用途</v>
      </c>
      <c r="AA11" s="1569">
        <f t="shared" si="3"/>
        <v>1</v>
      </c>
      <c r="AB11" s="1569">
        <f t="shared" si="4"/>
        <v>1</v>
      </c>
      <c r="AC11" s="1569">
        <f t="shared" si="5"/>
        <v>1</v>
      </c>
    </row>
    <row r="12" spans="1:30" s="1335" customFormat="1" ht="27">
      <c r="A12" s="2912"/>
      <c r="B12" s="2917" t="s">
        <v>2760</v>
      </c>
      <c r="C12" s="907"/>
      <c r="D12" s="255">
        <v>100</v>
      </c>
      <c r="E12" s="526"/>
      <c r="F12" s="255">
        <f>ROUND(100/'数据-取费表'!G16,0)</f>
        <v>100</v>
      </c>
      <c r="G12" s="527"/>
      <c r="H12" s="255">
        <f>ROUND(100/'数据-取费表'!G16,0)</f>
        <v>100</v>
      </c>
      <c r="I12" s="527"/>
      <c r="J12" s="255">
        <f>ROUND(100/'数据-取费表'!G16,0)</f>
        <v>100</v>
      </c>
      <c r="K12" s="528"/>
      <c r="L12" s="2137"/>
      <c r="M12" s="2131"/>
      <c r="N12" s="2131"/>
      <c r="O12" s="2138"/>
      <c r="P12" s="3462"/>
      <c r="Q12" s="1148" t="str">
        <f t="shared" si="6"/>
        <v>土地使用年限（年）</v>
      </c>
      <c r="R12" s="1566" t="s">
        <v>8</v>
      </c>
      <c r="S12" s="1567">
        <f t="shared" si="0"/>
        <v>100</v>
      </c>
      <c r="T12" s="1566" t="s">
        <v>8</v>
      </c>
      <c r="U12" s="1567">
        <f t="shared" si="1"/>
        <v>100</v>
      </c>
      <c r="V12" s="1566" t="s">
        <v>8</v>
      </c>
      <c r="W12" s="1567">
        <f t="shared" si="2"/>
        <v>100</v>
      </c>
      <c r="X12" s="1568"/>
      <c r="Y12" s="3383"/>
      <c r="Z12" s="1147" t="str">
        <f t="shared" si="7"/>
        <v>土地使用年限（年）</v>
      </c>
      <c r="AA12" s="1569">
        <f t="shared" si="3"/>
        <v>1</v>
      </c>
      <c r="AB12" s="1569">
        <f t="shared" si="4"/>
        <v>1</v>
      </c>
      <c r="AC12" s="1569">
        <f t="shared" si="5"/>
        <v>1</v>
      </c>
    </row>
    <row r="13" spans="1:30" ht="20.25">
      <c r="A13" s="2913"/>
      <c r="B13" s="2917" t="s">
        <v>2761</v>
      </c>
      <c r="C13" s="531"/>
      <c r="D13" s="255">
        <v>100</v>
      </c>
      <c r="E13" s="530"/>
      <c r="F13" s="255" t="e">
        <f>LOOKUP(E13,82:82,83:83)-LOOKUP(C13,82:82,83:83)+100</f>
        <v>#N/A</v>
      </c>
      <c r="G13" s="531"/>
      <c r="H13" s="255" t="e">
        <f>LOOKUP(G13,82:82,83:83)-LOOKUP(C13,82:82,83:83)+100</f>
        <v>#N/A</v>
      </c>
      <c r="I13" s="530"/>
      <c r="J13" s="255" t="e">
        <f>LOOKUP(I13,82:82,83:83)-LOOKUP(C13,82:82,83:83)+100</f>
        <v>#N/A</v>
      </c>
      <c r="K13" s="532"/>
      <c r="L13" s="2139"/>
      <c r="M13" s="2131"/>
      <c r="N13" s="2131"/>
      <c r="O13" s="2140"/>
      <c r="P13" s="3462"/>
      <c r="Q13" s="1148" t="str">
        <f t="shared" si="6"/>
        <v>容积率</v>
      </c>
      <c r="R13" s="1566" t="s">
        <v>8</v>
      </c>
      <c r="S13" s="1567" t="e">
        <f t="shared" si="0"/>
        <v>#N/A</v>
      </c>
      <c r="T13" s="1566" t="s">
        <v>8</v>
      </c>
      <c r="U13" s="1567" t="e">
        <f t="shared" si="1"/>
        <v>#N/A</v>
      </c>
      <c r="V13" s="1566" t="s">
        <v>8</v>
      </c>
      <c r="W13" s="1567" t="e">
        <f t="shared" si="2"/>
        <v>#N/A</v>
      </c>
      <c r="X13" s="1568"/>
      <c r="Y13" s="3383"/>
      <c r="Z13" s="1147" t="str">
        <f t="shared" si="7"/>
        <v>容积率</v>
      </c>
      <c r="AA13" s="1569" t="e">
        <f t="shared" si="3"/>
        <v>#N/A</v>
      </c>
      <c r="AB13" s="1569" t="e">
        <f t="shared" si="4"/>
        <v>#N/A</v>
      </c>
      <c r="AC13" s="1569" t="e">
        <f t="shared" si="5"/>
        <v>#N/A</v>
      </c>
    </row>
    <row r="14" spans="1:30" s="1217" customFormat="1" ht="20.25">
      <c r="A14" s="2910"/>
      <c r="B14" s="2919" t="s">
        <v>2762</v>
      </c>
      <c r="C14" s="2906"/>
      <c r="D14" s="535">
        <v>100</v>
      </c>
      <c r="E14" s="1372"/>
      <c r="F14" s="255">
        <f>SUMIF(84:84,E14,85:85)-SUMIF(84:84,C14,85:85)+100</f>
        <v>100</v>
      </c>
      <c r="G14" s="527"/>
      <c r="H14" s="255">
        <f>SUMIF(84:84,G14,85:85)-SUMIF(84:84,C14,85:85)+100</f>
        <v>100</v>
      </c>
      <c r="I14" s="526"/>
      <c r="J14" s="255">
        <f>SUMIF(84:84,I14,85:85)-SUMIF(84:84,C14,85:85)+100</f>
        <v>100</v>
      </c>
      <c r="K14" s="528"/>
      <c r="L14" s="2134"/>
      <c r="M14" s="2131"/>
      <c r="N14" s="2131"/>
      <c r="O14" s="2136"/>
      <c r="P14" s="3462"/>
      <c r="Q14" s="1148" t="str">
        <f t="shared" si="6"/>
        <v>配建</v>
      </c>
      <c r="R14" s="1566" t="s">
        <v>8</v>
      </c>
      <c r="S14" s="1567">
        <f t="shared" si="0"/>
        <v>100</v>
      </c>
      <c r="T14" s="1566" t="s">
        <v>8</v>
      </c>
      <c r="U14" s="1567">
        <f t="shared" si="1"/>
        <v>100</v>
      </c>
      <c r="V14" s="1566" t="s">
        <v>8</v>
      </c>
      <c r="W14" s="1567">
        <f t="shared" si="2"/>
        <v>100</v>
      </c>
      <c r="X14" s="1568"/>
      <c r="Y14" s="3383"/>
      <c r="Z14" s="1147" t="str">
        <f t="shared" si="7"/>
        <v>配建</v>
      </c>
      <c r="AA14" s="1569">
        <f>D14/F14</f>
        <v>1</v>
      </c>
      <c r="AB14" s="1569">
        <f>D14/H14</f>
        <v>1</v>
      </c>
      <c r="AC14" s="1569">
        <f>D14/J14</f>
        <v>1</v>
      </c>
    </row>
    <row r="15" spans="1:30" ht="20.25">
      <c r="A15" s="2914"/>
      <c r="B15" s="2920">
        <v>111</v>
      </c>
      <c r="C15" s="909"/>
      <c r="D15" s="537">
        <v>100</v>
      </c>
      <c r="E15" s="538"/>
      <c r="F15" s="255">
        <f>SUMIF(86:86,E15,87:87)-SUMIF(86:86,C15,87:87)+100</f>
        <v>100</v>
      </c>
      <c r="G15" s="539"/>
      <c r="H15" s="537">
        <f>SUMIF(86:86,G15,87:87)-SUMIF(86:86,C15,87:87)+100</f>
        <v>100</v>
      </c>
      <c r="I15" s="539"/>
      <c r="J15" s="537">
        <f>SUMIF(86:86,I15,87:87)-SUMIF(86:86,C15,87:87)+100</f>
        <v>100</v>
      </c>
      <c r="K15" s="528"/>
      <c r="L15" s="2141"/>
      <c r="M15" s="2131"/>
      <c r="N15" s="2131"/>
      <c r="O15" s="2140"/>
      <c r="P15" s="3462"/>
      <c r="Q15" s="1148">
        <f t="shared" si="6"/>
        <v>111</v>
      </c>
      <c r="R15" s="1566" t="s">
        <v>8</v>
      </c>
      <c r="S15" s="1567">
        <f t="shared" si="0"/>
        <v>100</v>
      </c>
      <c r="T15" s="1566" t="s">
        <v>8</v>
      </c>
      <c r="U15" s="1567">
        <f t="shared" si="1"/>
        <v>100</v>
      </c>
      <c r="V15" s="1566" t="s">
        <v>8</v>
      </c>
      <c r="W15" s="1567">
        <f t="shared" si="2"/>
        <v>100</v>
      </c>
      <c r="X15" s="1568"/>
      <c r="Y15" s="3383"/>
      <c r="Z15" s="1147">
        <f t="shared" si="7"/>
        <v>111</v>
      </c>
      <c r="AA15" s="1569">
        <f>D15/F15</f>
        <v>1</v>
      </c>
      <c r="AB15" s="1569">
        <f>D15/H15</f>
        <v>1</v>
      </c>
      <c r="AC15" s="1569">
        <f>D15/J15</f>
        <v>1</v>
      </c>
    </row>
    <row r="16" spans="1:30" ht="21" thickBot="1">
      <c r="A16" s="2915"/>
      <c r="B16" s="2921">
        <v>111</v>
      </c>
      <c r="C16" s="912"/>
      <c r="D16" s="543">
        <v>100</v>
      </c>
      <c r="E16" s="538"/>
      <c r="F16" s="543">
        <f>SUMIF(88:88,E16,89:89)-SUMIF(88:88,C16,89:89)+100</f>
        <v>100</v>
      </c>
      <c r="G16" s="539"/>
      <c r="H16" s="543">
        <f>SUMIF(88:88,G16,89:89)-SUMIF(88:88,C16,89:89)+100</f>
        <v>100</v>
      </c>
      <c r="I16" s="539"/>
      <c r="J16" s="543">
        <f>SUMIF(88:88,I16,89:89)-SUMIF(88:88,C16,89:89)+100</f>
        <v>100</v>
      </c>
      <c r="K16" s="528"/>
      <c r="L16" s="2141"/>
      <c r="M16" s="2131"/>
      <c r="N16" s="2131"/>
      <c r="O16" s="2140"/>
      <c r="P16" s="3462"/>
      <c r="Q16" s="1148">
        <f t="shared" si="6"/>
        <v>111</v>
      </c>
      <c r="R16" s="1566" t="s">
        <v>8</v>
      </c>
      <c r="S16" s="1567">
        <f t="shared" si="0"/>
        <v>100</v>
      </c>
      <c r="T16" s="1566" t="s">
        <v>8</v>
      </c>
      <c r="U16" s="1567">
        <f t="shared" si="1"/>
        <v>100</v>
      </c>
      <c r="V16" s="1566" t="s">
        <v>8</v>
      </c>
      <c r="W16" s="1567">
        <f t="shared" si="2"/>
        <v>100</v>
      </c>
      <c r="X16" s="1568"/>
      <c r="Y16" s="3383"/>
      <c r="Z16" s="1147">
        <f t="shared" si="7"/>
        <v>111</v>
      </c>
      <c r="AA16" s="1569">
        <f>D16/F16</f>
        <v>1</v>
      </c>
      <c r="AB16" s="1569">
        <f>D16/H16</f>
        <v>1</v>
      </c>
      <c r="AC16" s="1569">
        <f>D16/J16</f>
        <v>1</v>
      </c>
    </row>
    <row r="17" spans="1:29" ht="99.75">
      <c r="A17" s="2907" t="s">
        <v>2757</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c r="L17" s="2141"/>
      <c r="M17" s="2131"/>
      <c r="N17" s="2131"/>
      <c r="O17" s="2140"/>
      <c r="P17" s="3496" t="s">
        <v>540</v>
      </c>
      <c r="Q17" s="1570" t="str">
        <f t="shared" si="6"/>
        <v>居住社区成熟度</v>
      </c>
      <c r="R17" s="1571" t="s">
        <v>8</v>
      </c>
      <c r="S17" s="1572">
        <f t="shared" si="0"/>
        <v>100</v>
      </c>
      <c r="T17" s="1571" t="s">
        <v>8</v>
      </c>
      <c r="U17" s="1572">
        <f t="shared" si="1"/>
        <v>100</v>
      </c>
      <c r="V17" s="1571" t="s">
        <v>8</v>
      </c>
      <c r="W17" s="1572">
        <f t="shared" si="2"/>
        <v>100</v>
      </c>
      <c r="X17" s="1565"/>
      <c r="Y17" s="3496" t="s">
        <v>540</v>
      </c>
      <c r="Z17" s="1573" t="str">
        <f t="shared" si="7"/>
        <v>居住社区成熟度</v>
      </c>
      <c r="AA17" s="1574">
        <f t="shared" si="3"/>
        <v>1</v>
      </c>
      <c r="AB17" s="1574">
        <f t="shared" si="4"/>
        <v>1</v>
      </c>
      <c r="AC17" s="1574">
        <f t="shared" si="5"/>
        <v>1</v>
      </c>
    </row>
    <row r="18" spans="1:29" ht="20.25">
      <c r="A18" s="529"/>
      <c r="B18" s="550"/>
      <c r="C18" s="551"/>
      <c r="D18" s="554"/>
      <c r="E18" s="555"/>
      <c r="F18" s="552"/>
      <c r="G18" s="553"/>
      <c r="H18" s="556"/>
      <c r="I18" s="555"/>
      <c r="J18" s="552"/>
      <c r="K18" s="528"/>
      <c r="L18" s="2141"/>
      <c r="M18" s="2131"/>
      <c r="N18" s="2131"/>
      <c r="O18" s="2140"/>
      <c r="P18" s="3497"/>
      <c r="Q18" s="1570"/>
      <c r="R18" s="1571"/>
      <c r="S18" s="1572"/>
      <c r="T18" s="1571"/>
      <c r="U18" s="1572"/>
      <c r="V18" s="1571"/>
      <c r="W18" s="1572"/>
      <c r="X18" s="1565"/>
      <c r="Y18" s="3497"/>
      <c r="Z18" s="1573"/>
      <c r="AA18" s="1574">
        <v>1</v>
      </c>
      <c r="AB18" s="1574">
        <v>1</v>
      </c>
      <c r="AC18" s="1574">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41"/>
      <c r="M19" s="2131"/>
      <c r="N19" s="2131"/>
      <c r="O19" s="2140"/>
      <c r="P19" s="3497"/>
      <c r="Q19" s="1570" t="str">
        <f>B19</f>
        <v>商业繁华度</v>
      </c>
      <c r="R19" s="1571" t="s">
        <v>8</v>
      </c>
      <c r="S19" s="1572">
        <f>F19</f>
        <v>100</v>
      </c>
      <c r="T19" s="1571" t="s">
        <v>8</v>
      </c>
      <c r="U19" s="1572">
        <f>H19</f>
        <v>100</v>
      </c>
      <c r="V19" s="1571" t="s">
        <v>8</v>
      </c>
      <c r="W19" s="1572">
        <f>J19</f>
        <v>100</v>
      </c>
      <c r="X19" s="1565"/>
      <c r="Y19" s="3497"/>
      <c r="Z19" s="1573" t="str">
        <f>Q19</f>
        <v>商业繁华度</v>
      </c>
      <c r="AA19" s="1574">
        <f t="shared" si="3"/>
        <v>1</v>
      </c>
      <c r="AB19" s="1574">
        <f t="shared" si="4"/>
        <v>1</v>
      </c>
      <c r="AC19" s="1574">
        <f t="shared" si="5"/>
        <v>1</v>
      </c>
    </row>
    <row r="20" spans="1:29" ht="20.25">
      <c r="A20" s="529"/>
      <c r="B20" s="563"/>
      <c r="C20" s="564"/>
      <c r="D20" s="560"/>
      <c r="E20" s="566"/>
      <c r="F20" s="556"/>
      <c r="G20" s="565"/>
      <c r="H20" s="552"/>
      <c r="I20" s="566"/>
      <c r="J20" s="552"/>
      <c r="K20" s="528"/>
      <c r="L20" s="2141"/>
      <c r="M20" s="2131"/>
      <c r="N20" s="2131"/>
      <c r="O20" s="2140"/>
      <c r="P20" s="3497"/>
      <c r="Q20" s="1570"/>
      <c r="R20" s="1571"/>
      <c r="S20" s="1572"/>
      <c r="T20" s="1571"/>
      <c r="U20" s="1572"/>
      <c r="V20" s="1571"/>
      <c r="W20" s="1572"/>
      <c r="X20" s="1565"/>
      <c r="Y20" s="3497"/>
      <c r="Z20" s="1573"/>
      <c r="AA20" s="1574">
        <v>1</v>
      </c>
      <c r="AB20" s="1574">
        <v>1</v>
      </c>
      <c r="AC20" s="1574">
        <v>1</v>
      </c>
    </row>
    <row r="21" spans="1:29" ht="71.25">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41"/>
      <c r="M21" s="2131"/>
      <c r="N21" s="2131"/>
      <c r="O21" s="2140"/>
      <c r="P21" s="3497"/>
      <c r="Q21" s="1570" t="str">
        <f>B21</f>
        <v>办公集聚程度</v>
      </c>
      <c r="R21" s="1571" t="s">
        <v>8</v>
      </c>
      <c r="S21" s="1572">
        <f>F21</f>
        <v>100</v>
      </c>
      <c r="T21" s="1571" t="s">
        <v>8</v>
      </c>
      <c r="U21" s="1572">
        <f>H21</f>
        <v>100</v>
      </c>
      <c r="V21" s="1571" t="s">
        <v>8</v>
      </c>
      <c r="W21" s="1572">
        <f>J21</f>
        <v>100</v>
      </c>
      <c r="X21" s="1565"/>
      <c r="Y21" s="3497"/>
      <c r="Z21" s="1573" t="str">
        <f>Q21</f>
        <v>办公集聚程度</v>
      </c>
      <c r="AA21" s="1574">
        <f t="shared" si="3"/>
        <v>1</v>
      </c>
      <c r="AB21" s="1574">
        <f t="shared" si="4"/>
        <v>1</v>
      </c>
      <c r="AC21" s="1574">
        <f t="shared" si="5"/>
        <v>1</v>
      </c>
    </row>
    <row r="22" spans="1:29" ht="20.25">
      <c r="A22" s="529"/>
      <c r="B22" s="563"/>
      <c r="C22" s="551"/>
      <c r="D22" s="554"/>
      <c r="E22" s="555"/>
      <c r="F22" s="552"/>
      <c r="G22" s="553"/>
      <c r="H22" s="552"/>
      <c r="I22" s="555"/>
      <c r="J22" s="552"/>
      <c r="K22" s="528"/>
      <c r="L22" s="2141"/>
      <c r="M22" s="2131"/>
      <c r="N22" s="2131"/>
      <c r="O22" s="2140"/>
      <c r="P22" s="3497"/>
      <c r="Q22" s="1570"/>
      <c r="R22" s="1571"/>
      <c r="S22" s="1572"/>
      <c r="T22" s="1571"/>
      <c r="U22" s="1572"/>
      <c r="V22" s="1571"/>
      <c r="W22" s="1572"/>
      <c r="X22" s="1565"/>
      <c r="Y22" s="3497"/>
      <c r="Z22" s="1573"/>
      <c r="AA22" s="1574">
        <v>1</v>
      </c>
      <c r="AB22" s="1574">
        <v>1</v>
      </c>
      <c r="AC22" s="1574">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c r="L23" s="2141"/>
      <c r="M23" s="2131"/>
      <c r="N23" s="2131"/>
      <c r="O23" s="2140"/>
      <c r="P23" s="3497"/>
      <c r="Q23" s="1570" t="str">
        <f>B23</f>
        <v>交通便捷度</v>
      </c>
      <c r="R23" s="1571" t="s">
        <v>8</v>
      </c>
      <c r="S23" s="1572">
        <f>F23</f>
        <v>100</v>
      </c>
      <c r="T23" s="1571" t="s">
        <v>8</v>
      </c>
      <c r="U23" s="1572">
        <f>H23</f>
        <v>100</v>
      </c>
      <c r="V23" s="1571" t="s">
        <v>8</v>
      </c>
      <c r="W23" s="1572">
        <f>J23</f>
        <v>100</v>
      </c>
      <c r="X23" s="1565"/>
      <c r="Y23" s="3497"/>
      <c r="Z23" s="1573" t="str">
        <f>Q23</f>
        <v>交通便捷度</v>
      </c>
      <c r="AA23" s="1574">
        <f t="shared" si="3"/>
        <v>1</v>
      </c>
      <c r="AB23" s="1574">
        <f t="shared" si="4"/>
        <v>1</v>
      </c>
      <c r="AC23" s="1574">
        <f t="shared" si="5"/>
        <v>1</v>
      </c>
    </row>
    <row r="24" spans="1:29" ht="20.25">
      <c r="A24" s="529"/>
      <c r="B24" s="575"/>
      <c r="C24" s="551"/>
      <c r="D24" s="554"/>
      <c r="E24" s="555"/>
      <c r="F24" s="552"/>
      <c r="G24" s="553"/>
      <c r="H24" s="552"/>
      <c r="I24" s="555"/>
      <c r="J24" s="552"/>
      <c r="K24" s="528"/>
      <c r="L24" s="2141"/>
      <c r="M24" s="2131"/>
      <c r="N24" s="2131"/>
      <c r="O24" s="2140"/>
      <c r="P24" s="3497"/>
      <c r="Q24" s="1570"/>
      <c r="R24" s="1571"/>
      <c r="S24" s="1572"/>
      <c r="T24" s="1571"/>
      <c r="U24" s="1572"/>
      <c r="V24" s="1571"/>
      <c r="W24" s="1572"/>
      <c r="X24" s="1565"/>
      <c r="Y24" s="3497"/>
      <c r="Z24" s="1573"/>
      <c r="AA24" s="1574">
        <v>1</v>
      </c>
      <c r="AB24" s="1574">
        <v>1</v>
      </c>
      <c r="AC24" s="1574">
        <v>1</v>
      </c>
    </row>
    <row r="25" spans="1:29" ht="27">
      <c r="A25" s="512"/>
      <c r="B25" s="259"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41"/>
      <c r="M25" s="2131"/>
      <c r="N25" s="2131"/>
      <c r="O25" s="2140"/>
      <c r="P25" s="3497"/>
      <c r="Q25" s="1570" t="str">
        <f t="shared" ref="Q25:Q39" si="8">B25</f>
        <v>区域土地利用方向</v>
      </c>
      <c r="R25" s="1571" t="s">
        <v>8</v>
      </c>
      <c r="S25" s="1572">
        <f>F25</f>
        <v>100</v>
      </c>
      <c r="T25" s="1571" t="s">
        <v>8</v>
      </c>
      <c r="U25" s="1572">
        <f>H25</f>
        <v>100</v>
      </c>
      <c r="V25" s="1571" t="s">
        <v>8</v>
      </c>
      <c r="W25" s="1572">
        <f>J25</f>
        <v>100</v>
      </c>
      <c r="X25" s="1565"/>
      <c r="Y25" s="3497"/>
      <c r="Z25" s="1573" t="str">
        <f>Q25</f>
        <v>区域土地利用方向</v>
      </c>
      <c r="AA25" s="1574">
        <f t="shared" si="3"/>
        <v>1</v>
      </c>
      <c r="AB25" s="1574">
        <f t="shared" si="4"/>
        <v>1</v>
      </c>
      <c r="AC25" s="1574">
        <f t="shared" si="5"/>
        <v>1</v>
      </c>
    </row>
    <row r="26" spans="1:29" ht="20.25">
      <c r="A26" s="512"/>
      <c r="B26" s="1004"/>
      <c r="C26" s="551"/>
      <c r="D26" s="554"/>
      <c r="E26" s="555"/>
      <c r="F26" s="552"/>
      <c r="G26" s="553"/>
      <c r="H26" s="552"/>
      <c r="I26" s="555"/>
      <c r="J26" s="552"/>
      <c r="K26" s="528"/>
      <c r="L26" s="2141"/>
      <c r="M26" s="2131"/>
      <c r="N26" s="2131"/>
      <c r="O26" s="2140"/>
      <c r="P26" s="3497"/>
      <c r="Q26" s="1570"/>
      <c r="R26" s="1571"/>
      <c r="S26" s="1572"/>
      <c r="T26" s="1571"/>
      <c r="U26" s="1572"/>
      <c r="V26" s="1571"/>
      <c r="W26" s="1572"/>
      <c r="X26" s="1565"/>
      <c r="Y26" s="3497"/>
      <c r="Z26" s="1573"/>
      <c r="AA26" s="1574"/>
      <c r="AB26" s="1574"/>
      <c r="AC26" s="1574"/>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41"/>
      <c r="M27" s="2131"/>
      <c r="N27" s="2131"/>
      <c r="O27" s="2140"/>
      <c r="P27" s="3497"/>
      <c r="Q27" s="1570" t="str">
        <f t="shared" si="8"/>
        <v>自然及人文环境状况</v>
      </c>
      <c r="R27" s="1571" t="s">
        <v>8</v>
      </c>
      <c r="S27" s="1572">
        <f>F27</f>
        <v>100</v>
      </c>
      <c r="T27" s="1571" t="s">
        <v>8</v>
      </c>
      <c r="U27" s="1572">
        <f>H27</f>
        <v>100</v>
      </c>
      <c r="V27" s="1571" t="s">
        <v>8</v>
      </c>
      <c r="W27" s="1572">
        <f>J27</f>
        <v>100</v>
      </c>
      <c r="X27" s="1565"/>
      <c r="Y27" s="3497"/>
      <c r="Z27" s="1573" t="str">
        <f>Q27</f>
        <v>自然及人文环境状况</v>
      </c>
      <c r="AA27" s="1574">
        <f t="shared" si="3"/>
        <v>1</v>
      </c>
      <c r="AB27" s="1574">
        <f t="shared" si="4"/>
        <v>1</v>
      </c>
      <c r="AC27" s="1574">
        <f t="shared" si="5"/>
        <v>1</v>
      </c>
    </row>
    <row r="28" spans="1:29" ht="20.25">
      <c r="A28" s="512"/>
      <c r="B28" s="563"/>
      <c r="C28" s="551"/>
      <c r="D28" s="554"/>
      <c r="E28" s="573"/>
      <c r="F28" s="552"/>
      <c r="G28" s="551"/>
      <c r="H28" s="552"/>
      <c r="I28" s="573"/>
      <c r="J28" s="552"/>
      <c r="K28" s="528"/>
      <c r="L28" s="2141"/>
      <c r="M28" s="2131"/>
      <c r="N28" s="2131"/>
      <c r="O28" s="2140"/>
      <c r="P28" s="3497"/>
      <c r="Q28" s="1570"/>
      <c r="R28" s="1571"/>
      <c r="S28" s="1572"/>
      <c r="T28" s="1571"/>
      <c r="U28" s="1572"/>
      <c r="V28" s="1571"/>
      <c r="W28" s="1572"/>
      <c r="X28" s="1565"/>
      <c r="Y28" s="3497"/>
      <c r="Z28" s="1573"/>
      <c r="AA28" s="1574">
        <v>1</v>
      </c>
      <c r="AB28" s="1574">
        <v>1</v>
      </c>
      <c r="AC28" s="1574">
        <v>1</v>
      </c>
    </row>
    <row r="29" spans="1:29" s="1217" customFormat="1" ht="42.75">
      <c r="A29" s="574"/>
      <c r="B29" s="2590" t="s">
        <v>2551</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34"/>
      <c r="M29" s="2131"/>
      <c r="N29" s="2131"/>
      <c r="O29" s="2136"/>
      <c r="P29" s="3497"/>
      <c r="Q29" s="1148" t="str">
        <f t="shared" si="8"/>
        <v>公共配套设施</v>
      </c>
      <c r="R29" s="1566" t="s">
        <v>8</v>
      </c>
      <c r="S29" s="1567">
        <f>F29</f>
        <v>100</v>
      </c>
      <c r="T29" s="1566" t="s">
        <v>8</v>
      </c>
      <c r="U29" s="1567">
        <f>H29</f>
        <v>100</v>
      </c>
      <c r="V29" s="1566" t="s">
        <v>8</v>
      </c>
      <c r="W29" s="1567">
        <f>J29</f>
        <v>100</v>
      </c>
      <c r="X29" s="1568"/>
      <c r="Y29" s="3497"/>
      <c r="Z29" s="1147" t="str">
        <f>Q29</f>
        <v>公共配套设施</v>
      </c>
      <c r="AA29" s="1574">
        <f>D29/F29</f>
        <v>1</v>
      </c>
      <c r="AB29" s="1574">
        <f>D29/H29</f>
        <v>1</v>
      </c>
      <c r="AC29" s="1574">
        <f>D29/J29</f>
        <v>1</v>
      </c>
    </row>
    <row r="30" spans="1:29" s="1217" customFormat="1" ht="20.25">
      <c r="A30" s="574"/>
      <c r="B30" s="563"/>
      <c r="C30" s="576"/>
      <c r="D30" s="554"/>
      <c r="E30" s="573"/>
      <c r="F30" s="552"/>
      <c r="G30" s="551"/>
      <c r="H30" s="552"/>
      <c r="I30" s="573"/>
      <c r="J30" s="552"/>
      <c r="K30" s="528"/>
      <c r="L30" s="2134"/>
      <c r="M30" s="2131"/>
      <c r="N30" s="2131"/>
      <c r="O30" s="2136"/>
      <c r="P30" s="3497"/>
      <c r="Q30" s="1148"/>
      <c r="R30" s="1566"/>
      <c r="S30" s="1567"/>
      <c r="T30" s="1566"/>
      <c r="U30" s="1567"/>
      <c r="V30" s="1566"/>
      <c r="W30" s="1567"/>
      <c r="X30" s="1568"/>
      <c r="Y30" s="3497"/>
      <c r="Z30" s="1147"/>
      <c r="AA30" s="1574">
        <v>1</v>
      </c>
      <c r="AB30" s="1574">
        <v>1</v>
      </c>
      <c r="AC30" s="1574">
        <v>1</v>
      </c>
    </row>
    <row r="31" spans="1:29" s="1217" customFormat="1" ht="28.5">
      <c r="A31" s="574"/>
      <c r="B31" s="2590" t="s">
        <v>2552</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34"/>
      <c r="M31" s="2131"/>
      <c r="N31" s="2131"/>
      <c r="O31" s="2136"/>
      <c r="P31" s="3497"/>
      <c r="Q31" s="2577" t="str">
        <f t="shared" ref="Q31" si="9">B31</f>
        <v>基础设施水平</v>
      </c>
      <c r="R31" s="1566" t="s">
        <v>8</v>
      </c>
      <c r="S31" s="1567">
        <f>F31</f>
        <v>100</v>
      </c>
      <c r="T31" s="1566" t="s">
        <v>8</v>
      </c>
      <c r="U31" s="1567">
        <f>H31</f>
        <v>100</v>
      </c>
      <c r="V31" s="1566" t="s">
        <v>8</v>
      </c>
      <c r="W31" s="1567">
        <f>J31</f>
        <v>100</v>
      </c>
      <c r="X31" s="1568"/>
      <c r="Y31" s="3497"/>
      <c r="Z31" s="2574" t="str">
        <f>Q31</f>
        <v>基础设施水平</v>
      </c>
      <c r="AA31" s="1574">
        <f>D31/F31</f>
        <v>1</v>
      </c>
      <c r="AB31" s="1574">
        <f>D31/H31</f>
        <v>1</v>
      </c>
      <c r="AC31" s="1574">
        <f>D31/J31</f>
        <v>1</v>
      </c>
    </row>
    <row r="32" spans="1:29" s="1217" customFormat="1" ht="20.25">
      <c r="A32" s="574"/>
      <c r="B32" s="563"/>
      <c r="C32" s="576"/>
      <c r="D32" s="554"/>
      <c r="E32" s="2591"/>
      <c r="F32" s="552"/>
      <c r="G32" s="576"/>
      <c r="H32" s="552"/>
      <c r="I32" s="576"/>
      <c r="J32" s="552"/>
      <c r="K32" s="528"/>
      <c r="L32" s="2134"/>
      <c r="M32" s="2131"/>
      <c r="N32" s="2131"/>
      <c r="O32" s="2136"/>
      <c r="P32" s="3497"/>
      <c r="Q32" s="2577"/>
      <c r="R32" s="1566"/>
      <c r="S32" s="1567"/>
      <c r="T32" s="1566"/>
      <c r="U32" s="1567"/>
      <c r="V32" s="1566"/>
      <c r="W32" s="1567"/>
      <c r="X32" s="1568"/>
      <c r="Y32" s="3497"/>
      <c r="Z32" s="2574"/>
      <c r="AA32" s="1574">
        <v>1</v>
      </c>
      <c r="AB32" s="1574">
        <v>1</v>
      </c>
      <c r="AC32" s="1574">
        <v>1</v>
      </c>
    </row>
    <row r="33" spans="1:29" ht="20.25">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41"/>
      <c r="M33" s="2131"/>
      <c r="N33" s="2131"/>
      <c r="O33" s="2140"/>
      <c r="P33" s="3497"/>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97"/>
      <c r="Z33" s="1573" t="str">
        <f t="shared" ref="Z33:Z47" si="13">Q33</f>
        <v>临街状况</v>
      </c>
      <c r="AA33" s="1574">
        <f t="shared" si="3"/>
        <v>1</v>
      </c>
      <c r="AB33" s="1574">
        <f t="shared" si="4"/>
        <v>1</v>
      </c>
      <c r="AC33" s="1574">
        <f t="shared" si="5"/>
        <v>1</v>
      </c>
    </row>
    <row r="34" spans="1:29" ht="27">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41"/>
      <c r="M34" s="2131"/>
      <c r="N34" s="2131"/>
      <c r="O34" s="2140"/>
      <c r="P34" s="3497"/>
      <c r="Q34" s="1570" t="str">
        <f t="shared" si="8"/>
        <v>毗邻道路的类型与等级</v>
      </c>
      <c r="R34" s="1571" t="s">
        <v>8</v>
      </c>
      <c r="S34" s="1572">
        <f t="shared" si="10"/>
        <v>100</v>
      </c>
      <c r="T34" s="1571" t="s">
        <v>8</v>
      </c>
      <c r="U34" s="1572">
        <f t="shared" si="11"/>
        <v>100</v>
      </c>
      <c r="V34" s="1571" t="s">
        <v>8</v>
      </c>
      <c r="W34" s="1572">
        <f t="shared" si="12"/>
        <v>100</v>
      </c>
      <c r="X34" s="1565"/>
      <c r="Y34" s="3497"/>
      <c r="Z34" s="1573" t="str">
        <f t="shared" si="13"/>
        <v>毗邻道路的类型与等级</v>
      </c>
      <c r="AA34" s="1574">
        <f t="shared" si="3"/>
        <v>1</v>
      </c>
      <c r="AB34" s="1574">
        <f t="shared" si="4"/>
        <v>1</v>
      </c>
      <c r="AC34" s="1574">
        <f t="shared" si="5"/>
        <v>1</v>
      </c>
    </row>
    <row r="35" spans="1:29" ht="20.25">
      <c r="A35" s="529"/>
      <c r="B35" s="563"/>
      <c r="C35" s="551"/>
      <c r="D35" s="554"/>
      <c r="E35" s="573"/>
      <c r="F35" s="552"/>
      <c r="G35" s="551"/>
      <c r="H35" s="552"/>
      <c r="I35" s="573"/>
      <c r="J35" s="552"/>
      <c r="K35" s="578"/>
      <c r="L35" s="2141"/>
      <c r="M35" s="2131"/>
      <c r="N35" s="2131"/>
      <c r="O35" s="2140"/>
      <c r="P35" s="3497"/>
      <c r="Q35" s="1570"/>
      <c r="R35" s="1571"/>
      <c r="S35" s="1572"/>
      <c r="T35" s="1571"/>
      <c r="U35" s="1572"/>
      <c r="V35" s="1571"/>
      <c r="W35" s="1572"/>
      <c r="X35" s="1565"/>
      <c r="Y35" s="3497"/>
      <c r="Z35" s="1573"/>
      <c r="AA35" s="1574">
        <v>1</v>
      </c>
      <c r="AB35" s="1574">
        <v>1</v>
      </c>
      <c r="AC35" s="1574">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41"/>
      <c r="M36" s="2131"/>
      <c r="N36" s="2131"/>
      <c r="O36" s="2140"/>
      <c r="P36" s="3497"/>
      <c r="Q36" s="1570" t="str">
        <f t="shared" si="8"/>
        <v>土地级别</v>
      </c>
      <c r="R36" s="1571" t="s">
        <v>8</v>
      </c>
      <c r="S36" s="1572">
        <f t="shared" si="10"/>
        <v>100</v>
      </c>
      <c r="T36" s="1571" t="s">
        <v>8</v>
      </c>
      <c r="U36" s="1572">
        <f t="shared" si="11"/>
        <v>100</v>
      </c>
      <c r="V36" s="1571" t="s">
        <v>8</v>
      </c>
      <c r="W36" s="1572">
        <f t="shared" si="12"/>
        <v>100</v>
      </c>
      <c r="X36" s="1565"/>
      <c r="Y36" s="3497"/>
      <c r="Z36" s="1573" t="str">
        <f t="shared" si="13"/>
        <v>土地级别</v>
      </c>
      <c r="AA36" s="1574">
        <f t="shared" si="3"/>
        <v>1</v>
      </c>
      <c r="AB36" s="1574">
        <f t="shared" si="4"/>
        <v>1</v>
      </c>
      <c r="AC36" s="1574">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1"/>
      <c r="M37" s="2131"/>
      <c r="N37" s="2131"/>
      <c r="O37" s="2140"/>
      <c r="P37" s="3497"/>
      <c r="Q37" s="1570">
        <f t="shared" si="8"/>
        <v>111</v>
      </c>
      <c r="R37" s="1571" t="s">
        <v>8</v>
      </c>
      <c r="S37" s="1572">
        <f t="shared" si="10"/>
        <v>100</v>
      </c>
      <c r="T37" s="1571" t="s">
        <v>8</v>
      </c>
      <c r="U37" s="1572">
        <f t="shared" si="11"/>
        <v>100</v>
      </c>
      <c r="V37" s="1571" t="s">
        <v>8</v>
      </c>
      <c r="W37" s="1572">
        <f t="shared" si="12"/>
        <v>100</v>
      </c>
      <c r="X37" s="1565"/>
      <c r="Y37" s="3497"/>
      <c r="Z37" s="1573">
        <f t="shared" si="13"/>
        <v>111</v>
      </c>
      <c r="AA37" s="1574">
        <f t="shared" si="3"/>
        <v>1</v>
      </c>
      <c r="AB37" s="1574">
        <f t="shared" si="4"/>
        <v>1</v>
      </c>
      <c r="AC37" s="1574">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1"/>
      <c r="M38" s="2131"/>
      <c r="N38" s="2131"/>
      <c r="O38" s="2140"/>
      <c r="P38" s="3498" t="s">
        <v>550</v>
      </c>
      <c r="Q38" s="1570">
        <f t="shared" si="8"/>
        <v>111</v>
      </c>
      <c r="R38" s="1571" t="s">
        <v>8</v>
      </c>
      <c r="S38" s="1572">
        <f t="shared" si="10"/>
        <v>100</v>
      </c>
      <c r="T38" s="1571" t="s">
        <v>8</v>
      </c>
      <c r="U38" s="1572">
        <f t="shared" si="11"/>
        <v>100</v>
      </c>
      <c r="V38" s="1571" t="s">
        <v>8</v>
      </c>
      <c r="W38" s="1572">
        <f t="shared" si="12"/>
        <v>100</v>
      </c>
      <c r="X38" s="1565"/>
      <c r="Y38" s="3499" t="s">
        <v>550</v>
      </c>
      <c r="Z38" s="1573">
        <f t="shared" si="13"/>
        <v>111</v>
      </c>
      <c r="AA38" s="1574">
        <f t="shared" si="3"/>
        <v>1</v>
      </c>
      <c r="AB38" s="1574">
        <f t="shared" si="4"/>
        <v>1</v>
      </c>
      <c r="AC38" s="1574">
        <f t="shared" si="5"/>
        <v>1</v>
      </c>
    </row>
    <row r="39" spans="1:29" s="1336"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9"/>
      <c r="M39" s="2131"/>
      <c r="N39" s="2131"/>
      <c r="O39" s="2142"/>
      <c r="P39" s="3499"/>
      <c r="Q39" s="1570">
        <f t="shared" si="8"/>
        <v>111</v>
      </c>
      <c r="R39" s="1575" t="s">
        <v>8</v>
      </c>
      <c r="S39" s="1576">
        <f t="shared" si="10"/>
        <v>100</v>
      </c>
      <c r="T39" s="1575" t="s">
        <v>8</v>
      </c>
      <c r="U39" s="1576">
        <f t="shared" si="11"/>
        <v>100</v>
      </c>
      <c r="V39" s="1575" t="s">
        <v>8</v>
      </c>
      <c r="W39" s="1576">
        <f t="shared" si="12"/>
        <v>100</v>
      </c>
      <c r="X39" s="1577"/>
      <c r="Y39" s="3499"/>
      <c r="Z39" s="1578">
        <f t="shared" si="13"/>
        <v>111</v>
      </c>
      <c r="AA39" s="1574">
        <f t="shared" si="3"/>
        <v>1</v>
      </c>
      <c r="AB39" s="1574">
        <f t="shared" si="4"/>
        <v>1</v>
      </c>
      <c r="AC39" s="1574">
        <f t="shared" si="5"/>
        <v>1</v>
      </c>
    </row>
    <row r="40" spans="1:29" ht="20.25">
      <c r="A40" s="2904" t="s">
        <v>2758</v>
      </c>
      <c r="B40" s="592" t="s">
        <v>552</v>
      </c>
      <c r="C40" s="593"/>
      <c r="D40" s="594">
        <v>100</v>
      </c>
      <c r="E40" s="593"/>
      <c r="F40" s="594" t="e">
        <f>LOOKUP(E40,119:119,120:120)-LOOKUP(C40,119:119,120:120)+100</f>
        <v>#N/A</v>
      </c>
      <c r="G40" s="593"/>
      <c r="H40" s="594" t="e">
        <f>LOOKUP(G40,119:119,120:120)-LOOKUP(C40,119:119,120:120)+100</f>
        <v>#N/A</v>
      </c>
      <c r="I40" s="595"/>
      <c r="J40" s="594" t="e">
        <f>LOOKUP(I40,119:119,120:120)-LOOKUP(C40,119:119,120:120)+100</f>
        <v>#N/A</v>
      </c>
      <c r="K40" s="578"/>
      <c r="L40" s="2141"/>
      <c r="M40" s="2131"/>
      <c r="N40" s="2131"/>
      <c r="O40" s="2140"/>
      <c r="P40" s="3499"/>
      <c r="Q40" s="1570" t="str">
        <f>B40</f>
        <v>宗地面积</v>
      </c>
      <c r="R40" s="1571" t="s">
        <v>8</v>
      </c>
      <c r="S40" s="1572" t="e">
        <f t="shared" si="10"/>
        <v>#N/A</v>
      </c>
      <c r="T40" s="1571" t="s">
        <v>8</v>
      </c>
      <c r="U40" s="1572" t="e">
        <f t="shared" si="11"/>
        <v>#N/A</v>
      </c>
      <c r="V40" s="1571" t="s">
        <v>8</v>
      </c>
      <c r="W40" s="1572" t="e">
        <f t="shared" si="12"/>
        <v>#N/A</v>
      </c>
      <c r="X40" s="1565"/>
      <c r="Y40" s="3499"/>
      <c r="Z40" s="1573" t="str">
        <f t="shared" si="13"/>
        <v>宗地面积</v>
      </c>
      <c r="AA40" s="1574" t="e">
        <f t="shared" si="3"/>
        <v>#N/A</v>
      </c>
      <c r="AB40" s="1574" t="e">
        <f t="shared" si="4"/>
        <v>#N/A</v>
      </c>
      <c r="AC40" s="1574" t="e">
        <f t="shared" si="5"/>
        <v>#N/A</v>
      </c>
    </row>
    <row r="41" spans="1:29" ht="20.25">
      <c r="A41" s="591"/>
      <c r="B41" s="524" t="s">
        <v>553</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41"/>
      <c r="M41" s="2131"/>
      <c r="N41" s="2131"/>
      <c r="O41" s="2140"/>
      <c r="P41" s="3499"/>
      <c r="Q41" s="1570" t="str">
        <f t="shared" ref="Q41:Q47" si="14">B41</f>
        <v>宗地形状</v>
      </c>
      <c r="R41" s="1571" t="s">
        <v>8</v>
      </c>
      <c r="S41" s="1572">
        <f t="shared" si="10"/>
        <v>100</v>
      </c>
      <c r="T41" s="1571" t="s">
        <v>8</v>
      </c>
      <c r="U41" s="1572">
        <f t="shared" si="11"/>
        <v>100</v>
      </c>
      <c r="V41" s="1571" t="s">
        <v>8</v>
      </c>
      <c r="W41" s="1572">
        <f t="shared" si="12"/>
        <v>100</v>
      </c>
      <c r="X41" s="1565"/>
      <c r="Y41" s="3499"/>
      <c r="Z41" s="1573" t="str">
        <f t="shared" si="13"/>
        <v>宗地形状</v>
      </c>
      <c r="AA41" s="1574">
        <f t="shared" si="3"/>
        <v>1</v>
      </c>
      <c r="AB41" s="1574">
        <f t="shared" si="4"/>
        <v>1</v>
      </c>
      <c r="AC41" s="1574">
        <f t="shared" si="5"/>
        <v>1</v>
      </c>
    </row>
    <row r="42" spans="1:29" ht="20.25">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41"/>
      <c r="M42" s="2131"/>
      <c r="N42" s="2131"/>
      <c r="O42" s="2140"/>
      <c r="P42" s="3499"/>
      <c r="Q42" s="1570" t="str">
        <f t="shared" si="14"/>
        <v>临街宽度及深度</v>
      </c>
      <c r="R42" s="1571" t="s">
        <v>8</v>
      </c>
      <c r="S42" s="1572">
        <f t="shared" si="10"/>
        <v>100</v>
      </c>
      <c r="T42" s="1571" t="s">
        <v>8</v>
      </c>
      <c r="U42" s="1572">
        <f t="shared" si="11"/>
        <v>100</v>
      </c>
      <c r="V42" s="1571" t="s">
        <v>8</v>
      </c>
      <c r="W42" s="1572">
        <f t="shared" si="12"/>
        <v>100</v>
      </c>
      <c r="X42" s="1565"/>
      <c r="Y42" s="3499"/>
      <c r="Z42" s="1573" t="str">
        <f t="shared" si="13"/>
        <v>临街宽度及深度</v>
      </c>
      <c r="AA42" s="1574">
        <f t="shared" si="3"/>
        <v>1</v>
      </c>
      <c r="AB42" s="1574">
        <f t="shared" si="4"/>
        <v>1</v>
      </c>
      <c r="AC42" s="1574">
        <f t="shared" si="5"/>
        <v>1</v>
      </c>
    </row>
    <row r="43" spans="1:29" s="1217" customFormat="1" ht="20.25">
      <c r="A43" s="597"/>
      <c r="B43" s="1894" t="s">
        <v>2427</v>
      </c>
      <c r="C43" s="598"/>
      <c r="D43" s="255">
        <v>100</v>
      </c>
      <c r="E43" s="598"/>
      <c r="F43" s="537">
        <f>SUMIF(125:125,E43,126:126)-SUMIF(125:125,C43,126:126)+100</f>
        <v>100</v>
      </c>
      <c r="G43" s="598"/>
      <c r="H43" s="537">
        <f>SUMIF(125:125,G43,126:126)-SUMIF(125:125,C43,126:126)+100</f>
        <v>100</v>
      </c>
      <c r="I43" s="598"/>
      <c r="J43" s="537">
        <f>SUMIF(125:125,I43,126:126)-SUMIF(125:125,C43,126:126)+100</f>
        <v>100</v>
      </c>
      <c r="K43" s="581"/>
      <c r="L43" s="2134"/>
      <c r="M43" s="2131"/>
      <c r="N43" s="2131"/>
      <c r="O43" s="2136"/>
      <c r="P43" s="3499"/>
      <c r="Q43" s="1570" t="str">
        <f t="shared" si="14"/>
        <v>宗地开发程度</v>
      </c>
      <c r="R43" s="1566" t="s">
        <v>8</v>
      </c>
      <c r="S43" s="1567">
        <f t="shared" si="10"/>
        <v>100</v>
      </c>
      <c r="T43" s="1566" t="s">
        <v>8</v>
      </c>
      <c r="U43" s="1567">
        <f t="shared" si="11"/>
        <v>100</v>
      </c>
      <c r="V43" s="1566" t="s">
        <v>8</v>
      </c>
      <c r="W43" s="1567">
        <f t="shared" si="12"/>
        <v>100</v>
      </c>
      <c r="X43" s="1568"/>
      <c r="Y43" s="3499"/>
      <c r="Z43" s="1147" t="str">
        <f t="shared" si="13"/>
        <v>宗地开发程度</v>
      </c>
      <c r="AA43" s="1569">
        <f t="shared" si="3"/>
        <v>1</v>
      </c>
      <c r="AB43" s="1569">
        <f t="shared" si="4"/>
        <v>1</v>
      </c>
      <c r="AC43" s="1569">
        <f t="shared" si="5"/>
        <v>1</v>
      </c>
    </row>
    <row r="44" spans="1:29" ht="20.25">
      <c r="A44" s="591"/>
      <c r="B44" s="524" t="s">
        <v>555</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41"/>
      <c r="M44" s="2131"/>
      <c r="N44" s="2131"/>
      <c r="O44" s="2140"/>
      <c r="P44" s="3499" t="s">
        <v>550</v>
      </c>
      <c r="Q44" s="1570" t="str">
        <f t="shared" si="14"/>
        <v>工程地质条件</v>
      </c>
      <c r="R44" s="1571" t="s">
        <v>8</v>
      </c>
      <c r="S44" s="1572">
        <f t="shared" si="10"/>
        <v>100</v>
      </c>
      <c r="T44" s="1571" t="s">
        <v>8</v>
      </c>
      <c r="U44" s="1572">
        <f t="shared" si="11"/>
        <v>100</v>
      </c>
      <c r="V44" s="1571" t="s">
        <v>8</v>
      </c>
      <c r="W44" s="1572">
        <f t="shared" si="12"/>
        <v>100</v>
      </c>
      <c r="X44" s="1565"/>
      <c r="Y44" s="3499" t="s">
        <v>550</v>
      </c>
      <c r="Z44" s="1573" t="str">
        <f t="shared" si="13"/>
        <v>工程地质条件</v>
      </c>
      <c r="AA44" s="1574">
        <f t="shared" si="3"/>
        <v>1</v>
      </c>
      <c r="AB44" s="1574">
        <f t="shared" si="4"/>
        <v>1</v>
      </c>
      <c r="AC44" s="1574">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1"/>
      <c r="M45" s="2131"/>
      <c r="N45" s="2131"/>
      <c r="O45" s="2140"/>
      <c r="P45" s="3499"/>
      <c r="Q45" s="1570">
        <f t="shared" si="14"/>
        <v>111</v>
      </c>
      <c r="R45" s="1571" t="s">
        <v>8</v>
      </c>
      <c r="S45" s="1572">
        <f t="shared" si="10"/>
        <v>100</v>
      </c>
      <c r="T45" s="1571" t="s">
        <v>8</v>
      </c>
      <c r="U45" s="1572">
        <f t="shared" si="11"/>
        <v>100</v>
      </c>
      <c r="V45" s="1571" t="s">
        <v>8</v>
      </c>
      <c r="W45" s="1572">
        <f t="shared" si="12"/>
        <v>100</v>
      </c>
      <c r="X45" s="1565"/>
      <c r="Y45" s="3499"/>
      <c r="Z45" s="1573">
        <f t="shared" si="13"/>
        <v>111</v>
      </c>
      <c r="AA45" s="1574">
        <f t="shared" si="3"/>
        <v>1</v>
      </c>
      <c r="AB45" s="1574">
        <f t="shared" si="4"/>
        <v>1</v>
      </c>
      <c r="AC45" s="1574">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1"/>
      <c r="M46" s="2131"/>
      <c r="N46" s="2131"/>
      <c r="O46" s="2140"/>
      <c r="P46" s="3499"/>
      <c r="Q46" s="1570">
        <f t="shared" si="14"/>
        <v>111</v>
      </c>
      <c r="R46" s="1571" t="s">
        <v>8</v>
      </c>
      <c r="S46" s="1572">
        <f t="shared" si="10"/>
        <v>100</v>
      </c>
      <c r="T46" s="1571" t="s">
        <v>8</v>
      </c>
      <c r="U46" s="1572">
        <f t="shared" si="11"/>
        <v>100</v>
      </c>
      <c r="V46" s="1571" t="s">
        <v>8</v>
      </c>
      <c r="W46" s="1572">
        <f t="shared" si="12"/>
        <v>100</v>
      </c>
      <c r="X46" s="1565"/>
      <c r="Y46" s="3499"/>
      <c r="Z46" s="1573">
        <f t="shared" si="13"/>
        <v>111</v>
      </c>
      <c r="AA46" s="1574">
        <f t="shared" si="3"/>
        <v>1</v>
      </c>
      <c r="AB46" s="1574">
        <f t="shared" si="4"/>
        <v>1</v>
      </c>
      <c r="AC46" s="1574">
        <f t="shared" si="5"/>
        <v>1</v>
      </c>
    </row>
    <row r="47" spans="1:29" s="1336"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9"/>
      <c r="M47" s="2131"/>
      <c r="N47" s="2131"/>
      <c r="O47" s="2142"/>
      <c r="P47" s="3499"/>
      <c r="Q47" s="1570">
        <f t="shared" si="14"/>
        <v>111</v>
      </c>
      <c r="R47" s="1575" t="s">
        <v>8</v>
      </c>
      <c r="S47" s="1576">
        <f t="shared" si="10"/>
        <v>100</v>
      </c>
      <c r="T47" s="1575" t="s">
        <v>8</v>
      </c>
      <c r="U47" s="1576">
        <f t="shared" si="11"/>
        <v>100</v>
      </c>
      <c r="V47" s="1575" t="s">
        <v>8</v>
      </c>
      <c r="W47" s="1576">
        <f t="shared" si="12"/>
        <v>100</v>
      </c>
      <c r="X47" s="1577"/>
      <c r="Y47" s="3499"/>
      <c r="Z47" s="1578">
        <f t="shared" si="13"/>
        <v>111</v>
      </c>
      <c r="AA47" s="1574">
        <f t="shared" si="3"/>
        <v>1</v>
      </c>
      <c r="AB47" s="1574">
        <f t="shared" si="4"/>
        <v>1</v>
      </c>
      <c r="AC47" s="1574">
        <f t="shared" si="5"/>
        <v>1</v>
      </c>
    </row>
    <row r="48" spans="1:29" ht="20.25">
      <c r="A48" s="604" t="s">
        <v>556</v>
      </c>
      <c r="B48" s="605" t="s">
        <v>2938</v>
      </c>
      <c r="C48" s="606" t="s">
        <v>1</v>
      </c>
      <c r="D48" s="607"/>
      <c r="E48" s="608"/>
      <c r="F48" s="609"/>
      <c r="G48" s="610"/>
      <c r="H48" s="611"/>
      <c r="I48" s="608"/>
      <c r="J48" s="611"/>
      <c r="K48" s="1337"/>
      <c r="L48" s="2143"/>
      <c r="M48" s="2131"/>
      <c r="N48" s="2131"/>
      <c r="O48" s="2144"/>
      <c r="P48" s="3462" t="str">
        <f>A48</f>
        <v>成交单价</v>
      </c>
      <c r="Q48" s="3462"/>
      <c r="R48" s="3463">
        <f>E48</f>
        <v>0</v>
      </c>
      <c r="S48" s="3463"/>
      <c r="T48" s="3463">
        <f>G48</f>
        <v>0</v>
      </c>
      <c r="U48" s="3463"/>
      <c r="V48" s="3463">
        <f>I48</f>
        <v>0</v>
      </c>
      <c r="W48" s="3463"/>
      <c r="X48" s="1557"/>
      <c r="Y48" s="1579"/>
      <c r="Z48" s="1557"/>
      <c r="AA48" s="1557"/>
      <c r="AB48" s="1557"/>
      <c r="AC48" s="1557"/>
    </row>
    <row r="49" spans="1:29" ht="21" thickBot="1">
      <c r="A49" s="612" t="s">
        <v>2696</v>
      </c>
      <c r="B49" s="613"/>
      <c r="C49" s="614" t="e">
        <f>R50</f>
        <v>#DIV/0!</v>
      </c>
      <c r="D49" s="615"/>
      <c r="E49" s="614" t="e">
        <f>R49</f>
        <v>#DIV/0!</v>
      </c>
      <c r="F49" s="616"/>
      <c r="G49" s="617" t="e">
        <f>T49</f>
        <v>#DIV/0!</v>
      </c>
      <c r="H49" s="615"/>
      <c r="I49" s="614" t="e">
        <f>V49</f>
        <v>#DIV/0!</v>
      </c>
      <c r="J49" s="615"/>
      <c r="K49" s="1338"/>
      <c r="L49" s="2143"/>
      <c r="M49" s="2131"/>
      <c r="N49" s="2131"/>
      <c r="O49" s="2144"/>
      <c r="P49" s="3462" t="str">
        <f>A49</f>
        <v>比较价格（元/平方米）</v>
      </c>
      <c r="Q49" s="3462"/>
      <c r="R49" s="3464" t="e">
        <f>ROUND(PRODUCT(R48,AA9:AA47),0)</f>
        <v>#DIV/0!</v>
      </c>
      <c r="S49" s="3464"/>
      <c r="T49" s="3464" t="e">
        <f>ROUND(PRODUCT(T48,AB9:AB47),0)</f>
        <v>#DIV/0!</v>
      </c>
      <c r="U49" s="3464"/>
      <c r="V49" s="3464" t="e">
        <f>ROUND(PRODUCT(V48,AC9:AC47),0)</f>
        <v>#DIV/0!</v>
      </c>
      <c r="W49" s="3464"/>
      <c r="X49" s="1557"/>
      <c r="Y49" s="1557"/>
      <c r="Z49" s="1557"/>
      <c r="AA49" s="1557"/>
      <c r="AB49" s="1557"/>
      <c r="AC49" s="1557"/>
    </row>
    <row r="50" spans="1:29" ht="21" thickBot="1">
      <c r="A50" s="618" t="s">
        <v>2939</v>
      </c>
      <c r="B50" s="619"/>
      <c r="C50" s="620" t="e">
        <f>R50</f>
        <v>#DIV/0!</v>
      </c>
      <c r="D50" s="620"/>
      <c r="E50" s="620"/>
      <c r="F50" s="620"/>
      <c r="G50" s="620"/>
      <c r="H50" s="620"/>
      <c r="I50" s="620"/>
      <c r="J50" s="620"/>
      <c r="K50" s="1339"/>
      <c r="L50" s="2143"/>
      <c r="M50" s="2131"/>
      <c r="N50" s="2131"/>
      <c r="O50" s="2144"/>
      <c r="P50" s="3459" t="str">
        <f>A50</f>
        <v>估价对象XX用房的比较价格（楼面单价，元/平方米）</v>
      </c>
      <c r="Q50" s="3460"/>
      <c r="R50" s="3461" t="e">
        <f>ROUND(AVERAGE(R49:V49),0)</f>
        <v>#DIV/0!</v>
      </c>
      <c r="S50" s="3461"/>
      <c r="T50" s="3461"/>
      <c r="U50" s="3461"/>
      <c r="V50" s="3461"/>
      <c r="W50" s="3461"/>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2" customFormat="1" ht="13.5" customHeight="1">
      <c r="A55" s="2145"/>
      <c r="B55" s="2145"/>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2"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6" t="s">
        <v>560</v>
      </c>
      <c r="B57" s="627" t="s">
        <v>561</v>
      </c>
      <c r="C57" s="1558" t="s">
        <v>1725</v>
      </c>
      <c r="D57" s="2226" t="s">
        <v>2296</v>
      </c>
      <c r="E57" s="628" t="s">
        <v>562</v>
      </c>
      <c r="F57" s="629" t="s">
        <v>563</v>
      </c>
      <c r="G57" s="3488" t="s">
        <v>2284</v>
      </c>
      <c r="H57" s="3489"/>
      <c r="I57" s="1553" t="s">
        <v>1723</v>
      </c>
      <c r="J57" s="1553">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3" customFormat="1" ht="12.75">
      <c r="A58" s="630" t="s">
        <v>564</v>
      </c>
      <c r="B58" s="631" t="e">
        <f>C50</f>
        <v>#DIV/0!</v>
      </c>
      <c r="C58" s="632">
        <v>1</v>
      </c>
      <c r="D58" s="2227">
        <v>1</v>
      </c>
      <c r="E58" s="632">
        <f>'数据-汇总表'!E8+'数据-汇总表'!E9</f>
        <v>100595</v>
      </c>
      <c r="F58" s="633" t="e">
        <f t="shared" ref="F58:F67" si="15">ROUND(B58*E58/10000,0)</f>
        <v>#DIV/0!</v>
      </c>
      <c r="G58" s="3490"/>
      <c r="H58" s="3491"/>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4" t="s">
        <v>565</v>
      </c>
      <c r="B59" s="635" t="e">
        <f>ROUND($C$50*C59*D59,0)</f>
        <v>#DIV/0!</v>
      </c>
      <c r="C59" s="375">
        <f t="shared" ref="C59:C67" si="16">IF($C$57="北京市系数",I59,J59)</f>
        <v>0.6</v>
      </c>
      <c r="D59" s="2228">
        <v>0.25</v>
      </c>
      <c r="E59" s="636">
        <v>0</v>
      </c>
      <c r="F59" s="633" t="e">
        <f t="shared" si="15"/>
        <v>#DIV/0!</v>
      </c>
      <c r="G59" s="3492" t="s">
        <v>2285</v>
      </c>
      <c r="H59" s="1947" t="str">
        <f>项目基本情况!B43</f>
        <v>八级</v>
      </c>
      <c r="I59" s="1554">
        <f>SUMIF(修正!$A$45:$A$56,H59,修正!B45:B56)</f>
        <v>0.6</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4" t="s">
        <v>566</v>
      </c>
      <c r="B60" s="635" t="e">
        <f t="shared" ref="B60:B67" si="17">ROUND($C$50*C60*D60,0)</f>
        <v>#DIV/0!</v>
      </c>
      <c r="C60" s="375">
        <f t="shared" si="16"/>
        <v>0.3</v>
      </c>
      <c r="D60" s="2228">
        <v>0.25</v>
      </c>
      <c r="E60" s="636">
        <v>0</v>
      </c>
      <c r="F60" s="633" t="e">
        <f t="shared" si="15"/>
        <v>#DIV/0!</v>
      </c>
      <c r="G60" s="3492"/>
      <c r="H60" s="1947" t="str">
        <f>项目基本情况!B43</f>
        <v>八级</v>
      </c>
      <c r="I60" s="1554">
        <f>SUMIF(修正!$A$45:$A$56,H60,修正!C45:C56)</f>
        <v>0.3</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4" t="s">
        <v>567</v>
      </c>
      <c r="B61" s="635" t="e">
        <f t="shared" si="17"/>
        <v>#DIV/0!</v>
      </c>
      <c r="C61" s="375">
        <f t="shared" si="16"/>
        <v>0.2</v>
      </c>
      <c r="D61" s="2228">
        <v>0.25</v>
      </c>
      <c r="E61" s="636">
        <v>0</v>
      </c>
      <c r="F61" s="633" t="e">
        <f t="shared" si="15"/>
        <v>#DIV/0!</v>
      </c>
      <c r="G61" s="3492"/>
      <c r="H61" s="1947" t="str">
        <f>项目基本情况!B43</f>
        <v>八级</v>
      </c>
      <c r="I61" s="1554">
        <f>SUMIF(修正!$A$45:$A$56,H61,修正!D45:D56)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2.75">
      <c r="A62" s="634" t="s">
        <v>568</v>
      </c>
      <c r="B62" s="635" t="e">
        <f t="shared" si="17"/>
        <v>#DIV/0!</v>
      </c>
      <c r="C62" s="375">
        <f t="shared" si="16"/>
        <v>0.2</v>
      </c>
      <c r="D62" s="2228">
        <v>0.25</v>
      </c>
      <c r="E62" s="636">
        <v>0</v>
      </c>
      <c r="F62" s="633" t="e">
        <f t="shared" si="15"/>
        <v>#DIV/0!</v>
      </c>
      <c r="G62" s="3492"/>
      <c r="H62" s="1947" t="str">
        <f>项目基本情况!B43</f>
        <v>八级</v>
      </c>
      <c r="I62" s="1554">
        <f>SUMIF(修正!$A$45:$A$56,H62,修正!E45:E56)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2.75">
      <c r="A63" s="2330" t="s">
        <v>2331</v>
      </c>
      <c r="B63" s="635" t="e">
        <f t="shared" si="17"/>
        <v>#DIV/0!</v>
      </c>
      <c r="C63" s="375">
        <f t="shared" si="16"/>
        <v>0.2</v>
      </c>
      <c r="D63" s="2228">
        <v>0.25</v>
      </c>
      <c r="E63" s="638">
        <f>'数据-汇总表'!E11</f>
        <v>0</v>
      </c>
      <c r="F63" s="633" t="e">
        <f t="shared" si="15"/>
        <v>#DIV/0!</v>
      </c>
      <c r="G63" s="1944" t="s">
        <v>2286</v>
      </c>
      <c r="H63" s="1947" t="str">
        <f>项目基本情况!C43</f>
        <v>八级</v>
      </c>
      <c r="I63" s="1554">
        <f>SUMIF(修正!$A$45:$A$56,H63,修正!F45:F56)</f>
        <v>0.2</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3" customFormat="1" ht="12.75">
      <c r="A64" s="634" t="s">
        <v>569</v>
      </c>
      <c r="B64" s="635" t="e">
        <f t="shared" si="17"/>
        <v>#DIV/0!</v>
      </c>
      <c r="C64" s="375">
        <f t="shared" si="16"/>
        <v>0.2</v>
      </c>
      <c r="D64" s="2228">
        <v>0.25</v>
      </c>
      <c r="E64" s="638">
        <f>'数据-汇总表'!E12</f>
        <v>0</v>
      </c>
      <c r="F64" s="633" t="e">
        <f t="shared" si="15"/>
        <v>#DIV/0!</v>
      </c>
      <c r="G64" s="1945" t="s">
        <v>1678</v>
      </c>
      <c r="H64" s="1943" t="str">
        <f>IF(G64="商业",项目基本情况!B43,IF(G64="办公",项目基本情况!C43,IF(G64="住宅",项目基本情况!D43,项目基本情况!E43)))</f>
        <v>八级</v>
      </c>
      <c r="I64" s="1554">
        <f>SUMIF(修正!$A$45:$A$56,H64,修正!G45:G56)</f>
        <v>0.2</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3" customFormat="1" ht="12.75">
      <c r="A65" s="634" t="s">
        <v>570</v>
      </c>
      <c r="B65" s="635" t="e">
        <f t="shared" si="17"/>
        <v>#DIV/0!</v>
      </c>
      <c r="C65" s="375">
        <f t="shared" si="16"/>
        <v>0.15</v>
      </c>
      <c r="D65" s="2228">
        <v>0.25</v>
      </c>
      <c r="E65" s="638">
        <f>'数据-汇总表'!E13</f>
        <v>0</v>
      </c>
      <c r="F65" s="633" t="e">
        <f t="shared" si="15"/>
        <v>#DIV/0!</v>
      </c>
      <c r="G65" s="1945" t="s">
        <v>923</v>
      </c>
      <c r="H65" s="1943" t="str">
        <f>IF(G65="商业",项目基本情况!B43,IF(G65="办公",项目基本情况!C43,IF(G65="住宅",项目基本情况!D43,项目基本情况!E43)))</f>
        <v>八级</v>
      </c>
      <c r="I65" s="1554">
        <f>SUMIF(修正!$A$45:$A$56,H65,修正!H45:H56)</f>
        <v>0.15</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3" customFormat="1" ht="12.75">
      <c r="A66" s="634" t="s">
        <v>571</v>
      </c>
      <c r="B66" s="635" t="e">
        <f t="shared" si="17"/>
        <v>#DIV/0!</v>
      </c>
      <c r="C66" s="375">
        <f t="shared" si="16"/>
        <v>0.15</v>
      </c>
      <c r="D66" s="2228">
        <v>0.25</v>
      </c>
      <c r="E66" s="638">
        <f>'数据-汇总表'!E14</f>
        <v>0</v>
      </c>
      <c r="F66" s="633" t="e">
        <f t="shared" si="15"/>
        <v>#DIV/0!</v>
      </c>
      <c r="G66" s="1944" t="s">
        <v>2285</v>
      </c>
      <c r="H66" s="1947" t="str">
        <f>项目基本情况!B43</f>
        <v>八级</v>
      </c>
      <c r="I66" s="1554">
        <f>SUMIF(修正!$A$45:$A$56,H66,修正!H45:H56)</f>
        <v>0.15</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3" customFormat="1" ht="13.5" thickBot="1">
      <c r="A67" s="634" t="s">
        <v>572</v>
      </c>
      <c r="B67" s="635" t="e">
        <f t="shared" si="17"/>
        <v>#DIV/0!</v>
      </c>
      <c r="C67" s="375">
        <f t="shared" si="16"/>
        <v>0.15</v>
      </c>
      <c r="D67" s="2228">
        <v>0.25</v>
      </c>
      <c r="E67" s="638">
        <f>'数据-汇总表'!E15</f>
        <v>0</v>
      </c>
      <c r="F67" s="633" t="e">
        <f t="shared" si="15"/>
        <v>#DIV/0!</v>
      </c>
      <c r="G67" s="1946" t="s">
        <v>2286</v>
      </c>
      <c r="H67" s="1948" t="str">
        <f>项目基本情况!C43</f>
        <v>八级</v>
      </c>
      <c r="I67" s="1554">
        <f>SUMIF(修正!$A$45:$A$56,H67,修正!H45:H56)</f>
        <v>0.15</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3" customFormat="1" ht="13.5" thickBot="1">
      <c r="A68" s="639" t="s">
        <v>573</v>
      </c>
      <c r="B68" s="640" t="s">
        <v>17</v>
      </c>
      <c r="C68" s="640" t="s">
        <v>18</v>
      </c>
      <c r="D68" s="640" t="s">
        <v>2297</v>
      </c>
      <c r="E68" s="640">
        <f>IF(B48="楼面地价",SUM(E58:E67),'数据-汇总表'!D3)</f>
        <v>45889.5</v>
      </c>
      <c r="F68" s="641"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6" t="str">
        <f>YEAR(C9)&amp;"-"&amp;MONTH(C9)&amp;"-1"</f>
        <v>2019-7-1</v>
      </c>
      <c r="D70" s="2796">
        <f>EDATE(C70,-3)</f>
        <v>43556</v>
      </c>
      <c r="E70" s="2796">
        <f t="shared" ref="E70:N70" si="18">EDATE(D70,-3)</f>
        <v>43466</v>
      </c>
      <c r="F70" s="2796">
        <f t="shared" si="18"/>
        <v>43374</v>
      </c>
      <c r="G70" s="2796">
        <f t="shared" si="18"/>
        <v>43282</v>
      </c>
      <c r="H70" s="2796">
        <f t="shared" si="18"/>
        <v>43191</v>
      </c>
      <c r="I70" s="2796">
        <f t="shared" si="18"/>
        <v>43101</v>
      </c>
      <c r="J70" s="2796">
        <f t="shared" si="18"/>
        <v>43009</v>
      </c>
      <c r="K70" s="2796">
        <f t="shared" si="18"/>
        <v>42917</v>
      </c>
      <c r="L70" s="2796">
        <f t="shared" si="18"/>
        <v>42826</v>
      </c>
      <c r="M70" s="2796">
        <f t="shared" si="18"/>
        <v>42736</v>
      </c>
      <c r="N70" s="2796">
        <f t="shared" si="18"/>
        <v>42644</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4" customFormat="1" ht="15">
      <c r="A72" s="2567" t="s">
        <v>2535</v>
      </c>
      <c r="B72" s="2568"/>
      <c r="C72" s="2792" t="str">
        <f>YEAR(C70)&amp;"-"&amp;ROUNDUP(MONTH(C70)/3,0)</f>
        <v>2019-3</v>
      </c>
      <c r="D72" s="2798" t="str">
        <f>YEAR(D70)&amp;"-"&amp;ROUNDUP(MONTH(D70)/3,0)</f>
        <v>2019-2</v>
      </c>
      <c r="E72" s="2798" t="str">
        <f t="shared" ref="E72:N72" si="19">YEAR(E70)&amp;"-"&amp;ROUNDUP(MONTH(E70)/3,0)</f>
        <v>2019-1</v>
      </c>
      <c r="F72" s="2798" t="str">
        <f t="shared" si="19"/>
        <v>2018-4</v>
      </c>
      <c r="G72" s="2798" t="str">
        <f t="shared" si="19"/>
        <v>2018-3</v>
      </c>
      <c r="H72" s="2798" t="str">
        <f t="shared" si="19"/>
        <v>2018-2</v>
      </c>
      <c r="I72" s="2798" t="str">
        <f t="shared" si="19"/>
        <v>2018-1</v>
      </c>
      <c r="J72" s="2798" t="str">
        <f t="shared" si="19"/>
        <v>2017-4</v>
      </c>
      <c r="K72" s="2798" t="str">
        <f t="shared" si="19"/>
        <v>2017-3</v>
      </c>
      <c r="L72" s="2798" t="str">
        <f t="shared" si="19"/>
        <v>2017-2</v>
      </c>
      <c r="M72" s="2798" t="str">
        <f t="shared" si="19"/>
        <v>2017-1</v>
      </c>
      <c r="N72" s="2798" t="str">
        <f t="shared" si="19"/>
        <v>2016-4</v>
      </c>
      <c r="O72" s="2158"/>
      <c r="P72" s="2159"/>
      <c r="Q72" s="2160"/>
      <c r="R72" s="2160"/>
      <c r="S72" s="2160"/>
      <c r="T72" s="2160"/>
      <c r="U72" s="2160"/>
      <c r="V72" s="2160"/>
      <c r="W72" s="2160"/>
      <c r="X72" s="2160"/>
      <c r="Y72" s="2160"/>
      <c r="Z72" s="2160"/>
      <c r="AA72" s="2160"/>
      <c r="AB72" s="2160"/>
      <c r="AC72" s="2160"/>
    </row>
    <row r="73" spans="1:29" s="1217" customFormat="1" ht="27" customHeight="1">
      <c r="A73" s="2803" t="s">
        <v>2650</v>
      </c>
      <c r="B73" s="476" t="str">
        <f>"北京市平均增长率"&amp;TEXT(SUMIF(基准地价!N21:N25,A73,基准地价!P21:P25),"0.00%")</f>
        <v>北京市平均增长率2.04%</v>
      </c>
      <c r="C73" s="891">
        <v>100</v>
      </c>
      <c r="D73" s="727"/>
      <c r="E73" s="727"/>
      <c r="F73" s="727"/>
      <c r="G73" s="727"/>
      <c r="H73" s="727"/>
      <c r="I73" s="727"/>
      <c r="J73" s="727"/>
      <c r="K73" s="727"/>
      <c r="L73" s="727"/>
      <c r="M73" s="2790"/>
      <c r="N73" s="2791"/>
      <c r="O73" s="2161"/>
      <c r="P73" s="2157"/>
      <c r="Q73" s="1992"/>
      <c r="R73" s="1992"/>
      <c r="S73" s="1992"/>
      <c r="T73" s="1992"/>
      <c r="U73" s="1992"/>
      <c r="V73" s="1992"/>
      <c r="W73" s="1992"/>
      <c r="X73" s="1992"/>
      <c r="Y73" s="1992"/>
      <c r="Z73" s="1992"/>
      <c r="AA73" s="1992"/>
      <c r="AB73" s="1992"/>
      <c r="AC73" s="1992"/>
    </row>
    <row r="74" spans="1:29" s="1217" customFormat="1" ht="15" customHeight="1" thickBot="1">
      <c r="A74" s="2793" t="s">
        <v>2649</v>
      </c>
      <c r="B74" s="2802"/>
      <c r="C74" s="2788"/>
      <c r="D74" s="2789"/>
      <c r="E74" s="2789"/>
      <c r="F74" s="2789"/>
      <c r="G74" s="2789"/>
      <c r="H74" s="2789"/>
      <c r="I74" s="2789"/>
      <c r="J74" s="2789"/>
      <c r="K74" s="2789"/>
      <c r="L74" s="2789"/>
      <c r="M74" s="2789"/>
      <c r="N74" s="2789"/>
      <c r="O74" s="2161"/>
      <c r="P74" s="2157"/>
      <c r="Q74" s="2157"/>
      <c r="R74" s="1992"/>
      <c r="S74" s="1992"/>
      <c r="T74" s="1992"/>
      <c r="U74" s="1992"/>
      <c r="V74" s="1992"/>
      <c r="W74" s="1992"/>
      <c r="X74" s="1992"/>
      <c r="Y74" s="1992"/>
      <c r="Z74" s="1992"/>
      <c r="AA74" s="1992"/>
      <c r="AB74" s="1992"/>
      <c r="AC74" s="1992"/>
    </row>
    <row r="75" spans="1:29" s="1217" customFormat="1" ht="15">
      <c r="A75" s="656" t="s">
        <v>531</v>
      </c>
      <c r="B75" s="645"/>
      <c r="C75" s="657" t="s">
        <v>576</v>
      </c>
      <c r="D75" s="658"/>
      <c r="E75" s="658"/>
      <c r="F75" s="658"/>
      <c r="G75" s="658"/>
      <c r="H75" s="658"/>
      <c r="I75" s="658"/>
      <c r="J75" s="658"/>
      <c r="K75" s="658"/>
      <c r="L75" s="659"/>
      <c r="M75" s="660"/>
      <c r="N75" s="2161"/>
      <c r="O75" s="2161"/>
      <c r="P75" s="2162"/>
      <c r="Q75" s="2157"/>
      <c r="R75" s="1992"/>
      <c r="S75" s="1992"/>
      <c r="T75" s="1992"/>
      <c r="U75" s="1992"/>
      <c r="V75" s="1992"/>
      <c r="W75" s="1992"/>
      <c r="X75" s="1992"/>
      <c r="Y75" s="1992"/>
      <c r="Z75" s="1992"/>
      <c r="AA75" s="1992"/>
      <c r="AB75" s="1992"/>
      <c r="AC75" s="1992"/>
    </row>
    <row r="76" spans="1:29" s="1217" customFormat="1" ht="15.75" thickBot="1">
      <c r="A76" s="656"/>
      <c r="B76" s="645"/>
      <c r="C76" s="646">
        <v>100</v>
      </c>
      <c r="D76" s="647"/>
      <c r="E76" s="647"/>
      <c r="F76" s="647"/>
      <c r="G76" s="647"/>
      <c r="H76" s="647"/>
      <c r="I76" s="647"/>
      <c r="J76" s="647"/>
      <c r="K76" s="647"/>
      <c r="L76" s="647"/>
      <c r="M76" s="649"/>
      <c r="N76" s="2161"/>
      <c r="O76" s="2161"/>
      <c r="P76" s="2157"/>
      <c r="Q76" s="2157"/>
      <c r="R76" s="1992"/>
      <c r="S76" s="1992"/>
      <c r="T76" s="1992"/>
      <c r="U76" s="1992"/>
      <c r="V76" s="1992"/>
      <c r="W76" s="1992"/>
      <c r="X76" s="1992"/>
      <c r="Y76" s="1992"/>
      <c r="Z76" s="1992"/>
      <c r="AA76" s="1992"/>
      <c r="AB76" s="1992"/>
      <c r="AC76" s="1992"/>
    </row>
    <row r="77" spans="1:29">
      <c r="A77" s="661" t="s">
        <v>577</v>
      </c>
      <c r="B77" s="662" t="s">
        <v>534</v>
      </c>
      <c r="C77" s="595"/>
      <c r="D77" s="595"/>
      <c r="E77" s="595"/>
      <c r="F77" s="595"/>
      <c r="G77" s="595"/>
      <c r="H77" s="595"/>
      <c r="I77" s="595"/>
      <c r="J77" s="595"/>
      <c r="K77" s="663"/>
      <c r="L77" s="664"/>
      <c r="M77" s="665"/>
      <c r="N77" s="2163"/>
      <c r="O77" s="2163"/>
      <c r="P77" s="2164"/>
      <c r="Q77" s="2157"/>
      <c r="R77" s="2144"/>
      <c r="S77" s="2144"/>
      <c r="T77" s="2144"/>
      <c r="U77" s="2144"/>
      <c r="V77" s="2144"/>
      <c r="W77" s="2144"/>
      <c r="X77" s="2144"/>
      <c r="Y77" s="2144"/>
      <c r="Z77" s="2144"/>
      <c r="AA77" s="2144"/>
      <c r="AB77" s="2144"/>
      <c r="AC77" s="2144"/>
    </row>
    <row r="78" spans="1:29" ht="15.75" thickBot="1">
      <c r="A78" s="666"/>
      <c r="B78" s="667"/>
      <c r="C78" s="668"/>
      <c r="D78" s="668"/>
      <c r="E78" s="668"/>
      <c r="F78" s="668"/>
      <c r="G78" s="668"/>
      <c r="H78" s="668"/>
      <c r="I78" s="668"/>
      <c r="J78" s="668"/>
      <c r="K78" s="668"/>
      <c r="L78" s="668"/>
      <c r="M78" s="669"/>
      <c r="N78" s="2165"/>
      <c r="O78" s="2165"/>
      <c r="P78" s="2164"/>
      <c r="Q78" s="2157"/>
      <c r="R78" s="2144"/>
      <c r="S78" s="2144"/>
      <c r="T78" s="2144"/>
      <c r="U78" s="2144"/>
      <c r="V78" s="2144"/>
      <c r="W78" s="2144"/>
      <c r="X78" s="2144"/>
      <c r="Y78" s="2144"/>
      <c r="Z78" s="2144"/>
      <c r="AA78" s="2144"/>
      <c r="AB78" s="2144"/>
      <c r="AC78" s="2144"/>
    </row>
    <row r="79" spans="1:29" ht="27.75" thickTop="1">
      <c r="A79" s="666"/>
      <c r="B79" s="670" t="s">
        <v>537</v>
      </c>
      <c r="C79" s="671"/>
      <c r="D79" s="671"/>
      <c r="E79" s="671"/>
      <c r="F79" s="671"/>
      <c r="G79" s="671"/>
      <c r="H79" s="671"/>
      <c r="I79" s="671"/>
      <c r="J79" s="671"/>
      <c r="K79" s="672"/>
      <c r="L79" s="673"/>
      <c r="M79" s="674"/>
      <c r="N79" s="2163"/>
      <c r="O79" s="2163"/>
      <c r="P79" s="2164"/>
      <c r="Q79" s="2157"/>
      <c r="R79" s="2144"/>
      <c r="S79" s="2144"/>
      <c r="T79" s="2144"/>
      <c r="U79" s="2144"/>
      <c r="V79" s="2144"/>
      <c r="W79" s="2144"/>
      <c r="X79" s="2144"/>
      <c r="Y79" s="2144"/>
      <c r="Z79" s="2144"/>
      <c r="AA79" s="2144"/>
      <c r="AB79" s="2144"/>
      <c r="AC79" s="2144"/>
    </row>
    <row r="80" spans="1:29" ht="15.75" thickBot="1">
      <c r="A80" s="666"/>
      <c r="B80" s="675"/>
      <c r="C80" s="676"/>
      <c r="D80" s="676"/>
      <c r="E80" s="676"/>
      <c r="F80" s="676"/>
      <c r="G80" s="676"/>
      <c r="H80" s="676"/>
      <c r="I80" s="676"/>
      <c r="J80" s="676"/>
      <c r="K80" s="676"/>
      <c r="L80" s="676"/>
      <c r="M80" s="677"/>
      <c r="N80" s="2165"/>
      <c r="O80" s="2165"/>
      <c r="P80" s="2164"/>
      <c r="Q80" s="2157"/>
      <c r="R80" s="2144"/>
      <c r="S80" s="2144"/>
      <c r="T80" s="2144"/>
      <c r="U80" s="2144"/>
      <c r="V80" s="2144"/>
      <c r="W80" s="2144"/>
      <c r="X80" s="2144"/>
      <c r="Y80" s="2144"/>
      <c r="Z80" s="2144"/>
      <c r="AA80" s="2144"/>
      <c r="AB80" s="2144"/>
      <c r="AC80" s="2144"/>
    </row>
    <row r="81" spans="1:29" ht="15.75" thickTop="1">
      <c r="A81" s="666"/>
      <c r="B81" s="678" t="s">
        <v>538</v>
      </c>
      <c r="C81" s="679" t="str">
        <f>C82&amp;"（含）"&amp;"-"&amp;D82</f>
        <v>（含）-</v>
      </c>
      <c r="D81" s="679" t="str">
        <f t="shared" ref="D81:L81" si="20">D82&amp;"（含）"&amp;"-"&amp;E82</f>
        <v>（含）-</v>
      </c>
      <c r="E81" s="679" t="str">
        <f t="shared" si="20"/>
        <v>（含）-</v>
      </c>
      <c r="F81" s="679" t="str">
        <f t="shared" si="20"/>
        <v>（含）-</v>
      </c>
      <c r="G81" s="679" t="str">
        <f t="shared" si="20"/>
        <v>（含）-</v>
      </c>
      <c r="H81" s="679" t="str">
        <f t="shared" si="20"/>
        <v>（含）-</v>
      </c>
      <c r="I81" s="679" t="str">
        <f t="shared" si="20"/>
        <v>（含）-</v>
      </c>
      <c r="J81" s="679" t="str">
        <f t="shared" si="20"/>
        <v>（含）-</v>
      </c>
      <c r="K81" s="679" t="str">
        <f t="shared" si="20"/>
        <v>（含）-</v>
      </c>
      <c r="L81" s="679" t="str">
        <f t="shared" si="20"/>
        <v>（含）-</v>
      </c>
      <c r="M81" s="552"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6"/>
      <c r="B82" s="680"/>
      <c r="C82" s="538"/>
      <c r="D82" s="538"/>
      <c r="E82" s="538"/>
      <c r="F82" s="538"/>
      <c r="G82" s="538"/>
      <c r="H82" s="538"/>
      <c r="I82" s="538"/>
      <c r="J82" s="538"/>
      <c r="K82" s="681"/>
      <c r="L82" s="682"/>
      <c r="M82" s="683"/>
      <c r="N82" s="2163"/>
      <c r="O82" s="2163"/>
      <c r="P82" s="2164"/>
      <c r="Q82" s="2157"/>
      <c r="R82" s="2144"/>
      <c r="S82" s="2144"/>
      <c r="T82" s="2144"/>
      <c r="U82" s="2144"/>
      <c r="V82" s="2144"/>
      <c r="W82" s="2144"/>
      <c r="X82" s="2144"/>
      <c r="Y82" s="2144"/>
      <c r="Z82" s="2144"/>
      <c r="AA82" s="2144"/>
      <c r="AB82" s="2144"/>
      <c r="AC82" s="2144"/>
    </row>
    <row r="83" spans="1:29" ht="15.75" thickBot="1">
      <c r="A83" s="666"/>
      <c r="B83" s="667"/>
      <c r="C83" s="676">
        <v>100</v>
      </c>
      <c r="D83" s="676">
        <f>IF($B$48="单位面积地价",C83+$K13,C83-$K13)</f>
        <v>100</v>
      </c>
      <c r="E83" s="676">
        <f t="shared" ref="E83:M83" si="21">IF($B$48="单位面积地价",D83+$K13,D83-$K13)</f>
        <v>100</v>
      </c>
      <c r="F83" s="676">
        <f t="shared" si="21"/>
        <v>100</v>
      </c>
      <c r="G83" s="676">
        <f t="shared" si="21"/>
        <v>100</v>
      </c>
      <c r="H83" s="676">
        <f t="shared" si="21"/>
        <v>100</v>
      </c>
      <c r="I83" s="676">
        <f t="shared" si="21"/>
        <v>100</v>
      </c>
      <c r="J83" s="676">
        <f t="shared" si="21"/>
        <v>100</v>
      </c>
      <c r="K83" s="676">
        <f t="shared" si="21"/>
        <v>100</v>
      </c>
      <c r="L83" s="676">
        <f t="shared" si="21"/>
        <v>100</v>
      </c>
      <c r="M83" s="676">
        <f t="shared" si="21"/>
        <v>100</v>
      </c>
      <c r="N83" s="2165"/>
      <c r="O83" s="2165"/>
      <c r="P83" s="2164"/>
      <c r="Q83" s="2157"/>
      <c r="R83" s="2144"/>
      <c r="S83" s="2144"/>
      <c r="T83" s="2144"/>
      <c r="U83" s="2144"/>
      <c r="V83" s="2144"/>
      <c r="W83" s="2144"/>
      <c r="X83" s="2144"/>
      <c r="Y83" s="2144"/>
      <c r="Z83" s="2144"/>
      <c r="AA83" s="2144"/>
      <c r="AB83" s="2144"/>
      <c r="AC83" s="2144"/>
    </row>
    <row r="84" spans="1:29" s="1336" customFormat="1" ht="15.75" thickTop="1">
      <c r="A84" s="684"/>
      <c r="B84" s="670" t="str">
        <f>B14</f>
        <v>配建</v>
      </c>
      <c r="C84" s="685"/>
      <c r="D84" s="1373"/>
      <c r="E84" s="1374"/>
      <c r="F84" s="685"/>
      <c r="G84" s="685"/>
      <c r="H84" s="686"/>
      <c r="I84" s="686"/>
      <c r="J84" s="686"/>
      <c r="K84" s="686"/>
      <c r="L84" s="687"/>
      <c r="M84" s="688"/>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4"/>
      <c r="B85" s="675"/>
      <c r="C85" s="689"/>
      <c r="D85" s="668"/>
      <c r="E85" s="668"/>
      <c r="F85" s="668"/>
      <c r="G85" s="668"/>
      <c r="H85" s="668"/>
      <c r="I85" s="668"/>
      <c r="J85" s="668"/>
      <c r="K85" s="668"/>
      <c r="L85" s="668"/>
      <c r="M85" s="669"/>
      <c r="N85" s="2165"/>
      <c r="O85" s="2165"/>
      <c r="P85" s="2167"/>
      <c r="Q85" s="2168"/>
      <c r="R85" s="2169"/>
      <c r="S85" s="2169"/>
      <c r="T85" s="2169"/>
      <c r="U85" s="2169"/>
      <c r="V85" s="2169"/>
      <c r="W85" s="2169"/>
      <c r="X85" s="2169"/>
      <c r="Y85" s="2169"/>
      <c r="Z85" s="2169"/>
      <c r="AA85" s="2169"/>
      <c r="AB85" s="2169"/>
      <c r="AC85" s="2169"/>
    </row>
    <row r="86" spans="1:29" s="1336" customFormat="1" ht="15.75" thickTop="1">
      <c r="A86" s="684"/>
      <c r="B86" s="670">
        <f>B15</f>
        <v>111</v>
      </c>
      <c r="C86" s="685"/>
      <c r="D86" s="685"/>
      <c r="E86" s="685"/>
      <c r="F86" s="685"/>
      <c r="G86" s="685"/>
      <c r="H86" s="686"/>
      <c r="I86" s="686"/>
      <c r="J86" s="686"/>
      <c r="K86" s="686"/>
      <c r="L86" s="687"/>
      <c r="M86" s="688"/>
      <c r="N86" s="2166"/>
      <c r="O86" s="2166"/>
      <c r="P86" s="2170"/>
      <c r="Q86" s="2171"/>
      <c r="R86" s="2169"/>
      <c r="S86" s="2169"/>
      <c r="T86" s="2169"/>
      <c r="U86" s="2169"/>
      <c r="V86" s="2169"/>
      <c r="W86" s="2169"/>
      <c r="X86" s="2169"/>
      <c r="Y86" s="2169"/>
      <c r="Z86" s="2169"/>
      <c r="AA86" s="2169"/>
      <c r="AB86" s="2169"/>
      <c r="AC86" s="2169"/>
    </row>
    <row r="87" spans="1:29" s="1336" customFormat="1" ht="15.75" thickBot="1">
      <c r="A87" s="684"/>
      <c r="B87" s="675"/>
      <c r="C87" s="689"/>
      <c r="D87" s="689"/>
      <c r="E87" s="689"/>
      <c r="F87" s="689"/>
      <c r="G87" s="689"/>
      <c r="H87" s="690"/>
      <c r="I87" s="690"/>
      <c r="J87" s="690"/>
      <c r="K87" s="690"/>
      <c r="L87" s="690"/>
      <c r="M87" s="691"/>
      <c r="N87" s="2166"/>
      <c r="O87" s="2166"/>
      <c r="P87" s="2167"/>
      <c r="Q87" s="2168"/>
      <c r="R87" s="2169"/>
      <c r="S87" s="2169"/>
      <c r="T87" s="2169"/>
      <c r="U87" s="2169"/>
      <c r="V87" s="2169"/>
      <c r="W87" s="2169"/>
      <c r="X87" s="2169"/>
      <c r="Y87" s="2169"/>
      <c r="Z87" s="2169"/>
      <c r="AA87" s="2169"/>
      <c r="AB87" s="2169"/>
      <c r="AC87" s="2169"/>
    </row>
    <row r="88" spans="1:29" s="1336" customFormat="1" ht="15.75" thickTop="1">
      <c r="A88" s="684"/>
      <c r="B88" s="678">
        <f>B16</f>
        <v>111</v>
      </c>
      <c r="C88" s="658"/>
      <c r="D88" s="658"/>
      <c r="E88" s="658"/>
      <c r="F88" s="658"/>
      <c r="G88" s="658"/>
      <c r="H88" s="692"/>
      <c r="I88" s="692"/>
      <c r="J88" s="692"/>
      <c r="K88" s="692"/>
      <c r="L88" s="693"/>
      <c r="M88" s="694"/>
      <c r="N88" s="2166"/>
      <c r="O88" s="2166"/>
      <c r="P88" s="2172"/>
      <c r="Q88" s="2168"/>
      <c r="R88" s="2169"/>
      <c r="S88" s="2169"/>
      <c r="T88" s="2169"/>
      <c r="U88" s="2169"/>
      <c r="V88" s="2169"/>
      <c r="W88" s="2169"/>
      <c r="X88" s="2169"/>
      <c r="Y88" s="2169"/>
      <c r="Z88" s="2169"/>
      <c r="AA88" s="2169"/>
      <c r="AB88" s="2169"/>
      <c r="AC88" s="2169"/>
    </row>
    <row r="89" spans="1:29" s="1336" customFormat="1" ht="15.75" thickBot="1">
      <c r="A89" s="695"/>
      <c r="B89" s="696"/>
      <c r="C89" s="697"/>
      <c r="D89" s="697"/>
      <c r="E89" s="697"/>
      <c r="F89" s="697"/>
      <c r="G89" s="697"/>
      <c r="H89" s="698"/>
      <c r="I89" s="698"/>
      <c r="J89" s="698"/>
      <c r="K89" s="698"/>
      <c r="L89" s="698"/>
      <c r="M89" s="699"/>
      <c r="N89" s="2166"/>
      <c r="O89" s="2166"/>
      <c r="P89" s="2167"/>
      <c r="Q89" s="2168"/>
      <c r="R89" s="2169"/>
      <c r="S89" s="2169"/>
      <c r="T89" s="2169"/>
      <c r="U89" s="2169"/>
      <c r="V89" s="2169"/>
      <c r="W89" s="2169"/>
      <c r="X89" s="2169"/>
      <c r="Y89" s="2169"/>
      <c r="Z89" s="2169"/>
      <c r="AA89" s="2169"/>
      <c r="AB89" s="2169"/>
      <c r="AC89" s="2169"/>
    </row>
    <row r="90" spans="1:29">
      <c r="A90" s="661" t="s">
        <v>539</v>
      </c>
      <c r="B90" s="662" t="s">
        <v>578</v>
      </c>
      <c r="C90" s="700" t="s">
        <v>579</v>
      </c>
      <c r="D90" s="700" t="s">
        <v>580</v>
      </c>
      <c r="E90" s="700" t="s">
        <v>581</v>
      </c>
      <c r="F90" s="700" t="s">
        <v>582</v>
      </c>
      <c r="G90" s="700" t="s">
        <v>583</v>
      </c>
      <c r="H90" s="701"/>
      <c r="I90" s="701"/>
      <c r="J90" s="701"/>
      <c r="K90" s="702"/>
      <c r="L90" s="703"/>
      <c r="M90" s="704"/>
      <c r="N90" s="2163"/>
      <c r="O90" s="2163"/>
      <c r="P90" s="2173"/>
      <c r="Q90" s="2157"/>
      <c r="R90" s="2144"/>
      <c r="S90" s="2144"/>
      <c r="T90" s="2144"/>
      <c r="U90" s="2144"/>
      <c r="V90" s="2144"/>
      <c r="W90" s="2144"/>
      <c r="X90" s="2144"/>
      <c r="Y90" s="2144"/>
      <c r="Z90" s="2144"/>
      <c r="AA90" s="2144"/>
      <c r="AB90" s="2144"/>
      <c r="AC90" s="2144"/>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65"/>
      <c r="O91" s="2165"/>
      <c r="P91" s="2164"/>
      <c r="Q91" s="2157"/>
      <c r="R91" s="2144"/>
      <c r="S91" s="2144"/>
      <c r="T91" s="2144"/>
      <c r="U91" s="2144"/>
      <c r="V91" s="2144"/>
      <c r="W91" s="2144"/>
      <c r="X91" s="2144"/>
      <c r="Y91" s="2144"/>
      <c r="Z91" s="2144"/>
      <c r="AA91" s="2144"/>
      <c r="AB91" s="2144"/>
      <c r="AC91" s="2144"/>
    </row>
    <row r="92" spans="1:29" ht="15.75" thickTop="1">
      <c r="A92" s="666"/>
      <c r="B92" s="670" t="s">
        <v>584</v>
      </c>
      <c r="C92" s="705" t="s">
        <v>579</v>
      </c>
      <c r="D92" s="705" t="s">
        <v>580</v>
      </c>
      <c r="E92" s="705" t="s">
        <v>581</v>
      </c>
      <c r="F92" s="705" t="s">
        <v>582</v>
      </c>
      <c r="G92" s="705" t="s">
        <v>583</v>
      </c>
      <c r="H92" s="671"/>
      <c r="I92" s="671"/>
      <c r="J92" s="671"/>
      <c r="K92" s="672"/>
      <c r="L92" s="673"/>
      <c r="M92" s="674"/>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5"/>
      <c r="O93" s="2165"/>
      <c r="P93" s="2164"/>
      <c r="Q93" s="2157"/>
      <c r="R93" s="2144"/>
      <c r="S93" s="2144"/>
      <c r="T93" s="2144"/>
      <c r="U93" s="2144"/>
      <c r="V93" s="2144"/>
      <c r="W93" s="2144"/>
      <c r="X93" s="2144"/>
      <c r="Y93" s="2144"/>
      <c r="Z93" s="2144"/>
      <c r="AA93" s="2144"/>
      <c r="AB93" s="2144"/>
      <c r="AC93" s="2144"/>
    </row>
    <row r="94" spans="1:29" ht="15.75" thickTop="1">
      <c r="A94" s="666"/>
      <c r="B94" s="670" t="s">
        <v>585</v>
      </c>
      <c r="C94" s="705" t="s">
        <v>579</v>
      </c>
      <c r="D94" s="705" t="s">
        <v>580</v>
      </c>
      <c r="E94" s="705" t="s">
        <v>581</v>
      </c>
      <c r="F94" s="705" t="s">
        <v>582</v>
      </c>
      <c r="G94" s="705" t="s">
        <v>583</v>
      </c>
      <c r="H94" s="671"/>
      <c r="I94" s="671"/>
      <c r="J94" s="671"/>
      <c r="K94" s="672"/>
      <c r="L94" s="673"/>
      <c r="M94" s="674"/>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5"/>
      <c r="O95" s="2165"/>
      <c r="P95" s="2164"/>
      <c r="Q95" s="2157"/>
      <c r="R95" s="2144"/>
      <c r="S95" s="2144"/>
      <c r="T95" s="2144"/>
      <c r="U95" s="2144"/>
      <c r="V95" s="2144"/>
      <c r="W95" s="2144"/>
      <c r="X95" s="2144"/>
      <c r="Y95" s="2144"/>
      <c r="Z95" s="2144"/>
      <c r="AA95" s="2144"/>
      <c r="AB95" s="2144"/>
      <c r="AC95" s="2144"/>
    </row>
    <row r="96" spans="1:29" ht="15.75" thickTop="1">
      <c r="A96" s="666"/>
      <c r="B96" s="670" t="s">
        <v>586</v>
      </c>
      <c r="C96" s="705" t="s">
        <v>579</v>
      </c>
      <c r="D96" s="705" t="s">
        <v>580</v>
      </c>
      <c r="E96" s="705" t="s">
        <v>581</v>
      </c>
      <c r="F96" s="705" t="s">
        <v>582</v>
      </c>
      <c r="G96" s="705" t="s">
        <v>583</v>
      </c>
      <c r="H96" s="671"/>
      <c r="I96" s="671"/>
      <c r="J96" s="671"/>
      <c r="K96" s="672"/>
      <c r="L96" s="673"/>
      <c r="M96" s="674"/>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65"/>
      <c r="O97" s="2165"/>
      <c r="P97" s="2164"/>
      <c r="Q97" s="2157"/>
      <c r="R97" s="2144"/>
      <c r="S97" s="2144"/>
      <c r="T97" s="2144"/>
      <c r="U97" s="2144"/>
      <c r="V97" s="2144"/>
      <c r="W97" s="2144"/>
      <c r="X97" s="2144"/>
      <c r="Y97" s="2144"/>
      <c r="Z97" s="2144"/>
      <c r="AA97" s="2144"/>
      <c r="AB97" s="2144"/>
      <c r="AC97" s="2144"/>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61"/>
      <c r="O98" s="2161"/>
      <c r="P98" s="2164"/>
      <c r="Q98" s="2157"/>
      <c r="R98" s="1992"/>
      <c r="S98" s="1992"/>
      <c r="T98" s="1992"/>
      <c r="U98" s="1992"/>
      <c r="V98" s="1992"/>
      <c r="W98" s="1992"/>
      <c r="X98" s="1992"/>
      <c r="Y98" s="1992"/>
      <c r="Z98" s="1992"/>
      <c r="AA98" s="1992"/>
      <c r="AB98" s="1992"/>
      <c r="AC98" s="1992"/>
    </row>
    <row r="99" spans="1:29" s="1217" customFormat="1" ht="15.75" thickBot="1">
      <c r="A99" s="706"/>
      <c r="B99" s="675"/>
      <c r="C99" s="709">
        <v>100</v>
      </c>
      <c r="D99" s="676">
        <f>C99-$K25</f>
        <v>100</v>
      </c>
      <c r="E99" s="676">
        <f>D99-$K25</f>
        <v>100</v>
      </c>
      <c r="F99" s="676">
        <f>E99-$K25</f>
        <v>100</v>
      </c>
      <c r="G99" s="676">
        <f>F99-$K25</f>
        <v>100</v>
      </c>
      <c r="H99" s="676"/>
      <c r="I99" s="676"/>
      <c r="J99" s="676"/>
      <c r="K99" s="676"/>
      <c r="L99" s="676"/>
      <c r="M99" s="677"/>
      <c r="N99" s="2165"/>
      <c r="O99" s="2165"/>
      <c r="P99" s="2164"/>
      <c r="Q99" s="2157"/>
      <c r="R99" s="1992"/>
      <c r="S99" s="1992"/>
      <c r="T99" s="1992"/>
      <c r="U99" s="1992"/>
      <c r="V99" s="1992"/>
      <c r="W99" s="1992"/>
      <c r="X99" s="1992"/>
      <c r="Y99" s="1992"/>
      <c r="Z99" s="1992"/>
      <c r="AA99" s="1992"/>
      <c r="AB99" s="1992"/>
      <c r="AC99" s="1992"/>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61"/>
      <c r="O100" s="2161"/>
      <c r="P100" s="2164"/>
      <c r="Q100" s="2157"/>
      <c r="R100" s="1992"/>
      <c r="S100" s="1992"/>
      <c r="T100" s="1992"/>
      <c r="U100" s="1992"/>
      <c r="V100" s="1992"/>
      <c r="W100" s="1992"/>
      <c r="X100" s="1992"/>
      <c r="Y100" s="1992"/>
      <c r="Z100" s="1992"/>
      <c r="AA100" s="1992"/>
      <c r="AB100" s="1992"/>
      <c r="AC100" s="1992"/>
    </row>
    <row r="101" spans="1:29" s="1217"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65"/>
      <c r="O101" s="2165"/>
      <c r="P101" s="2164"/>
      <c r="Q101" s="2157"/>
      <c r="R101" s="1992"/>
      <c r="S101" s="1992"/>
      <c r="T101" s="1992"/>
      <c r="U101" s="1992"/>
      <c r="V101" s="1992"/>
      <c r="W101" s="1992"/>
      <c r="X101" s="1992"/>
      <c r="Y101" s="1992"/>
      <c r="Z101" s="1992"/>
      <c r="AA101" s="1992"/>
      <c r="AB101" s="1992"/>
      <c r="AC101" s="1992"/>
    </row>
    <row r="102" spans="1:29" s="1336" customFormat="1" ht="15.75" thickTop="1">
      <c r="A102" s="684"/>
      <c r="B102" s="1895" t="s">
        <v>2551</v>
      </c>
      <c r="C102" s="700" t="s">
        <v>579</v>
      </c>
      <c r="D102" s="700" t="s">
        <v>580</v>
      </c>
      <c r="E102" s="700" t="s">
        <v>581</v>
      </c>
      <c r="F102" s="700" t="s">
        <v>582</v>
      </c>
      <c r="G102" s="700" t="s">
        <v>583</v>
      </c>
      <c r="H102" s="710"/>
      <c r="I102" s="710"/>
      <c r="J102" s="710"/>
      <c r="K102" s="710"/>
      <c r="L102" s="711"/>
      <c r="M102" s="712"/>
      <c r="N102" s="2166"/>
      <c r="O102" s="2166"/>
      <c r="P102" s="2167"/>
      <c r="Q102" s="2168"/>
      <c r="R102" s="2169"/>
      <c r="S102" s="2169"/>
      <c r="T102" s="2169"/>
      <c r="U102" s="2169"/>
      <c r="V102" s="2169"/>
      <c r="W102" s="2169"/>
      <c r="X102" s="2169"/>
      <c r="Y102" s="2169"/>
      <c r="Z102" s="2169"/>
      <c r="AA102" s="2169"/>
      <c r="AB102" s="2169"/>
      <c r="AC102" s="2169"/>
    </row>
    <row r="103" spans="1:29" s="1336"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Top="1">
      <c r="A104" s="684"/>
      <c r="B104" s="2596" t="s">
        <v>2553</v>
      </c>
      <c r="C104" s="2597" t="s">
        <v>2554</v>
      </c>
      <c r="D104" s="2597" t="s">
        <v>2555</v>
      </c>
      <c r="E104" s="2597" t="s">
        <v>2556</v>
      </c>
      <c r="F104" s="2597" t="s">
        <v>2557</v>
      </c>
      <c r="G104" s="2597" t="s">
        <v>2558</v>
      </c>
      <c r="H104" s="710"/>
      <c r="I104" s="710"/>
      <c r="J104" s="710"/>
      <c r="K104" s="710"/>
      <c r="L104" s="710"/>
      <c r="M104" s="712"/>
      <c r="N104" s="2166"/>
      <c r="O104" s="2166"/>
      <c r="P104" s="2167"/>
      <c r="Q104" s="2168"/>
      <c r="R104" s="2169"/>
      <c r="S104" s="2169"/>
      <c r="T104" s="2169"/>
      <c r="U104" s="2169"/>
      <c r="V104" s="2169"/>
      <c r="W104" s="2169"/>
      <c r="X104" s="2169"/>
      <c r="Y104" s="2169"/>
      <c r="Z104" s="2169"/>
      <c r="AA104" s="2169"/>
      <c r="AB104" s="2169"/>
      <c r="AC104" s="2169"/>
    </row>
    <row r="105" spans="1:29" s="1336" customFormat="1" ht="15.75" thickBot="1">
      <c r="A105" s="684"/>
      <c r="B105" s="678"/>
      <c r="C105" s="676">
        <v>100</v>
      </c>
      <c r="D105" s="676">
        <f>C105-$K31</f>
        <v>100</v>
      </c>
      <c r="E105" s="676">
        <f>D105-$K31</f>
        <v>100</v>
      </c>
      <c r="F105" s="676">
        <f>E105-$K31</f>
        <v>100</v>
      </c>
      <c r="G105" s="676">
        <f>F105-$K31</f>
        <v>100</v>
      </c>
      <c r="H105" s="680"/>
      <c r="I105" s="680"/>
      <c r="J105" s="680"/>
      <c r="K105" s="680"/>
      <c r="L105" s="680"/>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63"/>
      <c r="O106" s="2163"/>
      <c r="P106" s="2164"/>
      <c r="Q106" s="2157"/>
      <c r="R106" s="2144"/>
      <c r="S106" s="2144"/>
      <c r="T106" s="2144"/>
      <c r="U106" s="2144"/>
      <c r="V106" s="2144"/>
      <c r="W106" s="2144"/>
      <c r="X106" s="2144"/>
      <c r="Y106" s="2144"/>
      <c r="Z106" s="2144"/>
      <c r="AA106" s="2144"/>
      <c r="AB106" s="2144"/>
      <c r="AC106" s="2144"/>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6"/>
      <c r="B108" s="670" t="s">
        <v>548</v>
      </c>
      <c r="C108" s="685"/>
      <c r="D108" s="685"/>
      <c r="E108" s="685"/>
      <c r="F108" s="685"/>
      <c r="G108" s="685"/>
      <c r="H108" s="715"/>
      <c r="I108" s="715"/>
      <c r="J108" s="715"/>
      <c r="K108" s="716"/>
      <c r="L108" s="717"/>
      <c r="M108" s="718"/>
      <c r="N108" s="2163"/>
      <c r="O108" s="2163"/>
      <c r="P108" s="2164"/>
      <c r="Q108" s="2157"/>
      <c r="R108" s="2144"/>
      <c r="S108" s="2144"/>
      <c r="T108" s="2144"/>
      <c r="U108" s="2144"/>
      <c r="V108" s="2144"/>
      <c r="W108" s="2144"/>
      <c r="X108" s="2144"/>
      <c r="Y108" s="2144"/>
      <c r="Z108" s="2144"/>
      <c r="AA108" s="2144"/>
      <c r="AB108" s="2144"/>
      <c r="AC108" s="2144"/>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6"/>
      <c r="B110" s="670" t="s">
        <v>549</v>
      </c>
      <c r="C110" s="715"/>
      <c r="D110" s="715"/>
      <c r="E110" s="715"/>
      <c r="F110" s="715"/>
      <c r="G110" s="715"/>
      <c r="H110" s="715"/>
      <c r="I110" s="715"/>
      <c r="J110" s="715"/>
      <c r="K110" s="716"/>
      <c r="L110" s="717"/>
      <c r="M110" s="718"/>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6"/>
      <c r="B112" s="678">
        <f>B37</f>
        <v>111</v>
      </c>
      <c r="C112" s="685"/>
      <c r="D112" s="685"/>
      <c r="E112" s="685"/>
      <c r="F112" s="685"/>
      <c r="G112" s="719"/>
      <c r="H112" s="719"/>
      <c r="I112" s="719"/>
      <c r="J112" s="719"/>
      <c r="K112" s="720"/>
      <c r="L112" s="721"/>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666"/>
      <c r="B113" s="696"/>
      <c r="C113" s="689"/>
      <c r="D113" s="689"/>
      <c r="E113" s="689"/>
      <c r="F113" s="689"/>
      <c r="G113" s="723"/>
      <c r="H113" s="723"/>
      <c r="I113" s="723"/>
      <c r="J113" s="723"/>
      <c r="K113" s="723"/>
      <c r="L113" s="723"/>
      <c r="M113" s="724"/>
      <c r="N113" s="2165"/>
      <c r="O113" s="2165"/>
      <c r="P113" s="2164"/>
      <c r="Q113" s="2157"/>
      <c r="R113" s="2144"/>
      <c r="S113" s="2144"/>
      <c r="T113" s="2144"/>
      <c r="U113" s="2144"/>
      <c r="V113" s="2144"/>
      <c r="W113" s="2144"/>
      <c r="X113" s="2144"/>
      <c r="Y113" s="2144"/>
      <c r="Z113" s="2144"/>
      <c r="AA113" s="2144"/>
      <c r="AB113" s="2144"/>
      <c r="AC113" s="2144"/>
    </row>
    <row r="114" spans="1:29" ht="15" thickTop="1">
      <c r="A114" s="584"/>
      <c r="B114" s="670">
        <f>B38</f>
        <v>111</v>
      </c>
      <c r="C114" s="658"/>
      <c r="D114" s="658"/>
      <c r="E114" s="658"/>
      <c r="F114" s="658"/>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97"/>
      <c r="D115" s="697"/>
      <c r="E115" s="697"/>
      <c r="F115" s="697"/>
      <c r="G115" s="668"/>
      <c r="H115" s="668"/>
      <c r="I115" s="668"/>
      <c r="J115" s="668"/>
      <c r="K115" s="668"/>
      <c r="L115" s="668"/>
      <c r="M115" s="669"/>
      <c r="N115" s="2165"/>
      <c r="O115" s="2165"/>
      <c r="P115" s="2164"/>
      <c r="Q115" s="2157"/>
      <c r="R115" s="2144"/>
      <c r="S115" s="2144"/>
      <c r="T115" s="2144"/>
      <c r="U115" s="2144"/>
      <c r="V115" s="2144"/>
      <c r="W115" s="2144"/>
      <c r="X115" s="2144"/>
      <c r="Y115" s="2144"/>
      <c r="Z115" s="2144"/>
      <c r="AA115" s="2144"/>
      <c r="AB115" s="2144"/>
      <c r="AC115" s="2144"/>
    </row>
    <row r="116" spans="1:29" s="1336" customFormat="1" ht="15" thickTop="1">
      <c r="A116" s="725"/>
      <c r="B116" s="726">
        <f>B39</f>
        <v>111</v>
      </c>
      <c r="C116" s="727"/>
      <c r="D116" s="727"/>
      <c r="E116" s="727"/>
      <c r="F116" s="727"/>
      <c r="G116" s="727"/>
      <c r="H116" s="727"/>
      <c r="I116" s="727"/>
      <c r="J116" s="728"/>
      <c r="K116" s="728"/>
      <c r="L116" s="729"/>
      <c r="M116" s="730"/>
      <c r="N116" s="2166"/>
      <c r="O116" s="2166"/>
      <c r="P116" s="2167"/>
      <c r="Q116" s="2168"/>
      <c r="R116" s="2169"/>
      <c r="S116" s="2169"/>
      <c r="T116" s="2169"/>
      <c r="U116" s="2169"/>
      <c r="V116" s="2169"/>
      <c r="W116" s="2169"/>
      <c r="X116" s="2169"/>
      <c r="Y116" s="2169"/>
      <c r="Z116" s="2169"/>
      <c r="AA116" s="2169"/>
      <c r="AB116" s="2169"/>
      <c r="AC116" s="2169"/>
    </row>
    <row r="117" spans="1:29" s="1336" customFormat="1" ht="15.75" thickBot="1">
      <c r="A117" s="684"/>
      <c r="B117" s="678"/>
      <c r="C117" s="647"/>
      <c r="D117" s="589"/>
      <c r="E117" s="589"/>
      <c r="F117" s="589"/>
      <c r="G117" s="589"/>
      <c r="H117" s="589"/>
      <c r="I117" s="589"/>
      <c r="J117" s="589"/>
      <c r="K117" s="589"/>
      <c r="L117" s="589"/>
      <c r="M117" s="731"/>
      <c r="N117" s="2165"/>
      <c r="O117" s="2165"/>
      <c r="P117" s="2167"/>
      <c r="Q117" s="2168"/>
      <c r="R117" s="2169"/>
      <c r="S117" s="2169"/>
      <c r="T117" s="2169"/>
      <c r="U117" s="2169"/>
      <c r="V117" s="2169"/>
      <c r="W117" s="2169"/>
      <c r="X117" s="2169"/>
      <c r="Y117" s="2169"/>
      <c r="Z117" s="2169"/>
      <c r="AA117" s="2169"/>
      <c r="AB117" s="2169"/>
      <c r="AC117" s="2169"/>
    </row>
    <row r="118" spans="1:29">
      <c r="A118" s="661" t="s">
        <v>551</v>
      </c>
      <c r="B118" s="662" t="s">
        <v>593</v>
      </c>
      <c r="C118" s="701" t="str">
        <f t="shared" ref="C118:L118" si="25">C119&amp;"(含)"&amp;"-"&amp;D119</f>
        <v>(含)-</v>
      </c>
      <c r="D118" s="701" t="str">
        <f t="shared" si="25"/>
        <v>(含)-</v>
      </c>
      <c r="E118" s="701" t="str">
        <f t="shared" si="25"/>
        <v>(含)-</v>
      </c>
      <c r="F118" s="701" t="str">
        <f t="shared" si="25"/>
        <v>(含)-</v>
      </c>
      <c r="G118" s="701" t="str">
        <f t="shared" si="25"/>
        <v>(含)-</v>
      </c>
      <c r="H118" s="701" t="str">
        <f t="shared" si="25"/>
        <v>(含)-</v>
      </c>
      <c r="I118" s="701" t="str">
        <f t="shared" si="25"/>
        <v>(含)-</v>
      </c>
      <c r="J118" s="3090" t="str">
        <f t="shared" si="25"/>
        <v>(含)-</v>
      </c>
      <c r="K118" s="3090" t="str">
        <f t="shared" si="25"/>
        <v>(含)-</v>
      </c>
      <c r="L118" s="3091" t="str">
        <f t="shared" si="25"/>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6"/>
      <c r="B119" s="678"/>
      <c r="C119" s="727"/>
      <c r="D119" s="727"/>
      <c r="E119" s="727"/>
      <c r="F119" s="727"/>
      <c r="G119" s="727"/>
      <c r="H119" s="727"/>
      <c r="I119" s="727"/>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6"/>
      <c r="B120" s="675"/>
      <c r="C120" s="697"/>
      <c r="D120" s="723"/>
      <c r="E120" s="723"/>
      <c r="F120" s="723"/>
      <c r="G120" s="723"/>
      <c r="H120" s="723"/>
      <c r="I120" s="723"/>
      <c r="J120" s="723"/>
      <c r="K120" s="723"/>
      <c r="L120" s="723"/>
      <c r="M120" s="724"/>
      <c r="N120" s="2165"/>
      <c r="O120" s="2165"/>
      <c r="P120" s="2164"/>
      <c r="Q120" s="2157"/>
      <c r="R120" s="2144"/>
      <c r="S120" s="2144"/>
      <c r="T120" s="2144"/>
      <c r="U120" s="2144"/>
      <c r="V120" s="2144"/>
      <c r="W120" s="2144"/>
      <c r="X120" s="2144"/>
      <c r="Y120" s="2144"/>
      <c r="Z120" s="2144"/>
      <c r="AA120" s="2144"/>
      <c r="AB120" s="2144"/>
      <c r="AC120" s="2144"/>
    </row>
    <row r="121" spans="1:29" ht="15" thickTop="1">
      <c r="A121" s="732"/>
      <c r="B121" s="670" t="s">
        <v>594</v>
      </c>
      <c r="C121" s="715"/>
      <c r="D121" s="715"/>
      <c r="E121" s="715"/>
      <c r="F121" s="715"/>
      <c r="G121" s="715"/>
      <c r="H121" s="715"/>
      <c r="I121" s="715"/>
      <c r="J121" s="715"/>
      <c r="K121" s="716"/>
      <c r="L121" s="717"/>
      <c r="M121" s="718"/>
      <c r="N121" s="2163"/>
      <c r="O121" s="2163"/>
      <c r="P121" s="2164"/>
      <c r="Q121" s="2157"/>
      <c r="R121" s="2144"/>
      <c r="S121" s="2144"/>
      <c r="T121" s="2144"/>
      <c r="U121" s="2144"/>
      <c r="V121" s="2144"/>
      <c r="W121" s="2144"/>
      <c r="X121" s="2144"/>
      <c r="Y121" s="2144"/>
      <c r="Z121" s="2144"/>
      <c r="AA121" s="2144"/>
      <c r="AB121" s="2144"/>
      <c r="AC121" s="2144"/>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2"/>
      <c r="B123" s="670" t="s">
        <v>595</v>
      </c>
      <c r="C123" s="685"/>
      <c r="D123" s="685"/>
      <c r="E123" s="685"/>
      <c r="F123" s="715"/>
      <c r="G123" s="715"/>
      <c r="H123" s="715"/>
      <c r="I123" s="715"/>
      <c r="J123" s="715"/>
      <c r="K123" s="716"/>
      <c r="L123" s="717"/>
      <c r="M123" s="718"/>
      <c r="N123" s="2163"/>
      <c r="O123" s="2163"/>
      <c r="P123" s="2164"/>
      <c r="Q123" s="2157"/>
      <c r="R123" s="2144"/>
      <c r="S123" s="2144"/>
      <c r="T123" s="2144"/>
      <c r="U123" s="2144"/>
      <c r="V123" s="2144"/>
      <c r="W123" s="2144"/>
      <c r="X123" s="2144"/>
      <c r="Y123" s="2144"/>
      <c r="Z123" s="2144"/>
      <c r="AA123" s="2144"/>
      <c r="AB123" s="2144"/>
      <c r="AC123" s="2144"/>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65"/>
      <c r="O124" s="2165"/>
      <c r="P124" s="2164"/>
      <c r="Q124" s="2157"/>
      <c r="R124" s="2144"/>
      <c r="S124" s="2144"/>
      <c r="T124" s="2144"/>
      <c r="U124" s="2144"/>
      <c r="V124" s="2144"/>
      <c r="W124" s="2144"/>
      <c r="X124" s="2144"/>
      <c r="Y124" s="2144"/>
      <c r="Z124" s="2144"/>
      <c r="AA124" s="2144"/>
      <c r="AB124" s="2144"/>
      <c r="AC124" s="2144"/>
    </row>
    <row r="125" spans="1:29" s="1336" customFormat="1" ht="15" thickTop="1">
      <c r="A125" s="725"/>
      <c r="B125" s="1895" t="s">
        <v>2428</v>
      </c>
      <c r="C125" s="1373"/>
      <c r="D125" s="1373"/>
      <c r="E125" s="1373"/>
      <c r="F125" s="1373"/>
      <c r="G125" s="1373"/>
      <c r="H125" s="715"/>
      <c r="I125" s="715"/>
      <c r="J125" s="715"/>
      <c r="K125" s="716"/>
      <c r="L125" s="717"/>
      <c r="M125" s="718"/>
      <c r="N125" s="2166"/>
      <c r="O125" s="2166"/>
      <c r="P125" s="2167"/>
      <c r="Q125" s="2168"/>
      <c r="R125" s="2169"/>
      <c r="S125" s="2169"/>
      <c r="T125" s="2169"/>
      <c r="U125" s="2169"/>
      <c r="V125" s="2169"/>
      <c r="W125" s="2169"/>
      <c r="X125" s="2169"/>
      <c r="Y125" s="2169"/>
      <c r="Z125" s="2169"/>
      <c r="AA125" s="2169"/>
      <c r="AB125" s="2169"/>
      <c r="AC125" s="2169"/>
    </row>
    <row r="126" spans="1:29" s="1336"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2"/>
      <c r="B127" s="670" t="s">
        <v>596</v>
      </c>
      <c r="C127" s="685"/>
      <c r="D127" s="685"/>
      <c r="E127" s="715"/>
      <c r="F127" s="715"/>
      <c r="G127" s="715"/>
      <c r="H127" s="715"/>
      <c r="I127" s="715"/>
      <c r="J127" s="715"/>
      <c r="K127" s="716"/>
      <c r="L127" s="717"/>
      <c r="M127" s="718"/>
      <c r="N127" s="2163"/>
      <c r="O127" s="2163"/>
      <c r="P127" s="2164"/>
      <c r="Q127" s="2157"/>
      <c r="R127" s="2144"/>
      <c r="S127" s="2144"/>
      <c r="T127" s="2144"/>
      <c r="U127" s="2144"/>
      <c r="V127" s="2144"/>
      <c r="W127" s="2144"/>
      <c r="X127" s="2144"/>
      <c r="Y127" s="2144"/>
      <c r="Z127" s="2144"/>
      <c r="AA127" s="2144"/>
      <c r="AB127" s="2144"/>
      <c r="AC127" s="2144"/>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2"/>
      <c r="B129" s="670">
        <f>B45</f>
        <v>111</v>
      </c>
      <c r="C129" s="685"/>
      <c r="D129" s="685"/>
      <c r="E129" s="685"/>
      <c r="F129" s="685"/>
      <c r="G129" s="685"/>
      <c r="H129" s="715"/>
      <c r="I129" s="715"/>
      <c r="J129" s="715"/>
      <c r="K129" s="716"/>
      <c r="L129" s="717"/>
      <c r="M129" s="718"/>
      <c r="N129" s="2163"/>
      <c r="O129" s="2163"/>
      <c r="P129" s="2164"/>
      <c r="Q129" s="2157"/>
      <c r="R129" s="2144"/>
      <c r="S129" s="2144"/>
      <c r="T129" s="2144"/>
      <c r="U129" s="2144"/>
      <c r="V129" s="2144"/>
      <c r="W129" s="2144"/>
      <c r="X129" s="2144"/>
      <c r="Y129" s="2144"/>
      <c r="Z129" s="2144"/>
      <c r="AA129" s="2144"/>
      <c r="AB129" s="2144"/>
      <c r="AC129" s="2144"/>
    </row>
    <row r="130" spans="1:29" ht="15.75" thickBot="1">
      <c r="A130" s="666"/>
      <c r="B130" s="675"/>
      <c r="C130" s="689"/>
      <c r="D130" s="689"/>
      <c r="E130" s="689"/>
      <c r="F130" s="689"/>
      <c r="G130" s="668"/>
      <c r="H130" s="668"/>
      <c r="I130" s="668"/>
      <c r="J130" s="668"/>
      <c r="K130" s="668"/>
      <c r="L130" s="668"/>
      <c r="M130" s="669"/>
      <c r="N130" s="2165"/>
      <c r="O130" s="2165"/>
      <c r="P130" s="2164"/>
      <c r="Q130" s="2157"/>
      <c r="R130" s="2144"/>
      <c r="S130" s="2144"/>
      <c r="T130" s="2144"/>
      <c r="U130" s="2144"/>
      <c r="V130" s="2144"/>
      <c r="W130" s="2144"/>
      <c r="X130" s="2144"/>
      <c r="Y130" s="2144"/>
      <c r="Z130" s="2144"/>
      <c r="AA130" s="2144"/>
      <c r="AB130" s="2144"/>
      <c r="AC130" s="2144"/>
    </row>
    <row r="131" spans="1:29" ht="15" thickTop="1">
      <c r="A131" s="732"/>
      <c r="B131" s="670">
        <f>B46</f>
        <v>111</v>
      </c>
      <c r="C131" s="658"/>
      <c r="D131" s="658"/>
      <c r="E131" s="658"/>
      <c r="F131" s="658"/>
      <c r="G131" s="715"/>
      <c r="H131" s="715"/>
      <c r="I131" s="715"/>
      <c r="J131" s="715"/>
      <c r="K131" s="716"/>
      <c r="L131" s="717"/>
      <c r="M131" s="718"/>
      <c r="N131" s="2163"/>
      <c r="O131" s="2163"/>
      <c r="P131" s="2164"/>
      <c r="Q131" s="2157"/>
      <c r="R131" s="2144"/>
      <c r="S131" s="2144"/>
      <c r="T131" s="2144"/>
      <c r="U131" s="2144"/>
      <c r="V131" s="2144"/>
      <c r="W131" s="2144"/>
      <c r="X131" s="2144"/>
      <c r="Y131" s="2144"/>
      <c r="Z131" s="2144"/>
      <c r="AA131" s="2144"/>
      <c r="AB131" s="2144"/>
      <c r="AC131" s="2144"/>
    </row>
    <row r="132" spans="1:29" ht="15.75" thickBot="1">
      <c r="A132" s="666"/>
      <c r="B132" s="675"/>
      <c r="C132" s="697"/>
      <c r="D132" s="697"/>
      <c r="E132" s="697"/>
      <c r="F132" s="697"/>
      <c r="G132" s="668"/>
      <c r="H132" s="668"/>
      <c r="I132" s="668"/>
      <c r="J132" s="668"/>
      <c r="K132" s="668"/>
      <c r="L132" s="668"/>
      <c r="M132" s="669"/>
      <c r="N132" s="2165"/>
      <c r="O132" s="2165"/>
      <c r="P132" s="2164"/>
      <c r="Q132" s="2157"/>
      <c r="R132" s="2144"/>
      <c r="S132" s="2144"/>
      <c r="T132" s="2144"/>
      <c r="U132" s="2144"/>
      <c r="V132" s="2144"/>
      <c r="W132" s="2144"/>
      <c r="X132" s="2144"/>
      <c r="Y132" s="2144"/>
      <c r="Z132" s="2144"/>
      <c r="AA132" s="2144"/>
      <c r="AB132" s="2144"/>
      <c r="AC132" s="2144"/>
    </row>
    <row r="133" spans="1:29" s="1336" customFormat="1" ht="15" thickTop="1">
      <c r="A133" s="725"/>
      <c r="B133" s="670">
        <f>B47</f>
        <v>111</v>
      </c>
      <c r="C133" s="658"/>
      <c r="D133" s="658"/>
      <c r="E133" s="658"/>
      <c r="F133" s="658"/>
      <c r="G133" s="686"/>
      <c r="H133" s="686"/>
      <c r="I133" s="686"/>
      <c r="J133" s="686"/>
      <c r="K133" s="686"/>
      <c r="L133" s="687"/>
      <c r="M133" s="688"/>
      <c r="N133" s="2166"/>
      <c r="O133" s="2166"/>
      <c r="P133" s="2167"/>
      <c r="Q133" s="2168"/>
      <c r="R133" s="2169"/>
      <c r="S133" s="2169"/>
      <c r="T133" s="2169"/>
      <c r="U133" s="2169"/>
      <c r="V133" s="2169"/>
      <c r="W133" s="2169"/>
      <c r="X133" s="2169"/>
      <c r="Y133" s="2169"/>
      <c r="Z133" s="2169"/>
      <c r="AA133" s="2169"/>
      <c r="AB133" s="2169"/>
      <c r="AC133" s="2169"/>
    </row>
    <row r="134" spans="1:29" s="1336" customFormat="1" ht="15.75" thickBot="1">
      <c r="A134" s="695"/>
      <c r="B134" s="733"/>
      <c r="C134" s="697"/>
      <c r="D134" s="697"/>
      <c r="E134" s="697"/>
      <c r="F134" s="697"/>
      <c r="G134" s="723"/>
      <c r="H134" s="723"/>
      <c r="I134" s="723"/>
      <c r="J134" s="723"/>
      <c r="K134" s="723"/>
      <c r="L134" s="723"/>
      <c r="M134" s="724"/>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1" priority="14" stopIfTrue="1" operator="containsText" text="超过">
      <formula>NOT(ISERROR(SEARCH("超过",F53)))</formula>
    </cfRule>
  </conditionalFormatting>
  <conditionalFormatting sqref="J55">
    <cfRule type="containsText" dxfId="140" priority="13" stopIfTrue="1" operator="containsText" text="超过">
      <formula>NOT(ISERROR(SEARCH("超过",J55)))</formula>
    </cfRule>
  </conditionalFormatting>
  <conditionalFormatting sqref="H55">
    <cfRule type="containsText" dxfId="139" priority="12" stopIfTrue="1" operator="containsText" text="超过">
      <formula>NOT(ISERROR(SEARCH("超过",H55)))</formula>
    </cfRule>
  </conditionalFormatting>
  <conditionalFormatting sqref="F55">
    <cfRule type="containsText" dxfId="138" priority="11" stopIfTrue="1" operator="containsText" text="超过">
      <formula>NOT(ISERROR(SEARCH("超过",F55)))</formula>
    </cfRule>
  </conditionalFormatting>
  <conditionalFormatting sqref="F54 H54 J54">
    <cfRule type="containsText" dxfId="137" priority="10" stopIfTrue="1" operator="containsText" text="超过">
      <formula>NOT(ISERROR(SEARCH("超过",F54)))</formula>
    </cfRule>
  </conditionalFormatting>
  <conditionalFormatting sqref="E53">
    <cfRule type="expression" dxfId="136" priority="9" stopIfTrue="1">
      <formula>$F$53="超过30%"</formula>
    </cfRule>
  </conditionalFormatting>
  <conditionalFormatting sqref="G55">
    <cfRule type="expression" dxfId="135" priority="8" stopIfTrue="1">
      <formula>$H$55="超过30%"</formula>
    </cfRule>
  </conditionalFormatting>
  <conditionalFormatting sqref="E54">
    <cfRule type="expression" dxfId="134" priority="7" stopIfTrue="1">
      <formula>$F$54="超过20%"</formula>
    </cfRule>
  </conditionalFormatting>
  <conditionalFormatting sqref="E55">
    <cfRule type="expression" dxfId="133" priority="6" stopIfTrue="1">
      <formula>$F$55="超过30%"</formula>
    </cfRule>
  </conditionalFormatting>
  <conditionalFormatting sqref="G53">
    <cfRule type="expression" dxfId="132" priority="5" stopIfTrue="1">
      <formula>$H$55+$H$53="超过30%"</formula>
    </cfRule>
  </conditionalFormatting>
  <conditionalFormatting sqref="G54">
    <cfRule type="expression" dxfId="131" priority="4" stopIfTrue="1">
      <formula>$H$54="超过20%"</formula>
    </cfRule>
  </conditionalFormatting>
  <conditionalFormatting sqref="I53">
    <cfRule type="expression" dxfId="130" priority="3" stopIfTrue="1">
      <formula>$J$53="超过30%"</formula>
    </cfRule>
  </conditionalFormatting>
  <conditionalFormatting sqref="I54">
    <cfRule type="expression" dxfId="129" priority="2" stopIfTrue="1">
      <formula>$J$54="超过20%"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467</v>
      </c>
      <c r="B2" s="505"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c r="A3" s="1378" t="s">
        <v>1686</v>
      </c>
      <c r="B3" s="507"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5"/>
      <c r="AC3" s="425"/>
    </row>
    <row r="4" spans="1:29" s="1333" customFormat="1" ht="28.5" customHeight="1">
      <c r="A4" s="508" t="s">
        <v>520</v>
      </c>
      <c r="B4" s="424"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5"/>
    </row>
    <row r="5" spans="1:29" s="1333" customFormat="1" ht="28.5" customHeight="1" thickBot="1">
      <c r="A5" s="426"/>
      <c r="B5" s="427" t="e">
        <f>ROUND(B2/('数据-汇总表'!D3/666.67),0)</f>
        <v>#DIV/0!</v>
      </c>
      <c r="C5" s="428"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5"/>
    </row>
    <row r="6" spans="1:29" ht="15">
      <c r="A6" s="509" t="s">
        <v>521</v>
      </c>
      <c r="B6" s="510"/>
      <c r="C6" s="3468" t="s">
        <v>522</v>
      </c>
      <c r="D6" s="3469"/>
      <c r="E6" s="3502" t="s">
        <v>523</v>
      </c>
      <c r="F6" s="3503"/>
      <c r="G6" s="3468" t="s">
        <v>524</v>
      </c>
      <c r="H6" s="3469"/>
      <c r="I6" s="3468" t="s">
        <v>525</v>
      </c>
      <c r="J6" s="3469"/>
      <c r="K6" s="511" t="s">
        <v>526</v>
      </c>
      <c r="L6" s="2132"/>
      <c r="M6" s="2133"/>
      <c r="N6" s="2133"/>
      <c r="O6" s="2133"/>
      <c r="P6" s="3470" t="s">
        <v>527</v>
      </c>
      <c r="Q6" s="3471"/>
      <c r="R6" s="3476" t="s">
        <v>523</v>
      </c>
      <c r="S6" s="3477"/>
      <c r="T6" s="3476" t="s">
        <v>524</v>
      </c>
      <c r="U6" s="3477"/>
      <c r="V6" s="3463" t="s">
        <v>525</v>
      </c>
      <c r="W6" s="3463"/>
      <c r="X6" s="1565"/>
      <c r="Y6" s="3476" t="s">
        <v>527</v>
      </c>
      <c r="Z6" s="3477"/>
      <c r="AA6" s="3465" t="s">
        <v>523</v>
      </c>
      <c r="AB6" s="3466" t="s">
        <v>524</v>
      </c>
      <c r="AC6" s="3465" t="s">
        <v>525</v>
      </c>
    </row>
    <row r="7" spans="1:29" ht="15">
      <c r="A7" s="512"/>
      <c r="B7" s="513"/>
      <c r="C7" s="3484" t="s">
        <v>2933</v>
      </c>
      <c r="D7" s="3485"/>
      <c r="E7" s="3504" t="s">
        <v>2934</v>
      </c>
      <c r="F7" s="3505"/>
      <c r="G7" s="3484" t="s">
        <v>2935</v>
      </c>
      <c r="H7" s="3485"/>
      <c r="I7" s="3484" t="s">
        <v>2936</v>
      </c>
      <c r="J7" s="3485"/>
      <c r="K7" s="511"/>
      <c r="L7" s="2132"/>
      <c r="M7" s="2133"/>
      <c r="N7" s="2133"/>
      <c r="O7" s="2133"/>
      <c r="P7" s="3472"/>
      <c r="Q7" s="3473"/>
      <c r="R7" s="3478"/>
      <c r="S7" s="3479"/>
      <c r="T7" s="3478"/>
      <c r="U7" s="3479"/>
      <c r="V7" s="3463"/>
      <c r="W7" s="3463"/>
      <c r="X7" s="1565"/>
      <c r="Y7" s="3478"/>
      <c r="Z7" s="3479"/>
      <c r="AA7" s="3466"/>
      <c r="AB7" s="3466"/>
      <c r="AC7" s="3466"/>
    </row>
    <row r="8" spans="1:29" ht="15.75" thickBot="1">
      <c r="A8" s="514"/>
      <c r="B8" s="515"/>
      <c r="C8" s="3482" t="s">
        <v>2937</v>
      </c>
      <c r="D8" s="3483"/>
      <c r="E8" s="3500" t="s">
        <v>2937</v>
      </c>
      <c r="F8" s="3501"/>
      <c r="G8" s="3482" t="s">
        <v>2937</v>
      </c>
      <c r="H8" s="3483"/>
      <c r="I8" s="3482" t="s">
        <v>2937</v>
      </c>
      <c r="J8" s="3483"/>
      <c r="K8" s="511" t="s">
        <v>528</v>
      </c>
      <c r="L8" s="2132"/>
      <c r="M8" s="2133"/>
      <c r="N8" s="2133"/>
      <c r="O8" s="2133"/>
      <c r="P8" s="3474"/>
      <c r="Q8" s="3475"/>
      <c r="R8" s="3478"/>
      <c r="S8" s="3479"/>
      <c r="T8" s="3480"/>
      <c r="U8" s="3481"/>
      <c r="V8" s="3463"/>
      <c r="W8" s="3463"/>
      <c r="X8" s="1565"/>
      <c r="Y8" s="3480"/>
      <c r="Z8" s="3481"/>
      <c r="AA8" s="3467"/>
      <c r="AB8" s="3467"/>
      <c r="AC8" s="3467"/>
    </row>
    <row r="9" spans="1:29" s="1217" customFormat="1" ht="15.75" thickBot="1">
      <c r="A9" s="2909"/>
      <c r="B9" s="2916" t="s">
        <v>529</v>
      </c>
      <c r="C9" s="516">
        <f>'数据-取费表'!B2</f>
        <v>43650</v>
      </c>
      <c r="D9" s="517">
        <v>100</v>
      </c>
      <c r="E9" s="518"/>
      <c r="F9" s="519">
        <f>SUMIF(67:67,YEAR(E9)&amp;"-"&amp;INT((MONTH(E9)+2)/3),68:68)</f>
        <v>0</v>
      </c>
      <c r="G9" s="520"/>
      <c r="H9" s="517">
        <f>SUMIF(67:67,YEAR(G9)&amp;"-"&amp;INT((MONTH(G9)+2)/3),68:68)</f>
        <v>0</v>
      </c>
      <c r="I9" s="520"/>
      <c r="J9" s="517">
        <f>SUMIF(67:67,YEAR(I9)&amp;"-"&amp;INT((MONTH(I9)+2)/3),68:68)</f>
        <v>0</v>
      </c>
      <c r="K9" s="521"/>
      <c r="L9" s="2134"/>
      <c r="M9" s="2135"/>
      <c r="N9" s="2135"/>
      <c r="O9" s="2135"/>
      <c r="P9" s="3493" t="s">
        <v>530</v>
      </c>
      <c r="Q9" s="3495"/>
      <c r="R9" s="1566" t="s">
        <v>8</v>
      </c>
      <c r="S9" s="1567">
        <f t="shared" ref="S9:S17" si="0">F9</f>
        <v>0</v>
      </c>
      <c r="T9" s="1566" t="s">
        <v>8</v>
      </c>
      <c r="U9" s="1567">
        <f t="shared" ref="U9:U17" si="1">H9</f>
        <v>0</v>
      </c>
      <c r="V9" s="1566" t="s">
        <v>8</v>
      </c>
      <c r="W9" s="1567">
        <f t="shared" ref="W9:W17" si="2">J9</f>
        <v>0</v>
      </c>
      <c r="X9" s="1568"/>
      <c r="Y9" s="3493" t="s">
        <v>530</v>
      </c>
      <c r="Z9" s="3494"/>
      <c r="AA9" s="1569" t="e">
        <f>D9/F9</f>
        <v>#DIV/0!</v>
      </c>
      <c r="AB9" s="1569" t="e">
        <f>D9/H9</f>
        <v>#DIV/0!</v>
      </c>
      <c r="AC9" s="1569" t="e">
        <f>D9/J9</f>
        <v>#DIV/0!</v>
      </c>
    </row>
    <row r="10" spans="1:29" s="1217" customFormat="1" ht="15.75" thickBot="1">
      <c r="A10" s="2910"/>
      <c r="B10" s="2917"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4"/>
      <c r="M10" s="2135"/>
      <c r="N10" s="2135"/>
      <c r="O10" s="2135"/>
      <c r="P10" s="3493" t="s">
        <v>533</v>
      </c>
      <c r="Q10" s="3494"/>
      <c r="R10" s="1566" t="s">
        <v>8</v>
      </c>
      <c r="S10" s="1567">
        <f t="shared" si="0"/>
        <v>0</v>
      </c>
      <c r="T10" s="1566" t="s">
        <v>8</v>
      </c>
      <c r="U10" s="1567">
        <f t="shared" si="1"/>
        <v>0</v>
      </c>
      <c r="V10" s="1566" t="s">
        <v>8</v>
      </c>
      <c r="W10" s="1567">
        <f t="shared" si="2"/>
        <v>0</v>
      </c>
      <c r="X10" s="1568"/>
      <c r="Y10" s="3493" t="s">
        <v>533</v>
      </c>
      <c r="Z10" s="3494"/>
      <c r="AA10" s="1569" t="e">
        <f t="shared" ref="AA10:AA42" si="3">D10/F10</f>
        <v>#DIV/0!</v>
      </c>
      <c r="AB10" s="1569" t="e">
        <f t="shared" ref="AB10:AB42" si="4">D10/H10</f>
        <v>#DIV/0!</v>
      </c>
      <c r="AC10" s="1569" t="e">
        <f t="shared" ref="AC10:AC42" si="5">D10/J10</f>
        <v>#DIV/0!</v>
      </c>
    </row>
    <row r="11" spans="1:29" s="1217" customFormat="1" ht="15">
      <c r="A11" s="2911"/>
      <c r="B11" s="2918" t="s">
        <v>2759</v>
      </c>
      <c r="C11" s="523"/>
      <c r="D11" s="254">
        <v>100</v>
      </c>
      <c r="E11" s="523"/>
      <c r="F11" s="254">
        <f>SUMIF(72:72,E11,73:73)-SUMIF(72:72,C11,73:73)+100</f>
        <v>100</v>
      </c>
      <c r="G11" s="523"/>
      <c r="H11" s="254">
        <f>SUMIF(72:72,G11,73:73)-SUMIF(72:72,C11,73:73)+100</f>
        <v>100</v>
      </c>
      <c r="I11" s="523"/>
      <c r="J11" s="254">
        <f>SUMIF(72:72,I11,73:73)-SUMIF(72:72,C11,73:73)+100</f>
        <v>100</v>
      </c>
      <c r="K11" s="521"/>
      <c r="L11" s="2134"/>
      <c r="M11" s="2135"/>
      <c r="N11" s="2135"/>
      <c r="O11" s="2136"/>
      <c r="P11" s="3462" t="s">
        <v>535</v>
      </c>
      <c r="Q11" s="1148" t="str">
        <f t="shared" ref="Q11:Q17" si="6">B11</f>
        <v>用途</v>
      </c>
      <c r="R11" s="1566" t="s">
        <v>8</v>
      </c>
      <c r="S11" s="1567">
        <f t="shared" si="0"/>
        <v>100</v>
      </c>
      <c r="T11" s="1566" t="s">
        <v>8</v>
      </c>
      <c r="U11" s="1567">
        <f t="shared" si="1"/>
        <v>100</v>
      </c>
      <c r="V11" s="1566" t="s">
        <v>8</v>
      </c>
      <c r="W11" s="1567">
        <f t="shared" si="2"/>
        <v>100</v>
      </c>
      <c r="X11" s="1568"/>
      <c r="Y11" s="3383" t="s">
        <v>536</v>
      </c>
      <c r="Z11" s="1147" t="str">
        <f t="shared" ref="Z11:Z17" si="7">Q11</f>
        <v>用途</v>
      </c>
      <c r="AA11" s="1569">
        <f t="shared" si="3"/>
        <v>1</v>
      </c>
      <c r="AB11" s="1569">
        <f t="shared" si="4"/>
        <v>1</v>
      </c>
      <c r="AC11" s="1569">
        <f t="shared" si="5"/>
        <v>1</v>
      </c>
    </row>
    <row r="12" spans="1:29" s="1335" customFormat="1" ht="27">
      <c r="A12" s="2912"/>
      <c r="B12" s="2917" t="s">
        <v>2760</v>
      </c>
      <c r="C12" s="525"/>
      <c r="D12" s="255">
        <v>100</v>
      </c>
      <c r="E12" s="525"/>
      <c r="F12" s="255">
        <f>ROUND(100/'数据-取费表'!G16,0)</f>
        <v>100</v>
      </c>
      <c r="G12" s="525"/>
      <c r="H12" s="255">
        <f>ROUND(100/'数据-取费表'!G16,0)</f>
        <v>100</v>
      </c>
      <c r="I12" s="525"/>
      <c r="J12" s="255">
        <f>ROUND(100/'数据-取费表'!G16,0)</f>
        <v>100</v>
      </c>
      <c r="K12" s="528"/>
      <c r="L12" s="2137"/>
      <c r="M12" s="2177"/>
      <c r="N12" s="2177"/>
      <c r="O12" s="2138"/>
      <c r="P12" s="3462"/>
      <c r="Q12" s="1148" t="str">
        <f t="shared" si="6"/>
        <v>土地使用年限（年）</v>
      </c>
      <c r="R12" s="1566" t="s">
        <v>8</v>
      </c>
      <c r="S12" s="1567">
        <f t="shared" si="0"/>
        <v>100</v>
      </c>
      <c r="T12" s="1566" t="s">
        <v>8</v>
      </c>
      <c r="U12" s="1567">
        <f t="shared" si="1"/>
        <v>100</v>
      </c>
      <c r="V12" s="1566" t="s">
        <v>8</v>
      </c>
      <c r="W12" s="1567">
        <f t="shared" si="2"/>
        <v>100</v>
      </c>
      <c r="X12" s="1568"/>
      <c r="Y12" s="3383"/>
      <c r="Z12" s="1147" t="str">
        <f t="shared" si="7"/>
        <v>土地使用年限（年）</v>
      </c>
      <c r="AA12" s="1569">
        <f t="shared" si="3"/>
        <v>1</v>
      </c>
      <c r="AB12" s="1569">
        <f t="shared" si="4"/>
        <v>1</v>
      </c>
      <c r="AC12" s="1569">
        <f t="shared" si="5"/>
        <v>1</v>
      </c>
    </row>
    <row r="13" spans="1:29" ht="15">
      <c r="A13" s="2913"/>
      <c r="B13" s="2917" t="s">
        <v>2761</v>
      </c>
      <c r="C13" s="530"/>
      <c r="D13" s="255">
        <v>100</v>
      </c>
      <c r="E13" s="530"/>
      <c r="F13" s="255" t="e">
        <f>LOOKUP(E13,77:77,78:78)-LOOKUP(C13,77:77,78:78)+100</f>
        <v>#N/A</v>
      </c>
      <c r="G13" s="531"/>
      <c r="H13" s="255" t="e">
        <f>LOOKUP(G13,77:77,78:78)-LOOKUP(C13,77:77,78:78)+100</f>
        <v>#N/A</v>
      </c>
      <c r="I13" s="530"/>
      <c r="J13" s="255" t="e">
        <f>LOOKUP(I13,77:77,78:78)-LOOKUP(C13,77:77,78:78)+100</f>
        <v>#N/A</v>
      </c>
      <c r="K13" s="532"/>
      <c r="L13" s="2139"/>
      <c r="M13" s="2133"/>
      <c r="N13" s="2133"/>
      <c r="O13" s="2140"/>
      <c r="P13" s="3462"/>
      <c r="Q13" s="1148" t="str">
        <f t="shared" si="6"/>
        <v>容积率</v>
      </c>
      <c r="R13" s="1566" t="s">
        <v>8</v>
      </c>
      <c r="S13" s="1567" t="e">
        <f t="shared" si="0"/>
        <v>#N/A</v>
      </c>
      <c r="T13" s="1566" t="s">
        <v>8</v>
      </c>
      <c r="U13" s="1567" t="e">
        <f t="shared" si="1"/>
        <v>#N/A</v>
      </c>
      <c r="V13" s="1566" t="s">
        <v>8</v>
      </c>
      <c r="W13" s="1567" t="e">
        <f t="shared" si="2"/>
        <v>#N/A</v>
      </c>
      <c r="X13" s="1568"/>
      <c r="Y13" s="3383"/>
      <c r="Z13" s="1147" t="str">
        <f t="shared" si="7"/>
        <v>容积率</v>
      </c>
      <c r="AA13" s="1569" t="e">
        <f t="shared" si="3"/>
        <v>#N/A</v>
      </c>
      <c r="AB13" s="1569" t="e">
        <f t="shared" si="4"/>
        <v>#N/A</v>
      </c>
      <c r="AC13" s="1569" t="e">
        <f t="shared" si="5"/>
        <v>#N/A</v>
      </c>
    </row>
    <row r="14" spans="1:29" s="1217" customFormat="1" ht="15">
      <c r="A14" s="2914"/>
      <c r="B14" s="2920">
        <v>111</v>
      </c>
      <c r="C14" s="525"/>
      <c r="D14" s="535">
        <v>100</v>
      </c>
      <c r="E14" s="538"/>
      <c r="F14" s="255">
        <f>SUMIF(79:79,E14,80:80)-SUMIF(79:79,C14,80:80)+100</f>
        <v>100</v>
      </c>
      <c r="G14" s="539"/>
      <c r="H14" s="255">
        <f>SUMIF(79:79,G14,80:80)-SUMIF(79:79,C14,80:80)+100</f>
        <v>100</v>
      </c>
      <c r="I14" s="538"/>
      <c r="J14" s="255">
        <f>SUMIF(79:79,I14,80:80)-SUMIF(79:79,C14,80:80)+100</f>
        <v>100</v>
      </c>
      <c r="K14" s="528"/>
      <c r="L14" s="2134"/>
      <c r="M14" s="2135"/>
      <c r="N14" s="2135"/>
      <c r="O14" s="2136"/>
      <c r="P14" s="3462"/>
      <c r="Q14" s="1148">
        <f t="shared" si="6"/>
        <v>111</v>
      </c>
      <c r="R14" s="1566" t="s">
        <v>8</v>
      </c>
      <c r="S14" s="1567">
        <f t="shared" si="0"/>
        <v>100</v>
      </c>
      <c r="T14" s="1566" t="s">
        <v>8</v>
      </c>
      <c r="U14" s="1567">
        <f t="shared" si="1"/>
        <v>100</v>
      </c>
      <c r="V14" s="1566" t="s">
        <v>8</v>
      </c>
      <c r="W14" s="1567">
        <f t="shared" si="2"/>
        <v>100</v>
      </c>
      <c r="X14" s="1568"/>
      <c r="Y14" s="3383"/>
      <c r="Z14" s="1147">
        <f t="shared" si="7"/>
        <v>111</v>
      </c>
      <c r="AA14" s="1569">
        <f>D14/F14</f>
        <v>1</v>
      </c>
      <c r="AB14" s="1569">
        <f>D14/H14</f>
        <v>1</v>
      </c>
      <c r="AC14" s="1569">
        <f>D14/J14</f>
        <v>1</v>
      </c>
    </row>
    <row r="15" spans="1:29" ht="15">
      <c r="A15" s="2914"/>
      <c r="B15" s="2920">
        <v>111</v>
      </c>
      <c r="C15" s="536"/>
      <c r="D15" s="537">
        <v>100</v>
      </c>
      <c r="E15" s="538"/>
      <c r="F15" s="255">
        <f>SUMIF(81:81,E15,82:82)-SUMIF(81:81,C15,82:82)+100</f>
        <v>100</v>
      </c>
      <c r="G15" s="539"/>
      <c r="H15" s="537">
        <f>SUMIF(81:81,G15,82:82)-SUMIF(81:81,C15,82:82)+100</f>
        <v>100</v>
      </c>
      <c r="I15" s="538"/>
      <c r="J15" s="537">
        <f>SUMIF(81:81,I15,82:82)-SUMIF(81:81,C15,82:82)+100</f>
        <v>100</v>
      </c>
      <c r="K15" s="528"/>
      <c r="L15" s="2141"/>
      <c r="M15" s="2133"/>
      <c r="N15" s="2133"/>
      <c r="O15" s="2140"/>
      <c r="P15" s="3462"/>
      <c r="Q15" s="1148">
        <f t="shared" si="6"/>
        <v>111</v>
      </c>
      <c r="R15" s="1566" t="s">
        <v>8</v>
      </c>
      <c r="S15" s="1567">
        <f t="shared" si="0"/>
        <v>100</v>
      </c>
      <c r="T15" s="1566" t="s">
        <v>8</v>
      </c>
      <c r="U15" s="1567">
        <f t="shared" si="1"/>
        <v>100</v>
      </c>
      <c r="V15" s="1566" t="s">
        <v>8</v>
      </c>
      <c r="W15" s="1567">
        <f t="shared" si="2"/>
        <v>100</v>
      </c>
      <c r="X15" s="1568"/>
      <c r="Y15" s="3383"/>
      <c r="Z15" s="1147">
        <f t="shared" si="7"/>
        <v>111</v>
      </c>
      <c r="AA15" s="1569">
        <f t="shared" si="3"/>
        <v>1</v>
      </c>
      <c r="AB15" s="1569">
        <f t="shared" si="4"/>
        <v>1</v>
      </c>
      <c r="AC15" s="1569">
        <f t="shared" si="5"/>
        <v>1</v>
      </c>
    </row>
    <row r="16" spans="1:29" ht="15.75" thickBot="1">
      <c r="A16" s="2915"/>
      <c r="B16" s="2921">
        <v>111</v>
      </c>
      <c r="C16" s="542"/>
      <c r="D16" s="543">
        <v>100</v>
      </c>
      <c r="E16" s="538"/>
      <c r="F16" s="543">
        <f>SUMIF(83:83,E16,84:84)-SUMIF(83:83,C16,84:84)+100</f>
        <v>100</v>
      </c>
      <c r="G16" s="539"/>
      <c r="H16" s="543">
        <f>SUMIF(83:83,G16,84:84)-SUMIF(83:83,C16,84:84)+100</f>
        <v>100</v>
      </c>
      <c r="I16" s="538"/>
      <c r="J16" s="543">
        <f>SUMIF(83:83,I16,84:84)-SUMIF(83:83,C16,84:84)+100</f>
        <v>100</v>
      </c>
      <c r="K16" s="528"/>
      <c r="L16" s="2141"/>
      <c r="M16" s="2133"/>
      <c r="N16" s="2133"/>
      <c r="O16" s="2140"/>
      <c r="P16" s="3462"/>
      <c r="Q16" s="1148">
        <f t="shared" si="6"/>
        <v>111</v>
      </c>
      <c r="R16" s="1566" t="s">
        <v>8</v>
      </c>
      <c r="S16" s="1567">
        <f t="shared" si="0"/>
        <v>100</v>
      </c>
      <c r="T16" s="1566" t="s">
        <v>8</v>
      </c>
      <c r="U16" s="1567">
        <f t="shared" si="1"/>
        <v>100</v>
      </c>
      <c r="V16" s="1566" t="s">
        <v>8</v>
      </c>
      <c r="W16" s="1567">
        <f t="shared" si="2"/>
        <v>100</v>
      </c>
      <c r="X16" s="1568"/>
      <c r="Y16" s="3383"/>
      <c r="Z16" s="1147">
        <f t="shared" si="7"/>
        <v>111</v>
      </c>
      <c r="AA16" s="1569">
        <f t="shared" si="3"/>
        <v>1</v>
      </c>
      <c r="AB16" s="1569">
        <f t="shared" si="4"/>
        <v>1</v>
      </c>
      <c r="AC16" s="1569">
        <f t="shared" si="5"/>
        <v>1</v>
      </c>
    </row>
    <row r="17" spans="1:29" ht="57">
      <c r="A17" s="2907" t="s">
        <v>2757</v>
      </c>
      <c r="B17" s="166"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1"/>
      <c r="M17" s="2133"/>
      <c r="N17" s="2133"/>
      <c r="O17" s="2140"/>
      <c r="P17" s="3496" t="s">
        <v>540</v>
      </c>
      <c r="Q17" s="1570" t="str">
        <f t="shared" si="6"/>
        <v>产业集聚程度</v>
      </c>
      <c r="R17" s="1571" t="s">
        <v>8</v>
      </c>
      <c r="S17" s="1572">
        <f t="shared" si="0"/>
        <v>100</v>
      </c>
      <c r="T17" s="1571" t="s">
        <v>8</v>
      </c>
      <c r="U17" s="1572">
        <f t="shared" si="1"/>
        <v>100</v>
      </c>
      <c r="V17" s="1571" t="s">
        <v>8</v>
      </c>
      <c r="W17" s="1572">
        <f t="shared" si="2"/>
        <v>100</v>
      </c>
      <c r="X17" s="1565"/>
      <c r="Y17" s="3496" t="s">
        <v>540</v>
      </c>
      <c r="Z17" s="1573" t="str">
        <f t="shared" si="7"/>
        <v>产业集聚程度</v>
      </c>
      <c r="AA17" s="1574">
        <f t="shared" si="3"/>
        <v>1</v>
      </c>
      <c r="AB17" s="1574">
        <f t="shared" si="4"/>
        <v>1</v>
      </c>
      <c r="AC17" s="1574">
        <f t="shared" si="5"/>
        <v>1</v>
      </c>
    </row>
    <row r="18" spans="1:29" ht="15">
      <c r="A18" s="529"/>
      <c r="B18" s="866"/>
      <c r="C18" s="573"/>
      <c r="D18" s="552"/>
      <c r="E18" s="551"/>
      <c r="F18" s="552"/>
      <c r="G18" s="551"/>
      <c r="H18" s="556"/>
      <c r="I18" s="551"/>
      <c r="J18" s="552"/>
      <c r="K18" s="528"/>
      <c r="L18" s="2141"/>
      <c r="M18" s="2133"/>
      <c r="N18" s="2133"/>
      <c r="O18" s="2140"/>
      <c r="P18" s="3497"/>
      <c r="Q18" s="1570"/>
      <c r="R18" s="1571"/>
      <c r="S18" s="1572"/>
      <c r="T18" s="1571"/>
      <c r="U18" s="1572"/>
      <c r="V18" s="1571"/>
      <c r="W18" s="1572"/>
      <c r="X18" s="1565"/>
      <c r="Y18" s="3497"/>
      <c r="Z18" s="1573"/>
      <c r="AA18" s="1574">
        <v>1</v>
      </c>
      <c r="AB18" s="1574">
        <v>1</v>
      </c>
      <c r="AC18" s="1574">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1"/>
      <c r="M19" s="2133"/>
      <c r="N19" s="2133"/>
      <c r="O19" s="2140"/>
      <c r="P19" s="3497"/>
      <c r="Q19" s="1570" t="str">
        <f>B19</f>
        <v>交通便捷度</v>
      </c>
      <c r="R19" s="1571" t="s">
        <v>8</v>
      </c>
      <c r="S19" s="1572">
        <f>F19</f>
        <v>100</v>
      </c>
      <c r="T19" s="1571" t="s">
        <v>8</v>
      </c>
      <c r="U19" s="1572">
        <f>H19</f>
        <v>100</v>
      </c>
      <c r="V19" s="1571" t="s">
        <v>8</v>
      </c>
      <c r="W19" s="1572">
        <f>J19</f>
        <v>100</v>
      </c>
      <c r="X19" s="1565"/>
      <c r="Y19" s="3497"/>
      <c r="Z19" s="1573" t="str">
        <f>Q19</f>
        <v>交通便捷度</v>
      </c>
      <c r="AA19" s="1574">
        <f t="shared" si="3"/>
        <v>1</v>
      </c>
      <c r="AB19" s="1574">
        <f t="shared" si="4"/>
        <v>1</v>
      </c>
      <c r="AC19" s="1574">
        <f t="shared" si="5"/>
        <v>1</v>
      </c>
    </row>
    <row r="20" spans="1:29" ht="15">
      <c r="A20" s="529"/>
      <c r="B20" s="919"/>
      <c r="C20" s="573"/>
      <c r="D20" s="552"/>
      <c r="E20" s="553"/>
      <c r="F20" s="552"/>
      <c r="G20" s="553"/>
      <c r="H20" s="552"/>
      <c r="I20" s="555"/>
      <c r="J20" s="552"/>
      <c r="K20" s="528"/>
      <c r="L20" s="2141"/>
      <c r="M20" s="2133"/>
      <c r="N20" s="2133"/>
      <c r="O20" s="2140"/>
      <c r="P20" s="3497"/>
      <c r="Q20" s="1570"/>
      <c r="R20" s="1571"/>
      <c r="S20" s="1572"/>
      <c r="T20" s="1571"/>
      <c r="U20" s="1572"/>
      <c r="V20" s="1571"/>
      <c r="W20" s="1572"/>
      <c r="X20" s="1565"/>
      <c r="Y20" s="3497"/>
      <c r="Z20" s="1573"/>
      <c r="AA20" s="1574">
        <v>1</v>
      </c>
      <c r="AB20" s="1574">
        <v>1</v>
      </c>
      <c r="AC20" s="1574">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41"/>
      <c r="M21" s="2133"/>
      <c r="N21" s="2133"/>
      <c r="O21" s="2140"/>
      <c r="P21" s="3497"/>
      <c r="Q21" s="1570" t="str">
        <f t="shared" ref="Q21:Q35" si="8">B21</f>
        <v>区域土地利用方向</v>
      </c>
      <c r="R21" s="1571" t="s">
        <v>8</v>
      </c>
      <c r="S21" s="1572">
        <f>F21</f>
        <v>100</v>
      </c>
      <c r="T21" s="1571" t="s">
        <v>8</v>
      </c>
      <c r="U21" s="1572">
        <f>H21</f>
        <v>100</v>
      </c>
      <c r="V21" s="1571" t="s">
        <v>8</v>
      </c>
      <c r="W21" s="1572">
        <f>J21</f>
        <v>100</v>
      </c>
      <c r="X21" s="1565"/>
      <c r="Y21" s="3497"/>
      <c r="Z21" s="1573" t="str">
        <f>Q21</f>
        <v>区域土地利用方向</v>
      </c>
      <c r="AA21" s="1574">
        <f t="shared" si="3"/>
        <v>1</v>
      </c>
      <c r="AB21" s="1574">
        <f t="shared" si="4"/>
        <v>1</v>
      </c>
      <c r="AC21" s="1574">
        <f t="shared" si="5"/>
        <v>1</v>
      </c>
    </row>
    <row r="22" spans="1:29" ht="15">
      <c r="A22" s="512"/>
      <c r="B22" s="592"/>
      <c r="C22" s="573"/>
      <c r="D22" s="552"/>
      <c r="E22" s="553"/>
      <c r="F22" s="554"/>
      <c r="G22" s="555"/>
      <c r="H22" s="554"/>
      <c r="I22" s="555"/>
      <c r="J22" s="554"/>
      <c r="K22" s="1345"/>
      <c r="L22" s="2141"/>
      <c r="M22" s="2133"/>
      <c r="N22" s="2133"/>
      <c r="O22" s="2140"/>
      <c r="P22" s="3497"/>
      <c r="Q22" s="1570"/>
      <c r="R22" s="1571"/>
      <c r="S22" s="1572"/>
      <c r="T22" s="1571"/>
      <c r="U22" s="1572"/>
      <c r="V22" s="1571"/>
      <c r="W22" s="1572"/>
      <c r="X22" s="1565"/>
      <c r="Y22" s="3497"/>
      <c r="Z22" s="1573"/>
      <c r="AA22" s="1574"/>
      <c r="AB22" s="1574"/>
      <c r="AC22" s="1574"/>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1"/>
      <c r="M23" s="2133"/>
      <c r="N23" s="2133"/>
      <c r="O23" s="2140"/>
      <c r="P23" s="3497"/>
      <c r="Q23" s="1570" t="str">
        <f t="shared" si="8"/>
        <v>环境状况</v>
      </c>
      <c r="R23" s="1571" t="s">
        <v>8</v>
      </c>
      <c r="S23" s="1572">
        <f>F23</f>
        <v>100</v>
      </c>
      <c r="T23" s="1571" t="s">
        <v>8</v>
      </c>
      <c r="U23" s="1572">
        <f>H23</f>
        <v>100</v>
      </c>
      <c r="V23" s="1571" t="s">
        <v>8</v>
      </c>
      <c r="W23" s="1572">
        <f>J23</f>
        <v>100</v>
      </c>
      <c r="X23" s="1565"/>
      <c r="Y23" s="3497"/>
      <c r="Z23" s="1573" t="str">
        <f>Q23</f>
        <v>环境状况</v>
      </c>
      <c r="AA23" s="1574">
        <f t="shared" si="3"/>
        <v>1</v>
      </c>
      <c r="AB23" s="1574">
        <f t="shared" si="4"/>
        <v>1</v>
      </c>
      <c r="AC23" s="1574">
        <f t="shared" si="5"/>
        <v>1</v>
      </c>
    </row>
    <row r="24" spans="1:29" ht="15">
      <c r="A24" s="512"/>
      <c r="B24" s="592"/>
      <c r="C24" s="573"/>
      <c r="D24" s="552"/>
      <c r="E24" s="551"/>
      <c r="F24" s="552"/>
      <c r="G24" s="551"/>
      <c r="H24" s="552"/>
      <c r="I24" s="573"/>
      <c r="J24" s="552"/>
      <c r="K24" s="528"/>
      <c r="L24" s="2141"/>
      <c r="M24" s="2133"/>
      <c r="N24" s="2133"/>
      <c r="O24" s="2140"/>
      <c r="P24" s="3497"/>
      <c r="Q24" s="1570"/>
      <c r="R24" s="1571"/>
      <c r="S24" s="1572"/>
      <c r="T24" s="1571"/>
      <c r="U24" s="1572"/>
      <c r="V24" s="1571"/>
      <c r="W24" s="1572"/>
      <c r="X24" s="1565"/>
      <c r="Y24" s="3497"/>
      <c r="Z24" s="1573"/>
      <c r="AA24" s="1574">
        <v>1</v>
      </c>
      <c r="AB24" s="1574">
        <v>1</v>
      </c>
      <c r="AC24" s="1574">
        <v>1</v>
      </c>
    </row>
    <row r="25" spans="1:29" s="1217" customFormat="1" ht="42.75">
      <c r="A25" s="574"/>
      <c r="B25" s="2592" t="s">
        <v>2551</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4"/>
      <c r="M25" s="2135"/>
      <c r="N25" s="2135"/>
      <c r="O25" s="2136"/>
      <c r="P25" s="3497"/>
      <c r="Q25" s="1148" t="str">
        <f t="shared" si="8"/>
        <v>公共配套设施</v>
      </c>
      <c r="R25" s="1566" t="s">
        <v>8</v>
      </c>
      <c r="S25" s="1567">
        <f>F25</f>
        <v>100</v>
      </c>
      <c r="T25" s="1566" t="s">
        <v>8</v>
      </c>
      <c r="U25" s="1567">
        <f>H25</f>
        <v>100</v>
      </c>
      <c r="V25" s="1566" t="s">
        <v>8</v>
      </c>
      <c r="W25" s="1567">
        <f>J25</f>
        <v>100</v>
      </c>
      <c r="X25" s="1568"/>
      <c r="Y25" s="3497"/>
      <c r="Z25" s="1147" t="str">
        <f>Q25</f>
        <v>公共配套设施</v>
      </c>
      <c r="AA25" s="1574">
        <f>D25/F25</f>
        <v>1</v>
      </c>
      <c r="AB25" s="1574">
        <f>D25/H25</f>
        <v>1</v>
      </c>
      <c r="AC25" s="1574">
        <f>D25/J25</f>
        <v>1</v>
      </c>
    </row>
    <row r="26" spans="1:29" s="1217" customFormat="1" ht="15">
      <c r="A26" s="574"/>
      <c r="B26" s="592"/>
      <c r="C26" s="2591"/>
      <c r="D26" s="552"/>
      <c r="E26" s="551"/>
      <c r="F26" s="552"/>
      <c r="G26" s="551"/>
      <c r="H26" s="552"/>
      <c r="I26" s="573"/>
      <c r="J26" s="552"/>
      <c r="K26" s="528"/>
      <c r="L26" s="2134"/>
      <c r="M26" s="2135"/>
      <c r="N26" s="2135"/>
      <c r="O26" s="2136"/>
      <c r="P26" s="3497"/>
      <c r="Q26" s="1148"/>
      <c r="R26" s="1566"/>
      <c r="S26" s="1567"/>
      <c r="T26" s="1566"/>
      <c r="U26" s="1567"/>
      <c r="V26" s="1566"/>
      <c r="W26" s="1567"/>
      <c r="X26" s="1568"/>
      <c r="Y26" s="3497"/>
      <c r="Z26" s="1147"/>
      <c r="AA26" s="1569">
        <v>1</v>
      </c>
      <c r="AB26" s="1569">
        <v>1</v>
      </c>
      <c r="AC26" s="1569">
        <v>1</v>
      </c>
    </row>
    <row r="27" spans="1:29" s="1217" customFormat="1" ht="28.5">
      <c r="A27" s="574"/>
      <c r="B27" s="2592" t="s">
        <v>2552</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4"/>
      <c r="M27" s="2135"/>
      <c r="N27" s="2135"/>
      <c r="O27" s="2136"/>
      <c r="P27" s="3497"/>
      <c r="Q27" s="2577" t="str">
        <f t="shared" ref="Q27" si="9">B27</f>
        <v>基础设施水平</v>
      </c>
      <c r="R27" s="1566" t="s">
        <v>8</v>
      </c>
      <c r="S27" s="1567">
        <f>F27</f>
        <v>100</v>
      </c>
      <c r="T27" s="1566" t="s">
        <v>8</v>
      </c>
      <c r="U27" s="1567">
        <f>H27</f>
        <v>100</v>
      </c>
      <c r="V27" s="1566" t="s">
        <v>8</v>
      </c>
      <c r="W27" s="1567">
        <f>J27</f>
        <v>100</v>
      </c>
      <c r="X27" s="1568"/>
      <c r="Y27" s="3497"/>
      <c r="Z27" s="2574" t="str">
        <f>Q27</f>
        <v>基础设施水平</v>
      </c>
      <c r="AA27" s="1574">
        <f>D27/F27</f>
        <v>1</v>
      </c>
      <c r="AB27" s="1574">
        <f>D27/H27</f>
        <v>1</v>
      </c>
      <c r="AC27" s="1574">
        <f>D27/J27</f>
        <v>1</v>
      </c>
    </row>
    <row r="28" spans="1:29" s="1217" customFormat="1" ht="15">
      <c r="A28" s="574"/>
      <c r="B28" s="592"/>
      <c r="C28" s="2591"/>
      <c r="D28" s="552"/>
      <c r="E28" s="576"/>
      <c r="F28" s="552"/>
      <c r="G28" s="576"/>
      <c r="H28" s="552"/>
      <c r="I28" s="576"/>
      <c r="J28" s="552"/>
      <c r="K28" s="528"/>
      <c r="L28" s="2134"/>
      <c r="M28" s="2135"/>
      <c r="N28" s="2135"/>
      <c r="O28" s="2136"/>
      <c r="P28" s="3497"/>
      <c r="Q28" s="2577"/>
      <c r="R28" s="1566"/>
      <c r="S28" s="1567"/>
      <c r="T28" s="1566"/>
      <c r="U28" s="1567"/>
      <c r="V28" s="1566"/>
      <c r="W28" s="1567"/>
      <c r="X28" s="1568"/>
      <c r="Y28" s="3497"/>
      <c r="Z28" s="2574"/>
      <c r="AA28" s="1569">
        <v>1</v>
      </c>
      <c r="AB28" s="1569">
        <v>1</v>
      </c>
      <c r="AC28" s="1569">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41"/>
      <c r="M29" s="2133"/>
      <c r="N29" s="2133"/>
      <c r="O29" s="2140"/>
      <c r="P29" s="3497"/>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97"/>
      <c r="Z29" s="1573" t="str">
        <f t="shared" ref="Z29:Z42" si="13">Q29</f>
        <v>临街状况</v>
      </c>
      <c r="AA29" s="1574">
        <f t="shared" si="3"/>
        <v>1</v>
      </c>
      <c r="AB29" s="1574">
        <f t="shared" si="4"/>
        <v>1</v>
      </c>
      <c r="AC29" s="1574">
        <f t="shared" si="5"/>
        <v>1</v>
      </c>
    </row>
    <row r="30" spans="1:29" ht="27">
      <c r="A30" s="529"/>
      <c r="B30" s="919" t="s">
        <v>548</v>
      </c>
      <c r="C30" s="259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1"/>
      <c r="M30" s="2133"/>
      <c r="N30" s="2133"/>
      <c r="O30" s="2140"/>
      <c r="P30" s="3497"/>
      <c r="Q30" s="1570" t="str">
        <f t="shared" si="8"/>
        <v>毗邻道路的类型与等级</v>
      </c>
      <c r="R30" s="1571" t="s">
        <v>8</v>
      </c>
      <c r="S30" s="1572">
        <f t="shared" si="10"/>
        <v>100</v>
      </c>
      <c r="T30" s="1571" t="s">
        <v>8</v>
      </c>
      <c r="U30" s="1572">
        <f t="shared" si="11"/>
        <v>100</v>
      </c>
      <c r="V30" s="1571" t="s">
        <v>8</v>
      </c>
      <c r="W30" s="1572">
        <f t="shared" si="12"/>
        <v>100</v>
      </c>
      <c r="X30" s="1565"/>
      <c r="Y30" s="3497"/>
      <c r="Z30" s="1573" t="str">
        <f t="shared" si="13"/>
        <v>毗邻道路的类型与等级</v>
      </c>
      <c r="AA30" s="1574">
        <f t="shared" si="3"/>
        <v>1</v>
      </c>
      <c r="AB30" s="1574">
        <f t="shared" si="4"/>
        <v>1</v>
      </c>
      <c r="AC30" s="1574">
        <f t="shared" si="5"/>
        <v>1</v>
      </c>
    </row>
    <row r="31" spans="1:29" ht="15">
      <c r="A31" s="529"/>
      <c r="B31" s="592"/>
      <c r="C31" s="573"/>
      <c r="D31" s="552"/>
      <c r="E31" s="573"/>
      <c r="F31" s="552"/>
      <c r="G31" s="573"/>
      <c r="H31" s="552"/>
      <c r="I31" s="573"/>
      <c r="J31" s="552"/>
      <c r="K31" s="578"/>
      <c r="L31" s="2141"/>
      <c r="M31" s="2133"/>
      <c r="N31" s="2133"/>
      <c r="O31" s="2140"/>
      <c r="P31" s="3497"/>
      <c r="Q31" s="1570"/>
      <c r="R31" s="1571"/>
      <c r="S31" s="1572"/>
      <c r="T31" s="1571"/>
      <c r="U31" s="1572"/>
      <c r="V31" s="1571"/>
      <c r="W31" s="1572"/>
      <c r="X31" s="1565"/>
      <c r="Y31" s="3497"/>
      <c r="Z31" s="1573"/>
      <c r="AA31" s="1574">
        <v>1</v>
      </c>
      <c r="AB31" s="1574">
        <v>1</v>
      </c>
      <c r="AC31" s="1574">
        <v>1</v>
      </c>
    </row>
    <row r="32" spans="1:29" ht="15">
      <c r="A32" s="529"/>
      <c r="B32" s="524" t="s">
        <v>549</v>
      </c>
      <c r="C32" s="259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1"/>
      <c r="M32" s="2133"/>
      <c r="N32" s="2133"/>
      <c r="O32" s="2140"/>
      <c r="P32" s="3497"/>
      <c r="Q32" s="1570" t="str">
        <f t="shared" si="8"/>
        <v>土地级别</v>
      </c>
      <c r="R32" s="1571" t="s">
        <v>8</v>
      </c>
      <c r="S32" s="1572">
        <f t="shared" si="10"/>
        <v>100</v>
      </c>
      <c r="T32" s="1571" t="s">
        <v>8</v>
      </c>
      <c r="U32" s="1572">
        <f t="shared" si="11"/>
        <v>100</v>
      </c>
      <c r="V32" s="1571" t="s">
        <v>8</v>
      </c>
      <c r="W32" s="1572">
        <f t="shared" si="12"/>
        <v>100</v>
      </c>
      <c r="X32" s="1565"/>
      <c r="Y32" s="3497"/>
      <c r="Z32" s="1573" t="str">
        <f t="shared" si="13"/>
        <v>土地级别</v>
      </c>
      <c r="AA32" s="1574">
        <f t="shared" si="3"/>
        <v>1</v>
      </c>
      <c r="AB32" s="1574">
        <f t="shared" si="4"/>
        <v>1</v>
      </c>
      <c r="AC32" s="1574">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1"/>
      <c r="M33" s="2133"/>
      <c r="N33" s="2133"/>
      <c r="O33" s="2140"/>
      <c r="P33" s="3497"/>
      <c r="Q33" s="1570">
        <f t="shared" si="8"/>
        <v>111</v>
      </c>
      <c r="R33" s="1571" t="s">
        <v>8</v>
      </c>
      <c r="S33" s="1572">
        <f t="shared" si="10"/>
        <v>100</v>
      </c>
      <c r="T33" s="1571" t="s">
        <v>8</v>
      </c>
      <c r="U33" s="1572">
        <f t="shared" si="11"/>
        <v>100</v>
      </c>
      <c r="V33" s="1571" t="s">
        <v>8</v>
      </c>
      <c r="W33" s="1572">
        <f t="shared" si="12"/>
        <v>100</v>
      </c>
      <c r="X33" s="1565"/>
      <c r="Y33" s="3497"/>
      <c r="Z33" s="1573">
        <f t="shared" si="13"/>
        <v>111</v>
      </c>
      <c r="AA33" s="1574">
        <f t="shared" si="3"/>
        <v>1</v>
      </c>
      <c r="AB33" s="1574">
        <f t="shared" si="4"/>
        <v>1</v>
      </c>
      <c r="AC33" s="1574">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1"/>
      <c r="M34" s="2133"/>
      <c r="N34" s="2133"/>
      <c r="O34" s="2140"/>
      <c r="P34" s="3498" t="s">
        <v>550</v>
      </c>
      <c r="Q34" s="1570">
        <f t="shared" si="8"/>
        <v>111</v>
      </c>
      <c r="R34" s="1571" t="s">
        <v>8</v>
      </c>
      <c r="S34" s="1572">
        <f t="shared" si="10"/>
        <v>100</v>
      </c>
      <c r="T34" s="1571" t="s">
        <v>8</v>
      </c>
      <c r="U34" s="1572">
        <f t="shared" si="11"/>
        <v>100</v>
      </c>
      <c r="V34" s="1571" t="s">
        <v>8</v>
      </c>
      <c r="W34" s="1572">
        <f t="shared" si="12"/>
        <v>100</v>
      </c>
      <c r="X34" s="1565"/>
      <c r="Y34" s="3499" t="s">
        <v>550</v>
      </c>
      <c r="Z34" s="1573">
        <f t="shared" si="13"/>
        <v>111</v>
      </c>
      <c r="AA34" s="1574">
        <f t="shared" si="3"/>
        <v>1</v>
      </c>
      <c r="AB34" s="1574">
        <f t="shared" si="4"/>
        <v>1</v>
      </c>
      <c r="AC34" s="1574">
        <f t="shared" si="5"/>
        <v>1</v>
      </c>
    </row>
    <row r="35" spans="1:29" s="1336" customFormat="1" ht="15.75" thickBot="1">
      <c r="A35" s="586"/>
      <c r="B35" s="2593">
        <v>111</v>
      </c>
      <c r="C35" s="590"/>
      <c r="D35" s="256">
        <v>100</v>
      </c>
      <c r="E35" s="738"/>
      <c r="F35" s="543">
        <f>SUMIF(107:107,E35,108:108)-SUMIF(107:107,C35,108:108)+100</f>
        <v>100</v>
      </c>
      <c r="G35" s="738"/>
      <c r="H35" s="543">
        <f>SUMIF(107:107,G35,108:108)-SUMIF(107:107,C35,108:108)+100</f>
        <v>100</v>
      </c>
      <c r="I35" s="590"/>
      <c r="J35" s="543">
        <f>SUMIF(107:107,I35,108:108)-SUMIF(107:107,C35,108:108)+100</f>
        <v>100</v>
      </c>
      <c r="K35" s="578"/>
      <c r="L35" s="2139"/>
      <c r="M35" s="2170"/>
      <c r="N35" s="2170"/>
      <c r="O35" s="2142"/>
      <c r="P35" s="3499"/>
      <c r="Q35" s="1570">
        <f t="shared" si="8"/>
        <v>111</v>
      </c>
      <c r="R35" s="1575" t="s">
        <v>8</v>
      </c>
      <c r="S35" s="1576">
        <f t="shared" si="10"/>
        <v>100</v>
      </c>
      <c r="T35" s="1575" t="s">
        <v>8</v>
      </c>
      <c r="U35" s="1576">
        <f t="shared" si="11"/>
        <v>100</v>
      </c>
      <c r="V35" s="1575" t="s">
        <v>8</v>
      </c>
      <c r="W35" s="1576">
        <f t="shared" si="12"/>
        <v>100</v>
      </c>
      <c r="X35" s="1577"/>
      <c r="Y35" s="3499"/>
      <c r="Z35" s="1578">
        <f t="shared" si="13"/>
        <v>111</v>
      </c>
      <c r="AA35" s="1574">
        <f t="shared" si="3"/>
        <v>1</v>
      </c>
      <c r="AB35" s="1574">
        <f t="shared" si="4"/>
        <v>1</v>
      </c>
      <c r="AC35" s="1574">
        <f t="shared" si="5"/>
        <v>1</v>
      </c>
    </row>
    <row r="36" spans="1:29" ht="15">
      <c r="A36" s="2904"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1"/>
      <c r="M36" s="2133"/>
      <c r="N36" s="2133"/>
      <c r="O36" s="2140"/>
      <c r="P36" s="3499"/>
      <c r="Q36" s="1570" t="str">
        <f>B36</f>
        <v>宗地面积</v>
      </c>
      <c r="R36" s="1571" t="s">
        <v>8</v>
      </c>
      <c r="S36" s="1572" t="e">
        <f t="shared" si="10"/>
        <v>#N/A</v>
      </c>
      <c r="T36" s="1571" t="s">
        <v>8</v>
      </c>
      <c r="U36" s="1572" t="e">
        <f t="shared" si="11"/>
        <v>#N/A</v>
      </c>
      <c r="V36" s="1571" t="s">
        <v>8</v>
      </c>
      <c r="W36" s="1572" t="e">
        <f t="shared" si="12"/>
        <v>#N/A</v>
      </c>
      <c r="X36" s="1565"/>
      <c r="Y36" s="3499"/>
      <c r="Z36" s="1573" t="str">
        <f t="shared" si="13"/>
        <v>宗地面积</v>
      </c>
      <c r="AA36" s="1574" t="e">
        <f t="shared" si="3"/>
        <v>#N/A</v>
      </c>
      <c r="AB36" s="1574" t="e">
        <f t="shared" si="4"/>
        <v>#N/A</v>
      </c>
      <c r="AC36" s="1574"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1"/>
      <c r="M37" s="2133"/>
      <c r="N37" s="2133"/>
      <c r="O37" s="2140"/>
      <c r="P37" s="3499"/>
      <c r="Q37" s="1570" t="str">
        <f t="shared" ref="Q37:Q42" si="14">B37</f>
        <v>宗地形状</v>
      </c>
      <c r="R37" s="1571" t="s">
        <v>8</v>
      </c>
      <c r="S37" s="1572">
        <f t="shared" si="10"/>
        <v>100</v>
      </c>
      <c r="T37" s="1571" t="s">
        <v>8</v>
      </c>
      <c r="U37" s="1572">
        <f t="shared" si="11"/>
        <v>100</v>
      </c>
      <c r="V37" s="1571" t="s">
        <v>8</v>
      </c>
      <c r="W37" s="1572">
        <f t="shared" si="12"/>
        <v>100</v>
      </c>
      <c r="X37" s="1565"/>
      <c r="Y37" s="3499"/>
      <c r="Z37" s="1573" t="str">
        <f t="shared" si="13"/>
        <v>宗地形状</v>
      </c>
      <c r="AA37" s="1574">
        <f t="shared" si="3"/>
        <v>1</v>
      </c>
      <c r="AB37" s="1574">
        <f t="shared" si="4"/>
        <v>1</v>
      </c>
      <c r="AC37" s="1574">
        <f t="shared" si="5"/>
        <v>1</v>
      </c>
    </row>
    <row r="38" spans="1:29" s="1217" customFormat="1" ht="15">
      <c r="A38" s="597"/>
      <c r="B38" s="1894" t="s">
        <v>2427</v>
      </c>
      <c r="C38" s="598"/>
      <c r="D38" s="255">
        <v>100</v>
      </c>
      <c r="E38" s="598"/>
      <c r="F38" s="537">
        <f>SUMIF(114:114,E38,115:115)-SUMIF(114:114,C38,115:115)+100</f>
        <v>100</v>
      </c>
      <c r="G38" s="598"/>
      <c r="H38" s="537">
        <f>SUMIF(114:114,G38,115:115)-SUMIF(114:114,C38,115:115)+100</f>
        <v>100</v>
      </c>
      <c r="I38" s="598"/>
      <c r="J38" s="537">
        <f>SUMIF(114:114,I38,115:115)-SUMIF(114:114,C38,115:115)+100</f>
        <v>100</v>
      </c>
      <c r="K38" s="581"/>
      <c r="L38" s="2134"/>
      <c r="M38" s="2135"/>
      <c r="N38" s="2135"/>
      <c r="O38" s="2136"/>
      <c r="P38" s="3499"/>
      <c r="Q38" s="1570" t="str">
        <f t="shared" si="14"/>
        <v>宗地开发程度</v>
      </c>
      <c r="R38" s="1566" t="s">
        <v>8</v>
      </c>
      <c r="S38" s="1567">
        <f t="shared" si="10"/>
        <v>100</v>
      </c>
      <c r="T38" s="1566" t="s">
        <v>8</v>
      </c>
      <c r="U38" s="1567">
        <f t="shared" si="11"/>
        <v>100</v>
      </c>
      <c r="V38" s="1566" t="s">
        <v>8</v>
      </c>
      <c r="W38" s="1567">
        <f t="shared" si="12"/>
        <v>100</v>
      </c>
      <c r="X38" s="1568"/>
      <c r="Y38" s="3499"/>
      <c r="Z38" s="1147" t="str">
        <f t="shared" si="13"/>
        <v>宗地开发程度</v>
      </c>
      <c r="AA38" s="1569">
        <f t="shared" si="3"/>
        <v>1</v>
      </c>
      <c r="AB38" s="1569">
        <f t="shared" si="4"/>
        <v>1</v>
      </c>
      <c r="AC38" s="1569">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1"/>
      <c r="M39" s="2133"/>
      <c r="N39" s="2133"/>
      <c r="O39" s="2140"/>
      <c r="P39" s="3499" t="s">
        <v>601</v>
      </c>
      <c r="Q39" s="1570" t="str">
        <f t="shared" si="14"/>
        <v>工程地质条件</v>
      </c>
      <c r="R39" s="1571" t="s">
        <v>8</v>
      </c>
      <c r="S39" s="1572">
        <f t="shared" si="10"/>
        <v>100</v>
      </c>
      <c r="T39" s="1571" t="s">
        <v>8</v>
      </c>
      <c r="U39" s="1572">
        <f t="shared" si="11"/>
        <v>100</v>
      </c>
      <c r="V39" s="1571" t="s">
        <v>8</v>
      </c>
      <c r="W39" s="1572">
        <f t="shared" si="12"/>
        <v>100</v>
      </c>
      <c r="X39" s="1565"/>
      <c r="Y39" s="3499" t="s">
        <v>601</v>
      </c>
      <c r="Z39" s="1573" t="str">
        <f t="shared" si="13"/>
        <v>工程地质条件</v>
      </c>
      <c r="AA39" s="1574">
        <f t="shared" si="3"/>
        <v>1</v>
      </c>
      <c r="AB39" s="1574">
        <f t="shared" si="4"/>
        <v>1</v>
      </c>
      <c r="AC39" s="1574">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1"/>
      <c r="M40" s="2133"/>
      <c r="N40" s="2133"/>
      <c r="O40" s="2140"/>
      <c r="P40" s="3499"/>
      <c r="Q40" s="1570">
        <f t="shared" si="14"/>
        <v>111</v>
      </c>
      <c r="R40" s="1571" t="s">
        <v>8</v>
      </c>
      <c r="S40" s="1572">
        <f t="shared" si="10"/>
        <v>100</v>
      </c>
      <c r="T40" s="1571" t="s">
        <v>8</v>
      </c>
      <c r="U40" s="1572">
        <f t="shared" si="11"/>
        <v>100</v>
      </c>
      <c r="V40" s="1571" t="s">
        <v>8</v>
      </c>
      <c r="W40" s="1572">
        <f t="shared" si="12"/>
        <v>100</v>
      </c>
      <c r="X40" s="1565"/>
      <c r="Y40" s="3499"/>
      <c r="Z40" s="1573">
        <f t="shared" si="13"/>
        <v>111</v>
      </c>
      <c r="AA40" s="1574">
        <f t="shared" si="3"/>
        <v>1</v>
      </c>
      <c r="AB40" s="1574">
        <f t="shared" si="4"/>
        <v>1</v>
      </c>
      <c r="AC40" s="1574">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1"/>
      <c r="M41" s="2133"/>
      <c r="N41" s="2133"/>
      <c r="O41" s="2140"/>
      <c r="P41" s="3499"/>
      <c r="Q41" s="1570">
        <f t="shared" si="14"/>
        <v>111</v>
      </c>
      <c r="R41" s="1571" t="s">
        <v>8</v>
      </c>
      <c r="S41" s="1572">
        <f t="shared" si="10"/>
        <v>100</v>
      </c>
      <c r="T41" s="1571" t="s">
        <v>8</v>
      </c>
      <c r="U41" s="1572">
        <f t="shared" si="11"/>
        <v>100</v>
      </c>
      <c r="V41" s="1571" t="s">
        <v>8</v>
      </c>
      <c r="W41" s="1572">
        <f t="shared" si="12"/>
        <v>100</v>
      </c>
      <c r="X41" s="1565"/>
      <c r="Y41" s="3499"/>
      <c r="Z41" s="1573">
        <f t="shared" si="13"/>
        <v>111</v>
      </c>
      <c r="AA41" s="1574">
        <f t="shared" si="3"/>
        <v>1</v>
      </c>
      <c r="AB41" s="1574">
        <f t="shared" si="4"/>
        <v>1</v>
      </c>
      <c r="AC41" s="1574">
        <f t="shared" si="5"/>
        <v>1</v>
      </c>
    </row>
    <row r="42" spans="1:29" s="1336" customFormat="1" ht="15.75" thickBot="1">
      <c r="A42" s="600"/>
      <c r="B42" s="599">
        <v>111</v>
      </c>
      <c r="C42" s="601"/>
      <c r="D42" s="256">
        <v>100</v>
      </c>
      <c r="E42" s="539"/>
      <c r="F42" s="543">
        <f>SUMIF(122:122,E42,123:123)-SUMIF(122:122,C42,123:123)+100</f>
        <v>100</v>
      </c>
      <c r="G42" s="539"/>
      <c r="H42" s="543">
        <f>SUMIF(122:122,G42,123:123)-SUMIF(122:122,C42,123:123)+100</f>
        <v>100</v>
      </c>
      <c r="I42" s="538"/>
      <c r="J42" s="543">
        <f>SUMIF(122:122,I42,123:123)-SUMIF(122:122,C42,123:123)+100</f>
        <v>100</v>
      </c>
      <c r="K42" s="603"/>
      <c r="L42" s="2139"/>
      <c r="M42" s="2170"/>
      <c r="N42" s="2170"/>
      <c r="O42" s="2142"/>
      <c r="P42" s="3499"/>
      <c r="Q42" s="1570">
        <f t="shared" si="14"/>
        <v>111</v>
      </c>
      <c r="R42" s="1575" t="s">
        <v>8</v>
      </c>
      <c r="S42" s="1576">
        <f t="shared" si="10"/>
        <v>100</v>
      </c>
      <c r="T42" s="1575" t="s">
        <v>8</v>
      </c>
      <c r="U42" s="1576">
        <f t="shared" si="11"/>
        <v>100</v>
      </c>
      <c r="V42" s="1575" t="s">
        <v>8</v>
      </c>
      <c r="W42" s="1576">
        <f t="shared" si="12"/>
        <v>100</v>
      </c>
      <c r="X42" s="1577"/>
      <c r="Y42" s="3499"/>
      <c r="Z42" s="1578">
        <f t="shared" si="13"/>
        <v>111</v>
      </c>
      <c r="AA42" s="1574">
        <f t="shared" si="3"/>
        <v>1</v>
      </c>
      <c r="AB42" s="1574">
        <f t="shared" si="4"/>
        <v>1</v>
      </c>
      <c r="AC42" s="1574">
        <f t="shared" si="5"/>
        <v>1</v>
      </c>
    </row>
    <row r="43" spans="1:29" ht="15">
      <c r="A43" s="604" t="s">
        <v>556</v>
      </c>
      <c r="B43" s="605" t="s">
        <v>2938</v>
      </c>
      <c r="C43" s="606" t="s">
        <v>1</v>
      </c>
      <c r="D43" s="607"/>
      <c r="E43" s="608"/>
      <c r="F43" s="609"/>
      <c r="G43" s="610"/>
      <c r="H43" s="611"/>
      <c r="I43" s="608"/>
      <c r="J43" s="611"/>
      <c r="K43" s="1337"/>
      <c r="L43" s="2143"/>
      <c r="M43" s="2133"/>
      <c r="N43" s="2133"/>
      <c r="O43" s="2144"/>
      <c r="P43" s="3462" t="str">
        <f>A43</f>
        <v>成交单价</v>
      </c>
      <c r="Q43" s="3462"/>
      <c r="R43" s="3463">
        <f>E43</f>
        <v>0</v>
      </c>
      <c r="S43" s="3463"/>
      <c r="T43" s="3463">
        <f>G43</f>
        <v>0</v>
      </c>
      <c r="U43" s="3463"/>
      <c r="V43" s="3463">
        <f>I43</f>
        <v>0</v>
      </c>
      <c r="W43" s="3463"/>
      <c r="X43" s="1557"/>
      <c r="Y43" s="1579"/>
      <c r="Z43" s="1557"/>
      <c r="AA43" s="1557"/>
      <c r="AB43" s="1557"/>
      <c r="AC43" s="1557"/>
    </row>
    <row r="44" spans="1:29" ht="15.75" thickBot="1">
      <c r="A44" s="612" t="s">
        <v>2696</v>
      </c>
      <c r="B44" s="613"/>
      <c r="C44" s="614" t="e">
        <f>R45</f>
        <v>#DIV/0!</v>
      </c>
      <c r="D44" s="615"/>
      <c r="E44" s="614" t="e">
        <f>R44</f>
        <v>#DIV/0!</v>
      </c>
      <c r="F44" s="616"/>
      <c r="G44" s="617" t="e">
        <f>T44</f>
        <v>#DIV/0!</v>
      </c>
      <c r="H44" s="615"/>
      <c r="I44" s="614" t="e">
        <f>V44</f>
        <v>#DIV/0!</v>
      </c>
      <c r="J44" s="615"/>
      <c r="K44" s="1338"/>
      <c r="L44" s="2143"/>
      <c r="M44" s="2133"/>
      <c r="N44" s="2133"/>
      <c r="O44" s="2144"/>
      <c r="P44" s="3462" t="str">
        <f>A44</f>
        <v>比较价格（元/平方米）</v>
      </c>
      <c r="Q44" s="3462"/>
      <c r="R44" s="3464" t="e">
        <f>ROUND(PRODUCT(R43,AA9:AA42),0)</f>
        <v>#DIV/0!</v>
      </c>
      <c r="S44" s="3464"/>
      <c r="T44" s="3464" t="e">
        <f>ROUND(PRODUCT(T43,AB9:AB42),0)</f>
        <v>#DIV/0!</v>
      </c>
      <c r="U44" s="3464"/>
      <c r="V44" s="3464" t="e">
        <f>ROUND(PRODUCT(V43,AC9:AC42),0)</f>
        <v>#DIV/0!</v>
      </c>
      <c r="W44" s="3464"/>
      <c r="X44" s="1557"/>
      <c r="Y44" s="1557"/>
      <c r="Z44" s="1557"/>
      <c r="AA44" s="1557"/>
      <c r="AB44" s="1557"/>
      <c r="AC44" s="1557"/>
    </row>
    <row r="45" spans="1:29" ht="15.75" thickBot="1">
      <c r="A45" s="618" t="s">
        <v>2939</v>
      </c>
      <c r="B45" s="619"/>
      <c r="C45" s="620" t="e">
        <f>R45</f>
        <v>#DIV/0!</v>
      </c>
      <c r="D45" s="620"/>
      <c r="E45" s="620"/>
      <c r="F45" s="620"/>
      <c r="G45" s="620"/>
      <c r="H45" s="620"/>
      <c r="I45" s="620"/>
      <c r="J45" s="620"/>
      <c r="K45" s="1339"/>
      <c r="L45" s="2143"/>
      <c r="M45" s="2133"/>
      <c r="N45" s="2133"/>
      <c r="O45" s="2144"/>
      <c r="P45" s="3459" t="str">
        <f>A45</f>
        <v>估价对象XX用房的比较价格（楼面单价，元/平方米）</v>
      </c>
      <c r="Q45" s="3460"/>
      <c r="R45" s="3461" t="e">
        <f>ROUND(AVERAGE(R44:V44),0)</f>
        <v>#DIV/0!</v>
      </c>
      <c r="S45" s="3461"/>
      <c r="T45" s="3461"/>
      <c r="U45" s="3461"/>
      <c r="V45" s="3461"/>
      <c r="W45" s="3461"/>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2" customFormat="1" ht="13.5" customHeight="1">
      <c r="A50" s="2145"/>
      <c r="B50" s="2145"/>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2"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6" t="s">
        <v>560</v>
      </c>
      <c r="B52" s="627" t="s">
        <v>561</v>
      </c>
      <c r="C52" s="1558" t="s">
        <v>1725</v>
      </c>
      <c r="D52" s="2226" t="s">
        <v>2296</v>
      </c>
      <c r="E52" s="628" t="s">
        <v>562</v>
      </c>
      <c r="F52" s="1950" t="s">
        <v>563</v>
      </c>
      <c r="G52" s="3506" t="s">
        <v>2287</v>
      </c>
      <c r="H52" s="3507"/>
      <c r="I52" s="1951" t="s">
        <v>1948</v>
      </c>
      <c r="J52" s="1553">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3" customFormat="1" ht="12.75">
      <c r="A53" s="630" t="s">
        <v>564</v>
      </c>
      <c r="B53" s="631" t="e">
        <f>C45</f>
        <v>#DIV/0!</v>
      </c>
      <c r="C53" s="632">
        <v>1</v>
      </c>
      <c r="D53" s="2227">
        <v>1</v>
      </c>
      <c r="E53" s="632">
        <f>'数据-汇总表'!E8+'数据-汇总表'!E9</f>
        <v>100595</v>
      </c>
      <c r="F53" s="1949" t="e">
        <f t="shared" ref="F53:F62" si="15">ROUND(B53*E53/10000,0)</f>
        <v>#DIV/0!</v>
      </c>
      <c r="G53" s="3508"/>
      <c r="H53" s="3509"/>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3" customFormat="1" ht="12.75">
      <c r="A54" s="634" t="s">
        <v>565</v>
      </c>
      <c r="B54" s="635" t="e">
        <f>ROUND($C$45*C54*D54,0)</f>
        <v>#DIV/0!</v>
      </c>
      <c r="C54" s="375">
        <f t="shared" ref="C54:C62" si="16">IF($C$52="北京市系数",I54,J54)</f>
        <v>0.6</v>
      </c>
      <c r="D54" s="2228">
        <v>0.25</v>
      </c>
      <c r="E54" s="636"/>
      <c r="F54" s="1949" t="e">
        <f t="shared" si="15"/>
        <v>#DIV/0!</v>
      </c>
      <c r="G54" s="3510" t="s">
        <v>2288</v>
      </c>
      <c r="H54" s="1953" t="str">
        <f>项目基本情况!B43</f>
        <v>八级</v>
      </c>
      <c r="I54" s="1952">
        <f>SUMIF(修正!$A$45:$A$56,H54,修正!B45:B56)</f>
        <v>0.6</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3" customFormat="1" ht="12.75">
      <c r="A55" s="634" t="s">
        <v>566</v>
      </c>
      <c r="B55" s="635" t="e">
        <f t="shared" ref="B55:B62" si="17">ROUND($C$45*C55*D55,0)</f>
        <v>#DIV/0!</v>
      </c>
      <c r="C55" s="375">
        <f t="shared" si="16"/>
        <v>0.3</v>
      </c>
      <c r="D55" s="2228">
        <v>0.25</v>
      </c>
      <c r="E55" s="636"/>
      <c r="F55" s="1949" t="e">
        <f t="shared" si="15"/>
        <v>#DIV/0!</v>
      </c>
      <c r="G55" s="3510"/>
      <c r="H55" s="1954" t="str">
        <f>项目基本情况!B43</f>
        <v>八级</v>
      </c>
      <c r="I55" s="1952">
        <f>SUMIF(修正!$A$45:$A$56,H55,修正!C45:C56)</f>
        <v>0.3</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3" customFormat="1" ht="12.75">
      <c r="A56" s="634" t="s">
        <v>567</v>
      </c>
      <c r="B56" s="635" t="e">
        <f t="shared" si="17"/>
        <v>#DIV/0!</v>
      </c>
      <c r="C56" s="375">
        <f t="shared" si="16"/>
        <v>0.2</v>
      </c>
      <c r="D56" s="2228">
        <v>0.25</v>
      </c>
      <c r="E56" s="636"/>
      <c r="F56" s="1949" t="e">
        <f t="shared" si="15"/>
        <v>#DIV/0!</v>
      </c>
      <c r="G56" s="3510"/>
      <c r="H56" s="1954" t="str">
        <f>项目基本情况!B43</f>
        <v>八级</v>
      </c>
      <c r="I56" s="1952">
        <f>SUMIF(修正!$A$45:$A$56,H56,修正!D45:D56)</f>
        <v>0.2</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3" customFormat="1" ht="12.75">
      <c r="A57" s="634" t="s">
        <v>568</v>
      </c>
      <c r="B57" s="635" t="e">
        <f t="shared" si="17"/>
        <v>#DIV/0!</v>
      </c>
      <c r="C57" s="375">
        <f t="shared" si="16"/>
        <v>0.2</v>
      </c>
      <c r="D57" s="2228">
        <v>0.25</v>
      </c>
      <c r="E57" s="636"/>
      <c r="F57" s="1949" t="e">
        <f t="shared" si="15"/>
        <v>#DIV/0!</v>
      </c>
      <c r="G57" s="3510"/>
      <c r="H57" s="1954" t="str">
        <f>项目基本情况!B43</f>
        <v>八级</v>
      </c>
      <c r="I57" s="1952">
        <f>SUMIF(修正!$A$45:$A$56,H57,修正!E45:E56)</f>
        <v>0.2</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3" customFormat="1" ht="12.75">
      <c r="A58" s="2330" t="s">
        <v>2331</v>
      </c>
      <c r="B58" s="635" t="e">
        <f t="shared" si="17"/>
        <v>#DIV/0!</v>
      </c>
      <c r="C58" s="375">
        <f t="shared" si="16"/>
        <v>0.2</v>
      </c>
      <c r="D58" s="2228">
        <v>0.25</v>
      </c>
      <c r="E58" s="638">
        <f>'数据-汇总表'!E11</f>
        <v>0</v>
      </c>
      <c r="F58" s="1949" t="e">
        <f t="shared" si="15"/>
        <v>#DIV/0!</v>
      </c>
      <c r="G58" s="1955" t="s">
        <v>2289</v>
      </c>
      <c r="H58" s="1954" t="str">
        <f>项目基本情况!C43</f>
        <v>八级</v>
      </c>
      <c r="I58" s="1952">
        <f>SUMIF(修正!$A$45:$A$56,H58,修正!F45:F56)</f>
        <v>0.2</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4" t="s">
        <v>569</v>
      </c>
      <c r="B59" s="635" t="e">
        <f t="shared" si="17"/>
        <v>#DIV/0!</v>
      </c>
      <c r="C59" s="375">
        <f t="shared" si="16"/>
        <v>0.2</v>
      </c>
      <c r="D59" s="2228">
        <v>0.25</v>
      </c>
      <c r="E59" s="638">
        <f>'数据-汇总表'!E12</f>
        <v>0</v>
      </c>
      <c r="F59" s="1949" t="e">
        <f t="shared" si="15"/>
        <v>#DIV/0!</v>
      </c>
      <c r="G59" s="1945" t="s">
        <v>1678</v>
      </c>
      <c r="H59" s="1953" t="str">
        <f>IF(G59="商业",项目基本情况!B43,IF(G59="办公",项目基本情况!C43,IF(G59="住宅",项目基本情况!D43,项目基本情况!E43)))</f>
        <v>八级</v>
      </c>
      <c r="I59" s="1952">
        <f>SUMIF(修正!$A$45:$A$56,H59,修正!G45:G56)</f>
        <v>0.2</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4" t="s">
        <v>570</v>
      </c>
      <c r="B60" s="635" t="e">
        <f t="shared" si="17"/>
        <v>#DIV/0!</v>
      </c>
      <c r="C60" s="375">
        <f t="shared" si="16"/>
        <v>0.15</v>
      </c>
      <c r="D60" s="2228">
        <v>0.25</v>
      </c>
      <c r="E60" s="638">
        <f>'数据-汇总表'!E13</f>
        <v>0</v>
      </c>
      <c r="F60" s="1949" t="e">
        <f t="shared" si="15"/>
        <v>#DIV/0!</v>
      </c>
      <c r="G60" s="1945" t="s">
        <v>923</v>
      </c>
      <c r="H60" s="1953" t="str">
        <f>IF(G60="商业",项目基本情况!B43,IF(G60="办公",项目基本情况!C43,IF(G60="住宅",项目基本情况!D43,项目基本情况!E43)))</f>
        <v>八级</v>
      </c>
      <c r="I60" s="1952">
        <f>SUMIF(修正!$A$45:$A$56,H60,修正!H45:H56)</f>
        <v>0.15</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4" t="s">
        <v>571</v>
      </c>
      <c r="B61" s="635" t="e">
        <f t="shared" si="17"/>
        <v>#DIV/0!</v>
      </c>
      <c r="C61" s="375">
        <f t="shared" si="16"/>
        <v>0.15</v>
      </c>
      <c r="D61" s="2228">
        <v>0.25</v>
      </c>
      <c r="E61" s="638">
        <f>'数据-汇总表'!E14</f>
        <v>0</v>
      </c>
      <c r="F61" s="1949" t="e">
        <f t="shared" si="15"/>
        <v>#DIV/0!</v>
      </c>
      <c r="G61" s="1955" t="s">
        <v>2288</v>
      </c>
      <c r="H61" s="1954" t="str">
        <f>项目基本情况!B43</f>
        <v>八级</v>
      </c>
      <c r="I61" s="1952">
        <f>SUMIF(修正!$A$45:$A$56,H61,修正!H45:H56)</f>
        <v>0.15</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3.5" thickBot="1">
      <c r="A62" s="634" t="s">
        <v>572</v>
      </c>
      <c r="B62" s="635" t="e">
        <f t="shared" si="17"/>
        <v>#DIV/0!</v>
      </c>
      <c r="C62" s="375">
        <f t="shared" si="16"/>
        <v>0.15</v>
      </c>
      <c r="D62" s="2228">
        <v>0.25</v>
      </c>
      <c r="E62" s="638">
        <f>'数据-汇总表'!E15</f>
        <v>0</v>
      </c>
      <c r="F62" s="1949" t="e">
        <f t="shared" si="15"/>
        <v>#DIV/0!</v>
      </c>
      <c r="G62" s="1956" t="s">
        <v>2289</v>
      </c>
      <c r="H62" s="1957" t="str">
        <f>项目基本情况!C43</f>
        <v>八级</v>
      </c>
      <c r="I62" s="1952">
        <f>SUMIF(修正!$A$45:$A$56,H62,修正!H45:H56)</f>
        <v>0.15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3.5" thickBot="1">
      <c r="A63" s="639" t="s">
        <v>573</v>
      </c>
      <c r="B63" s="640" t="s">
        <v>17</v>
      </c>
      <c r="C63" s="640" t="s">
        <v>18</v>
      </c>
      <c r="D63" s="640" t="s">
        <v>2297</v>
      </c>
      <c r="E63" s="640">
        <f>IF(B43="楼面地价",SUM(E53:E62),'数据-汇总表'!D3)</f>
        <v>45889.5</v>
      </c>
      <c r="F63" s="641"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7" t="str">
        <f>YEAR(C9)&amp;"-"&amp;MONTH(C9)&amp;"-1"</f>
        <v>2019-7-1</v>
      </c>
      <c r="D65" s="2796">
        <f>EDATE(C65,-3)</f>
        <v>43556</v>
      </c>
      <c r="E65" s="2796">
        <f t="shared" ref="E65:N65" si="18">EDATE(D65,-3)</f>
        <v>43466</v>
      </c>
      <c r="F65" s="2796">
        <f t="shared" si="18"/>
        <v>43374</v>
      </c>
      <c r="G65" s="2796">
        <f t="shared" si="18"/>
        <v>43282</v>
      </c>
      <c r="H65" s="2796">
        <f t="shared" si="18"/>
        <v>43191</v>
      </c>
      <c r="I65" s="2796">
        <f t="shared" si="18"/>
        <v>43101</v>
      </c>
      <c r="J65" s="2796">
        <f t="shared" si="18"/>
        <v>43009</v>
      </c>
      <c r="K65" s="2796">
        <f t="shared" si="18"/>
        <v>42917</v>
      </c>
      <c r="L65" s="2796">
        <f t="shared" si="18"/>
        <v>42826</v>
      </c>
      <c r="M65" s="2796">
        <f t="shared" si="18"/>
        <v>42736</v>
      </c>
      <c r="N65" s="2796">
        <f t="shared" si="18"/>
        <v>42644</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4" customFormat="1" ht="15">
      <c r="A67" s="2567" t="s">
        <v>2536</v>
      </c>
      <c r="B67" s="643"/>
      <c r="C67" s="2792" t="str">
        <f>YEAR(C65)&amp;"-"&amp;ROUNDUP(MONTH(C65)/3,0)</f>
        <v>2019-3</v>
      </c>
      <c r="D67" s="2798" t="str">
        <f t="shared" ref="D67:N67" si="19">YEAR(D65)&amp;"-"&amp;ROUNDUP(MONTH(D65)/3,0)</f>
        <v>2019-2</v>
      </c>
      <c r="E67" s="2798" t="str">
        <f t="shared" si="19"/>
        <v>2019-1</v>
      </c>
      <c r="F67" s="2798" t="str">
        <f t="shared" si="19"/>
        <v>2018-4</v>
      </c>
      <c r="G67" s="2798" t="str">
        <f t="shared" si="19"/>
        <v>2018-3</v>
      </c>
      <c r="H67" s="2798" t="str">
        <f t="shared" si="19"/>
        <v>2018-2</v>
      </c>
      <c r="I67" s="2798" t="str">
        <f t="shared" si="19"/>
        <v>2018-1</v>
      </c>
      <c r="J67" s="2798" t="str">
        <f t="shared" si="19"/>
        <v>2017-4</v>
      </c>
      <c r="K67" s="2798" t="str">
        <f t="shared" si="19"/>
        <v>2017-3</v>
      </c>
      <c r="L67" s="2798" t="str">
        <f t="shared" si="19"/>
        <v>2017-2</v>
      </c>
      <c r="M67" s="2798" t="str">
        <f t="shared" si="19"/>
        <v>2017-1</v>
      </c>
      <c r="N67" s="2798" t="str">
        <f t="shared" si="19"/>
        <v>2016-4</v>
      </c>
      <c r="O67" s="2158"/>
      <c r="P67" s="2159"/>
      <c r="Q67" s="2160"/>
      <c r="R67" s="2160"/>
      <c r="S67" s="2160"/>
      <c r="T67" s="2160"/>
      <c r="U67" s="2160"/>
      <c r="V67" s="2160"/>
      <c r="W67" s="2160"/>
      <c r="X67" s="2160"/>
      <c r="Y67" s="2160"/>
      <c r="Z67" s="2160"/>
      <c r="AA67" s="2160"/>
      <c r="AB67" s="2160"/>
      <c r="AC67" s="2160"/>
    </row>
    <row r="68" spans="1:29" s="1217" customFormat="1" ht="27.75" customHeight="1">
      <c r="A68" s="2795" t="s">
        <v>2652</v>
      </c>
      <c r="B68" s="476" t="str">
        <f>"北京市平均增长率"&amp;TEXT(基准地价!P24,"0.00%")</f>
        <v>北京市平均增长率1.40%</v>
      </c>
      <c r="C68" s="891">
        <v>100</v>
      </c>
      <c r="D68" s="727"/>
      <c r="E68" s="727"/>
      <c r="F68" s="727"/>
      <c r="G68" s="727"/>
      <c r="H68" s="727"/>
      <c r="I68" s="727"/>
      <c r="J68" s="727"/>
      <c r="K68" s="727"/>
      <c r="L68" s="727"/>
      <c r="M68" s="2790"/>
      <c r="N68" s="2791"/>
      <c r="O68" s="2161"/>
      <c r="P68" s="2157"/>
      <c r="Q68" s="1992"/>
      <c r="R68" s="1992"/>
      <c r="S68" s="1992"/>
      <c r="T68" s="1992"/>
      <c r="U68" s="1992"/>
      <c r="V68" s="1992"/>
      <c r="W68" s="1992"/>
      <c r="X68" s="1992"/>
      <c r="Y68" s="1992"/>
      <c r="Z68" s="1992"/>
      <c r="AA68" s="1992"/>
      <c r="AB68" s="1992"/>
      <c r="AC68" s="1992"/>
    </row>
    <row r="69" spans="1:29" s="1217" customFormat="1" ht="15.75" thickBot="1">
      <c r="A69" s="650" t="s">
        <v>575</v>
      </c>
      <c r="B69" s="651"/>
      <c r="C69" s="2788"/>
      <c r="D69" s="2789"/>
      <c r="E69" s="2789"/>
      <c r="F69" s="2789"/>
      <c r="G69" s="2789"/>
      <c r="H69" s="2789"/>
      <c r="I69" s="2789"/>
      <c r="J69" s="2789"/>
      <c r="K69" s="2789"/>
      <c r="L69" s="2789"/>
      <c r="M69" s="2789"/>
      <c r="N69" s="2789"/>
      <c r="O69" s="2161"/>
      <c r="P69" s="2157"/>
      <c r="Q69" s="2157"/>
      <c r="R69" s="1992"/>
      <c r="S69" s="1992"/>
      <c r="T69" s="1992"/>
      <c r="U69" s="1992"/>
      <c r="V69" s="1992"/>
      <c r="W69" s="1992"/>
      <c r="X69" s="1992"/>
      <c r="Y69" s="1992"/>
      <c r="Z69" s="1992"/>
      <c r="AA69" s="1992"/>
      <c r="AB69" s="1992"/>
      <c r="AC69" s="1992"/>
    </row>
    <row r="70" spans="1:29" s="1217" customFormat="1" ht="15">
      <c r="A70" s="656" t="s">
        <v>531</v>
      </c>
      <c r="B70" s="645"/>
      <c r="C70" s="657" t="s">
        <v>576</v>
      </c>
      <c r="D70" s="658"/>
      <c r="E70" s="658"/>
      <c r="F70" s="658"/>
      <c r="G70" s="658"/>
      <c r="H70" s="658"/>
      <c r="I70" s="658"/>
      <c r="J70" s="658"/>
      <c r="K70" s="658"/>
      <c r="L70" s="659"/>
      <c r="M70" s="660"/>
      <c r="N70" s="2161"/>
      <c r="O70" s="2161"/>
      <c r="P70" s="2162"/>
      <c r="Q70" s="2157"/>
      <c r="R70" s="1992"/>
      <c r="S70" s="1992"/>
      <c r="T70" s="1992"/>
      <c r="U70" s="1992"/>
      <c r="V70" s="1992"/>
      <c r="W70" s="1992"/>
      <c r="X70" s="1992"/>
      <c r="Y70" s="1992"/>
      <c r="Z70" s="1992"/>
      <c r="AA70" s="1992"/>
      <c r="AB70" s="1992"/>
      <c r="AC70" s="1992"/>
    </row>
    <row r="71" spans="1:29" s="1217" customFormat="1" ht="15.75" thickBot="1">
      <c r="A71" s="656"/>
      <c r="B71" s="645"/>
      <c r="C71" s="646">
        <v>100</v>
      </c>
      <c r="D71" s="647"/>
      <c r="E71" s="647"/>
      <c r="F71" s="647"/>
      <c r="G71" s="647"/>
      <c r="H71" s="647"/>
      <c r="I71" s="647"/>
      <c r="J71" s="647"/>
      <c r="K71" s="647"/>
      <c r="L71" s="647"/>
      <c r="M71" s="649"/>
      <c r="N71" s="2161"/>
      <c r="O71" s="2161"/>
      <c r="P71" s="2157"/>
      <c r="Q71" s="2157"/>
      <c r="R71" s="1992"/>
      <c r="S71" s="1992"/>
      <c r="T71" s="1992"/>
      <c r="U71" s="1992"/>
      <c r="V71" s="1992"/>
      <c r="W71" s="1992"/>
      <c r="X71" s="1992"/>
      <c r="Y71" s="1992"/>
      <c r="Z71" s="1992"/>
      <c r="AA71" s="1992"/>
      <c r="AB71" s="1992"/>
      <c r="AC71" s="1992"/>
    </row>
    <row r="72" spans="1:29">
      <c r="A72" s="661" t="s">
        <v>577</v>
      </c>
      <c r="B72" s="662" t="s">
        <v>534</v>
      </c>
      <c r="C72" s="595"/>
      <c r="D72" s="595"/>
      <c r="E72" s="595"/>
      <c r="F72" s="595"/>
      <c r="G72" s="595"/>
      <c r="H72" s="595"/>
      <c r="I72" s="595"/>
      <c r="J72" s="595"/>
      <c r="K72" s="663"/>
      <c r="L72" s="664"/>
      <c r="M72" s="665"/>
      <c r="N72" s="2163"/>
      <c r="O72" s="2163"/>
      <c r="P72" s="2164"/>
      <c r="Q72" s="2157"/>
      <c r="R72" s="2144"/>
      <c r="S72" s="2144"/>
      <c r="T72" s="2144"/>
      <c r="U72" s="2144"/>
      <c r="V72" s="2144"/>
      <c r="W72" s="2144"/>
      <c r="X72" s="2144"/>
      <c r="Y72" s="2144"/>
      <c r="Z72" s="2144"/>
      <c r="AA72" s="2144"/>
      <c r="AB72" s="2144"/>
      <c r="AC72" s="2144"/>
    </row>
    <row r="73" spans="1:29" ht="15.75" thickBot="1">
      <c r="A73" s="666"/>
      <c r="B73" s="667"/>
      <c r="C73" s="668"/>
      <c r="D73" s="668"/>
      <c r="E73" s="668"/>
      <c r="F73" s="668"/>
      <c r="G73" s="668"/>
      <c r="H73" s="668"/>
      <c r="I73" s="668"/>
      <c r="J73" s="668"/>
      <c r="K73" s="668"/>
      <c r="L73" s="668"/>
      <c r="M73" s="669"/>
      <c r="N73" s="2165"/>
      <c r="O73" s="2165"/>
      <c r="P73" s="2164"/>
      <c r="Q73" s="2157"/>
      <c r="R73" s="2144"/>
      <c r="S73" s="2144"/>
      <c r="T73" s="2144"/>
      <c r="U73" s="2144"/>
      <c r="V73" s="2144"/>
      <c r="W73" s="2144"/>
      <c r="X73" s="2144"/>
      <c r="Y73" s="2144"/>
      <c r="Z73" s="2144"/>
      <c r="AA73" s="2144"/>
      <c r="AB73" s="2144"/>
      <c r="AC73" s="2144"/>
    </row>
    <row r="74" spans="1:29" ht="27.75" thickTop="1">
      <c r="A74" s="666"/>
      <c r="B74" s="670" t="s">
        <v>537</v>
      </c>
      <c r="C74" s="671"/>
      <c r="D74" s="671"/>
      <c r="E74" s="671"/>
      <c r="F74" s="671"/>
      <c r="G74" s="671"/>
      <c r="H74" s="671"/>
      <c r="I74" s="671"/>
      <c r="J74" s="671"/>
      <c r="K74" s="672"/>
      <c r="L74" s="673"/>
      <c r="M74" s="674"/>
      <c r="N74" s="2163"/>
      <c r="O74" s="2163"/>
      <c r="P74" s="2164"/>
      <c r="Q74" s="2157"/>
      <c r="R74" s="2144"/>
      <c r="S74" s="2144"/>
      <c r="T74" s="2144"/>
      <c r="U74" s="2144"/>
      <c r="V74" s="2144"/>
      <c r="W74" s="2144"/>
      <c r="X74" s="2144"/>
      <c r="Y74" s="2144"/>
      <c r="Z74" s="2144"/>
      <c r="AA74" s="2144"/>
      <c r="AB74" s="2144"/>
      <c r="AC74" s="2144"/>
    </row>
    <row r="75" spans="1:29" ht="15.75" thickBot="1">
      <c r="A75" s="666"/>
      <c r="B75" s="675"/>
      <c r="C75" s="676"/>
      <c r="D75" s="676"/>
      <c r="E75" s="676"/>
      <c r="F75" s="676"/>
      <c r="G75" s="676"/>
      <c r="H75" s="676"/>
      <c r="I75" s="676"/>
      <c r="J75" s="676"/>
      <c r="K75" s="676"/>
      <c r="L75" s="676"/>
      <c r="M75" s="677"/>
      <c r="N75" s="2165"/>
      <c r="O75" s="2165"/>
      <c r="P75" s="2164"/>
      <c r="Q75" s="2157"/>
      <c r="R75" s="2144"/>
      <c r="S75" s="2144"/>
      <c r="T75" s="2144"/>
      <c r="U75" s="2144"/>
      <c r="V75" s="2144"/>
      <c r="W75" s="2144"/>
      <c r="X75" s="2144"/>
      <c r="Y75" s="2144"/>
      <c r="Z75" s="2144"/>
      <c r="AA75" s="2144"/>
      <c r="AB75" s="2144"/>
      <c r="AC75" s="2144"/>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6"/>
      <c r="B77" s="680"/>
      <c r="C77" s="538"/>
      <c r="D77" s="538"/>
      <c r="E77" s="538"/>
      <c r="F77" s="538"/>
      <c r="G77" s="538"/>
      <c r="H77" s="538"/>
      <c r="I77" s="538"/>
      <c r="J77" s="538"/>
      <c r="K77" s="681"/>
      <c r="L77" s="682"/>
      <c r="M77" s="683"/>
      <c r="N77" s="2163"/>
      <c r="O77" s="2163"/>
      <c r="P77" s="2164"/>
      <c r="Q77" s="2157"/>
      <c r="R77" s="2144"/>
      <c r="S77" s="2144"/>
      <c r="T77" s="2144"/>
      <c r="U77" s="2144"/>
      <c r="V77" s="2144"/>
      <c r="W77" s="2144"/>
      <c r="X77" s="2144"/>
      <c r="Y77" s="2144"/>
      <c r="Z77" s="2144"/>
      <c r="AA77" s="2144"/>
      <c r="AB77" s="2144"/>
      <c r="AC77" s="2144"/>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5"/>
      <c r="O78" s="2165"/>
      <c r="P78" s="2164"/>
      <c r="Q78" s="2157"/>
      <c r="R78" s="2144"/>
      <c r="S78" s="2144"/>
      <c r="T78" s="2144"/>
      <c r="U78" s="2144"/>
      <c r="V78" s="2144"/>
      <c r="W78" s="2144"/>
      <c r="X78" s="2144"/>
      <c r="Y78" s="2144"/>
      <c r="Z78" s="2144"/>
      <c r="AA78" s="2144"/>
      <c r="AB78" s="2144"/>
      <c r="AC78" s="2144"/>
    </row>
    <row r="79" spans="1:29" s="1336" customFormat="1" ht="15.75" thickTop="1">
      <c r="A79" s="684"/>
      <c r="B79" s="670">
        <f>B14</f>
        <v>111</v>
      </c>
      <c r="C79" s="685"/>
      <c r="D79" s="685"/>
      <c r="E79" s="685"/>
      <c r="F79" s="685"/>
      <c r="G79" s="685"/>
      <c r="H79" s="686"/>
      <c r="I79" s="686"/>
      <c r="J79" s="686"/>
      <c r="K79" s="686"/>
      <c r="L79" s="687"/>
      <c r="M79" s="688"/>
      <c r="N79" s="2166"/>
      <c r="O79" s="2166"/>
      <c r="P79" s="2167"/>
      <c r="Q79" s="2168"/>
      <c r="R79" s="2169"/>
      <c r="S79" s="2169"/>
      <c r="T79" s="2169"/>
      <c r="U79" s="2169"/>
      <c r="V79" s="2169"/>
      <c r="W79" s="2169"/>
      <c r="X79" s="2169"/>
      <c r="Y79" s="2169"/>
      <c r="Z79" s="2169"/>
      <c r="AA79" s="2169"/>
      <c r="AB79" s="2169"/>
      <c r="AC79" s="2169"/>
    </row>
    <row r="80" spans="1:29" s="1336" customFormat="1" ht="15.75" thickBot="1">
      <c r="A80" s="684"/>
      <c r="B80" s="675"/>
      <c r="C80" s="689"/>
      <c r="D80" s="668"/>
      <c r="E80" s="668"/>
      <c r="F80" s="668"/>
      <c r="G80" s="668"/>
      <c r="H80" s="668"/>
      <c r="I80" s="668"/>
      <c r="J80" s="668"/>
      <c r="K80" s="668"/>
      <c r="L80" s="668"/>
      <c r="M80" s="669"/>
      <c r="N80" s="2165"/>
      <c r="O80" s="2165"/>
      <c r="P80" s="2167"/>
      <c r="Q80" s="2168"/>
      <c r="R80" s="2169"/>
      <c r="S80" s="2169"/>
      <c r="T80" s="2169"/>
      <c r="U80" s="2169"/>
      <c r="V80" s="2169"/>
      <c r="W80" s="2169"/>
      <c r="X80" s="2169"/>
      <c r="Y80" s="2169"/>
      <c r="Z80" s="2169"/>
      <c r="AA80" s="2169"/>
      <c r="AB80" s="2169"/>
      <c r="AC80" s="2169"/>
    </row>
    <row r="81" spans="1:29" s="1336" customFormat="1" ht="15.75" thickTop="1">
      <c r="A81" s="684"/>
      <c r="B81" s="670">
        <f>B15</f>
        <v>111</v>
      </c>
      <c r="C81" s="685"/>
      <c r="D81" s="685"/>
      <c r="E81" s="685"/>
      <c r="F81" s="685"/>
      <c r="G81" s="685"/>
      <c r="H81" s="686"/>
      <c r="I81" s="686"/>
      <c r="J81" s="686"/>
      <c r="K81" s="686"/>
      <c r="L81" s="687"/>
      <c r="M81" s="688"/>
      <c r="N81" s="2166"/>
      <c r="O81" s="2166"/>
      <c r="P81" s="2170"/>
      <c r="Q81" s="2171"/>
      <c r="R81" s="2169"/>
      <c r="S81" s="2169"/>
      <c r="T81" s="2169"/>
      <c r="U81" s="2169"/>
      <c r="V81" s="2169"/>
      <c r="W81" s="2169"/>
      <c r="X81" s="2169"/>
      <c r="Y81" s="2169"/>
      <c r="Z81" s="2169"/>
      <c r="AA81" s="2169"/>
      <c r="AB81" s="2169"/>
      <c r="AC81" s="2169"/>
    </row>
    <row r="82" spans="1:29" s="1336" customFormat="1" ht="15.75" thickBot="1">
      <c r="A82" s="684"/>
      <c r="B82" s="675"/>
      <c r="C82" s="689"/>
      <c r="D82" s="689"/>
      <c r="E82" s="689"/>
      <c r="F82" s="689"/>
      <c r="G82" s="689"/>
      <c r="H82" s="690"/>
      <c r="I82" s="690"/>
      <c r="J82" s="690"/>
      <c r="K82" s="690"/>
      <c r="L82" s="690"/>
      <c r="M82" s="691"/>
      <c r="N82" s="2166"/>
      <c r="O82" s="2166"/>
      <c r="P82" s="2167"/>
      <c r="Q82" s="2168"/>
      <c r="R82" s="2169"/>
      <c r="S82" s="2169"/>
      <c r="T82" s="2169"/>
      <c r="U82" s="2169"/>
      <c r="V82" s="2169"/>
      <c r="W82" s="2169"/>
      <c r="X82" s="2169"/>
      <c r="Y82" s="2169"/>
      <c r="Z82" s="2169"/>
      <c r="AA82" s="2169"/>
      <c r="AB82" s="2169"/>
      <c r="AC82" s="2169"/>
    </row>
    <row r="83" spans="1:29" s="1336" customFormat="1" ht="15.75" thickTop="1">
      <c r="A83" s="684"/>
      <c r="B83" s="678">
        <f>B16</f>
        <v>111</v>
      </c>
      <c r="C83" s="658"/>
      <c r="D83" s="658"/>
      <c r="E83" s="658"/>
      <c r="F83" s="658"/>
      <c r="G83" s="658"/>
      <c r="H83" s="692"/>
      <c r="I83" s="692"/>
      <c r="J83" s="692"/>
      <c r="K83" s="692"/>
      <c r="L83" s="693"/>
      <c r="M83" s="694"/>
      <c r="N83" s="2166"/>
      <c r="O83" s="2166"/>
      <c r="P83" s="2172"/>
      <c r="Q83" s="2168"/>
      <c r="R83" s="2169"/>
      <c r="S83" s="2169"/>
      <c r="T83" s="2169"/>
      <c r="U83" s="2169"/>
      <c r="V83" s="2169"/>
      <c r="W83" s="2169"/>
      <c r="X83" s="2169"/>
      <c r="Y83" s="2169"/>
      <c r="Z83" s="2169"/>
      <c r="AA83" s="2169"/>
      <c r="AB83" s="2169"/>
      <c r="AC83" s="2169"/>
    </row>
    <row r="84" spans="1:29" s="1336" customFormat="1" ht="15.75" thickBot="1">
      <c r="A84" s="695"/>
      <c r="B84" s="696"/>
      <c r="C84" s="697"/>
      <c r="D84" s="697"/>
      <c r="E84" s="697"/>
      <c r="F84" s="697"/>
      <c r="G84" s="697"/>
      <c r="H84" s="698"/>
      <c r="I84" s="698"/>
      <c r="J84" s="698"/>
      <c r="K84" s="698"/>
      <c r="L84" s="698"/>
      <c r="M84" s="699"/>
      <c r="N84" s="2166"/>
      <c r="O84" s="2166"/>
      <c r="P84" s="2167"/>
      <c r="Q84" s="2168"/>
      <c r="R84" s="2169"/>
      <c r="S84" s="2169"/>
      <c r="T84" s="2169"/>
      <c r="U84" s="2169"/>
      <c r="V84" s="2169"/>
      <c r="W84" s="2169"/>
      <c r="X84" s="2169"/>
      <c r="Y84" s="2169"/>
      <c r="Z84" s="2169"/>
      <c r="AA84" s="2169"/>
      <c r="AB84" s="2169"/>
      <c r="AC84" s="2169"/>
    </row>
    <row r="85" spans="1:29">
      <c r="A85" s="661" t="s">
        <v>539</v>
      </c>
      <c r="B85" s="662" t="s">
        <v>602</v>
      </c>
      <c r="C85" s="700" t="s">
        <v>579</v>
      </c>
      <c r="D85" s="700" t="s">
        <v>580</v>
      </c>
      <c r="E85" s="700" t="s">
        <v>581</v>
      </c>
      <c r="F85" s="700" t="s">
        <v>582</v>
      </c>
      <c r="G85" s="700" t="s">
        <v>583</v>
      </c>
      <c r="H85" s="701"/>
      <c r="I85" s="701"/>
      <c r="J85" s="701"/>
      <c r="K85" s="702"/>
      <c r="L85" s="703"/>
      <c r="M85" s="704"/>
      <c r="N85" s="2163"/>
      <c r="O85" s="2163"/>
      <c r="P85" s="2173"/>
      <c r="Q85" s="2157"/>
      <c r="R85" s="2144"/>
      <c r="S85" s="2144"/>
      <c r="T85" s="2144"/>
      <c r="U85" s="2144"/>
      <c r="V85" s="2144"/>
      <c r="W85" s="2144"/>
      <c r="X85" s="2144"/>
      <c r="Y85" s="2144"/>
      <c r="Z85" s="2144"/>
      <c r="AA85" s="2144"/>
      <c r="AB85" s="2144"/>
      <c r="AC85" s="2144"/>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5"/>
      <c r="O86" s="2165"/>
      <c r="P86" s="2164"/>
      <c r="Q86" s="2157"/>
      <c r="R86" s="2144"/>
      <c r="S86" s="2144"/>
      <c r="T86" s="2144"/>
      <c r="U86" s="2144"/>
      <c r="V86" s="2144"/>
      <c r="W86" s="2144"/>
      <c r="X86" s="2144"/>
      <c r="Y86" s="2144"/>
      <c r="Z86" s="2144"/>
      <c r="AA86" s="2144"/>
      <c r="AB86" s="2144"/>
      <c r="AC86" s="2144"/>
    </row>
    <row r="87" spans="1:29" ht="15.75" thickTop="1">
      <c r="A87" s="666"/>
      <c r="B87" s="670" t="s">
        <v>586</v>
      </c>
      <c r="C87" s="705" t="s">
        <v>579</v>
      </c>
      <c r="D87" s="705" t="s">
        <v>580</v>
      </c>
      <c r="E87" s="705" t="s">
        <v>581</v>
      </c>
      <c r="F87" s="705" t="s">
        <v>582</v>
      </c>
      <c r="G87" s="705" t="s">
        <v>583</v>
      </c>
      <c r="H87" s="671"/>
      <c r="I87" s="671"/>
      <c r="J87" s="671"/>
      <c r="K87" s="672"/>
      <c r="L87" s="673"/>
      <c r="M87" s="674"/>
      <c r="N87" s="2163"/>
      <c r="O87" s="2163"/>
      <c r="P87" s="2164"/>
      <c r="Q87" s="2157"/>
      <c r="R87" s="2144"/>
      <c r="S87" s="2144"/>
      <c r="T87" s="2144"/>
      <c r="U87" s="2144"/>
      <c r="V87" s="2144"/>
      <c r="W87" s="2144"/>
      <c r="X87" s="2144"/>
      <c r="Y87" s="2144"/>
      <c r="Z87" s="2144"/>
      <c r="AA87" s="2144"/>
      <c r="AB87" s="2144"/>
      <c r="AC87" s="2144"/>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5"/>
      <c r="O88" s="2165"/>
      <c r="P88" s="2164"/>
      <c r="Q88" s="2157"/>
      <c r="R88" s="2144"/>
      <c r="S88" s="2144"/>
      <c r="T88" s="2144"/>
      <c r="U88" s="2144"/>
      <c r="V88" s="2144"/>
      <c r="W88" s="2144"/>
      <c r="X88" s="2144"/>
      <c r="Y88" s="2144"/>
      <c r="Z88" s="2144"/>
      <c r="AA88" s="2144"/>
      <c r="AB88" s="2144"/>
      <c r="AC88" s="2144"/>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61"/>
      <c r="O89" s="2161"/>
      <c r="P89" s="2164"/>
      <c r="Q89" s="2157"/>
      <c r="R89" s="1992"/>
      <c r="S89" s="1992"/>
      <c r="T89" s="1992"/>
      <c r="U89" s="1992"/>
      <c r="V89" s="1992"/>
      <c r="W89" s="1992"/>
      <c r="X89" s="1992"/>
      <c r="Y89" s="1992"/>
      <c r="Z89" s="1992"/>
      <c r="AA89" s="1992"/>
      <c r="AB89" s="1992"/>
      <c r="AC89" s="1992"/>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5"/>
      <c r="O90" s="2165"/>
      <c r="P90" s="2164"/>
      <c r="Q90" s="2157"/>
      <c r="R90" s="1992"/>
      <c r="S90" s="1992"/>
      <c r="T90" s="1992"/>
      <c r="U90" s="1992"/>
      <c r="V90" s="1992"/>
      <c r="W90" s="1992"/>
      <c r="X90" s="1992"/>
      <c r="Y90" s="1992"/>
      <c r="Z90" s="1992"/>
      <c r="AA90" s="1992"/>
      <c r="AB90" s="1992"/>
      <c r="AC90" s="1992"/>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61"/>
      <c r="O91" s="2161"/>
      <c r="P91" s="2164"/>
      <c r="Q91" s="2157"/>
      <c r="R91" s="1992"/>
      <c r="S91" s="1992"/>
      <c r="T91" s="1992"/>
      <c r="U91" s="1992"/>
      <c r="V91" s="1992"/>
      <c r="W91" s="1992"/>
      <c r="X91" s="1992"/>
      <c r="Y91" s="1992"/>
      <c r="Z91" s="1992"/>
      <c r="AA91" s="1992"/>
      <c r="AB91" s="1992"/>
      <c r="AC91" s="1992"/>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5"/>
      <c r="O92" s="2165"/>
      <c r="P92" s="2164"/>
      <c r="Q92" s="2157"/>
      <c r="R92" s="1992"/>
      <c r="S92" s="1992"/>
      <c r="T92" s="1992"/>
      <c r="U92" s="1992"/>
      <c r="V92" s="1992"/>
      <c r="W92" s="1992"/>
      <c r="X92" s="1992"/>
      <c r="Y92" s="1992"/>
      <c r="Z92" s="1992"/>
      <c r="AA92" s="1992"/>
      <c r="AB92" s="1992"/>
      <c r="AC92" s="1992"/>
    </row>
    <row r="93" spans="1:29" s="1336" customFormat="1" ht="15.75" thickTop="1">
      <c r="A93" s="684"/>
      <c r="B93" s="1895" t="s">
        <v>2551</v>
      </c>
      <c r="C93" s="700" t="s">
        <v>579</v>
      </c>
      <c r="D93" s="700" t="s">
        <v>580</v>
      </c>
      <c r="E93" s="700" t="s">
        <v>581</v>
      </c>
      <c r="F93" s="700" t="s">
        <v>582</v>
      </c>
      <c r="G93" s="700" t="s">
        <v>583</v>
      </c>
      <c r="H93" s="710"/>
      <c r="I93" s="710"/>
      <c r="J93" s="710"/>
      <c r="K93" s="710"/>
      <c r="L93" s="711"/>
      <c r="M93" s="712"/>
      <c r="N93" s="2166"/>
      <c r="O93" s="2166"/>
      <c r="P93" s="2167"/>
      <c r="Q93" s="2168"/>
      <c r="R93" s="2169"/>
      <c r="S93" s="2169"/>
      <c r="T93" s="2169"/>
      <c r="U93" s="2169"/>
      <c r="V93" s="2169"/>
      <c r="W93" s="2169"/>
      <c r="X93" s="2169"/>
      <c r="Y93" s="2169"/>
      <c r="Z93" s="2169"/>
      <c r="AA93" s="2169"/>
      <c r="AB93" s="2169"/>
      <c r="AC93" s="2169"/>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6"/>
      <c r="O94" s="2166"/>
      <c r="P94" s="2167"/>
      <c r="Q94" s="2168"/>
      <c r="R94" s="2169"/>
      <c r="S94" s="2169"/>
      <c r="T94" s="2169"/>
      <c r="U94" s="2169"/>
      <c r="V94" s="2169"/>
      <c r="W94" s="2169"/>
      <c r="X94" s="2169"/>
      <c r="Y94" s="2169"/>
      <c r="Z94" s="2169"/>
      <c r="AA94" s="2169"/>
      <c r="AB94" s="2169"/>
      <c r="AC94" s="2169"/>
    </row>
    <row r="95" spans="1:29" s="1336" customFormat="1" ht="15.75" thickTop="1">
      <c r="A95" s="684"/>
      <c r="B95" s="2596" t="s">
        <v>2553</v>
      </c>
      <c r="C95" s="2597" t="s">
        <v>2554</v>
      </c>
      <c r="D95" s="2597" t="s">
        <v>2555</v>
      </c>
      <c r="E95" s="2597" t="s">
        <v>2556</v>
      </c>
      <c r="F95" s="2597" t="s">
        <v>2557</v>
      </c>
      <c r="G95" s="2597" t="s">
        <v>2558</v>
      </c>
      <c r="H95" s="710"/>
      <c r="I95" s="710"/>
      <c r="J95" s="710"/>
      <c r="K95" s="710"/>
      <c r="L95" s="710"/>
      <c r="M95" s="712"/>
      <c r="N95" s="2166"/>
      <c r="O95" s="2166"/>
      <c r="P95" s="2167"/>
      <c r="Q95" s="2168"/>
      <c r="R95" s="2169"/>
      <c r="S95" s="2169"/>
      <c r="T95" s="2169"/>
      <c r="U95" s="2169"/>
      <c r="V95" s="2169"/>
      <c r="W95" s="2169"/>
      <c r="X95" s="2169"/>
      <c r="Y95" s="2169"/>
      <c r="Z95" s="2169"/>
      <c r="AA95" s="2169"/>
      <c r="AB95" s="2169"/>
      <c r="AC95" s="2169"/>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89"/>
      <c r="N96" s="2166"/>
      <c r="O96" s="2166"/>
      <c r="P96" s="2167"/>
      <c r="Q96" s="2168"/>
      <c r="R96" s="2169"/>
      <c r="S96" s="2169"/>
      <c r="T96" s="2169"/>
      <c r="U96" s="2169"/>
      <c r="V96" s="2169"/>
      <c r="W96" s="2169"/>
      <c r="X96" s="2169"/>
      <c r="Y96" s="2169"/>
      <c r="Z96" s="2169"/>
      <c r="AA96" s="2169"/>
      <c r="AB96" s="2169"/>
      <c r="AC96" s="2169"/>
    </row>
    <row r="97" spans="1:29" ht="15.75" thickTop="1">
      <c r="A97" s="666"/>
      <c r="B97" s="670" t="str">
        <f>B29</f>
        <v>临街状况</v>
      </c>
      <c r="C97" s="671" t="s">
        <v>589</v>
      </c>
      <c r="D97" s="671" t="s">
        <v>590</v>
      </c>
      <c r="E97" s="671" t="s">
        <v>591</v>
      </c>
      <c r="F97" s="671" t="s">
        <v>592</v>
      </c>
      <c r="G97" s="671"/>
      <c r="H97" s="671"/>
      <c r="I97" s="671"/>
      <c r="J97" s="671"/>
      <c r="K97" s="672"/>
      <c r="L97" s="673"/>
      <c r="M97" s="674"/>
      <c r="N97" s="2163"/>
      <c r="O97" s="2163"/>
      <c r="P97" s="2164"/>
      <c r="Q97" s="2157"/>
      <c r="R97" s="2144"/>
      <c r="S97" s="2144"/>
      <c r="T97" s="2144"/>
      <c r="U97" s="2144"/>
      <c r="V97" s="2144"/>
      <c r="W97" s="2144"/>
      <c r="X97" s="2144"/>
      <c r="Y97" s="2144"/>
      <c r="Z97" s="2144"/>
      <c r="AA97" s="2144"/>
      <c r="AB97" s="2144"/>
      <c r="AC97" s="2144"/>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6"/>
      <c r="B99" s="670" t="s">
        <v>548</v>
      </c>
      <c r="C99" s="685"/>
      <c r="D99" s="685"/>
      <c r="E99" s="685"/>
      <c r="F99" s="685"/>
      <c r="G99" s="685"/>
      <c r="H99" s="715"/>
      <c r="I99" s="715"/>
      <c r="J99" s="715"/>
      <c r="K99" s="716"/>
      <c r="L99" s="717"/>
      <c r="M99" s="718"/>
      <c r="N99" s="2163"/>
      <c r="O99" s="2163"/>
      <c r="P99" s="2164"/>
      <c r="Q99" s="2157"/>
      <c r="R99" s="2144"/>
      <c r="S99" s="2144"/>
      <c r="T99" s="2144"/>
      <c r="U99" s="2144"/>
      <c r="V99" s="2144"/>
      <c r="W99" s="2144"/>
      <c r="X99" s="2144"/>
      <c r="Y99" s="2144"/>
      <c r="Z99" s="2144"/>
      <c r="AA99" s="2144"/>
      <c r="AB99" s="2144"/>
      <c r="AC99" s="2144"/>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6"/>
      <c r="B101" s="670" t="s">
        <v>549</v>
      </c>
      <c r="C101" s="715"/>
      <c r="D101" s="715"/>
      <c r="E101" s="715"/>
      <c r="F101" s="715"/>
      <c r="G101" s="715"/>
      <c r="H101" s="715"/>
      <c r="I101" s="715"/>
      <c r="J101" s="715"/>
      <c r="K101" s="716"/>
      <c r="L101" s="717"/>
      <c r="M101" s="718"/>
      <c r="N101" s="2163"/>
      <c r="O101" s="2163"/>
      <c r="P101" s="2164"/>
      <c r="Q101" s="2157"/>
      <c r="R101" s="2144"/>
      <c r="S101" s="2144"/>
      <c r="T101" s="2144"/>
      <c r="U101" s="2144"/>
      <c r="V101" s="2144"/>
      <c r="W101" s="2144"/>
      <c r="X101" s="2144"/>
      <c r="Y101" s="2144"/>
      <c r="Z101" s="2144"/>
      <c r="AA101" s="2144"/>
      <c r="AB101" s="2144"/>
      <c r="AC101" s="2144"/>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6"/>
      <c r="B103" s="678">
        <f>B33</f>
        <v>111</v>
      </c>
      <c r="C103" s="685"/>
      <c r="D103" s="685"/>
      <c r="E103" s="685"/>
      <c r="F103" s="685"/>
      <c r="G103" s="719"/>
      <c r="H103" s="719"/>
      <c r="I103" s="719"/>
      <c r="J103" s="719"/>
      <c r="K103" s="720"/>
      <c r="L103" s="721"/>
      <c r="M103" s="722"/>
      <c r="N103" s="2163"/>
      <c r="O103" s="2163"/>
      <c r="P103" s="2164"/>
      <c r="Q103" s="2157"/>
      <c r="R103" s="2144"/>
      <c r="S103" s="2144"/>
      <c r="T103" s="2144"/>
      <c r="U103" s="2144"/>
      <c r="V103" s="2144"/>
      <c r="W103" s="2144"/>
      <c r="X103" s="2144"/>
      <c r="Y103" s="2144"/>
      <c r="Z103" s="2144"/>
      <c r="AA103" s="2144"/>
      <c r="AB103" s="2144"/>
      <c r="AC103" s="2144"/>
    </row>
    <row r="104" spans="1:29" ht="15.75" thickBot="1">
      <c r="A104" s="666"/>
      <c r="B104" s="696"/>
      <c r="C104" s="689"/>
      <c r="D104" s="668"/>
      <c r="E104" s="668"/>
      <c r="F104" s="668"/>
      <c r="G104" s="723"/>
      <c r="H104" s="723"/>
      <c r="I104" s="723"/>
      <c r="J104" s="723"/>
      <c r="K104" s="723"/>
      <c r="L104" s="723"/>
      <c r="M104" s="724"/>
      <c r="N104" s="2165"/>
      <c r="O104" s="2165"/>
      <c r="P104" s="2164"/>
      <c r="Q104" s="2157"/>
      <c r="R104" s="2144"/>
      <c r="S104" s="2144"/>
      <c r="T104" s="2144"/>
      <c r="U104" s="2144"/>
      <c r="V104" s="2144"/>
      <c r="W104" s="2144"/>
      <c r="X104" s="2144"/>
      <c r="Y104" s="2144"/>
      <c r="Z104" s="2144"/>
      <c r="AA104" s="2144"/>
      <c r="AB104" s="2144"/>
      <c r="AC104" s="2144"/>
    </row>
    <row r="105" spans="1:29" ht="15" thickTop="1">
      <c r="A105" s="584"/>
      <c r="B105" s="670">
        <f>B34</f>
        <v>111</v>
      </c>
      <c r="C105" s="685"/>
      <c r="D105" s="685"/>
      <c r="E105" s="685"/>
      <c r="F105" s="68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89"/>
      <c r="D106" s="689"/>
      <c r="E106" s="689"/>
      <c r="F106" s="689"/>
      <c r="G106" s="668"/>
      <c r="H106" s="668"/>
      <c r="I106" s="668"/>
      <c r="J106" s="668"/>
      <c r="K106" s="668"/>
      <c r="L106" s="668"/>
      <c r="M106" s="669"/>
      <c r="N106" s="2165"/>
      <c r="O106" s="2165"/>
      <c r="P106" s="2164"/>
      <c r="Q106" s="2157"/>
      <c r="R106" s="2144"/>
      <c r="S106" s="2144"/>
      <c r="T106" s="2144"/>
      <c r="U106" s="2144"/>
      <c r="V106" s="2144"/>
      <c r="W106" s="2144"/>
      <c r="X106" s="2144"/>
      <c r="Y106" s="2144"/>
      <c r="Z106" s="2144"/>
      <c r="AA106" s="2144"/>
      <c r="AB106" s="2144"/>
      <c r="AC106" s="2144"/>
    </row>
    <row r="107" spans="1:29" s="1336" customFormat="1" ht="15" thickTop="1">
      <c r="A107" s="725"/>
      <c r="B107" s="726">
        <f>B35</f>
        <v>111</v>
      </c>
      <c r="C107" s="658"/>
      <c r="D107" s="658"/>
      <c r="E107" s="658"/>
      <c r="F107" s="658"/>
      <c r="G107" s="727"/>
      <c r="H107" s="727"/>
      <c r="I107" s="727"/>
      <c r="J107" s="728"/>
      <c r="K107" s="728"/>
      <c r="L107" s="729"/>
      <c r="M107" s="730"/>
      <c r="N107" s="2166"/>
      <c r="O107" s="2166"/>
      <c r="P107" s="2167"/>
      <c r="Q107" s="2168"/>
      <c r="R107" s="2169"/>
      <c r="S107" s="2169"/>
      <c r="T107" s="2169"/>
      <c r="U107" s="2169"/>
      <c r="V107" s="2169"/>
      <c r="W107" s="2169"/>
      <c r="X107" s="2169"/>
      <c r="Y107" s="2169"/>
      <c r="Z107" s="2169"/>
      <c r="AA107" s="2169"/>
      <c r="AB107" s="2169"/>
      <c r="AC107" s="2169"/>
    </row>
    <row r="108" spans="1:29" s="1336" customFormat="1" ht="15.75" thickBot="1">
      <c r="A108" s="684"/>
      <c r="B108" s="678"/>
      <c r="C108" s="697"/>
      <c r="D108" s="697"/>
      <c r="E108" s="697"/>
      <c r="F108" s="697"/>
      <c r="G108" s="589"/>
      <c r="H108" s="589"/>
      <c r="I108" s="589"/>
      <c r="J108" s="589"/>
      <c r="K108" s="589"/>
      <c r="L108" s="589"/>
      <c r="M108" s="731"/>
      <c r="N108" s="2165"/>
      <c r="O108" s="2165"/>
      <c r="P108" s="2167"/>
      <c r="Q108" s="2168"/>
      <c r="R108" s="2169"/>
      <c r="S108" s="2169"/>
      <c r="T108" s="2169"/>
      <c r="U108" s="2169"/>
      <c r="V108" s="2169"/>
      <c r="W108" s="2169"/>
      <c r="X108" s="2169"/>
      <c r="Y108" s="2169"/>
      <c r="Z108" s="2169"/>
      <c r="AA108" s="2169"/>
      <c r="AB108" s="2169"/>
      <c r="AC108" s="2169"/>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6"/>
      <c r="B110" s="678"/>
      <c r="C110" s="727"/>
      <c r="D110" s="727"/>
      <c r="E110" s="727"/>
      <c r="F110" s="727"/>
      <c r="G110" s="727"/>
      <c r="H110" s="727"/>
      <c r="I110" s="727"/>
      <c r="J110" s="728"/>
      <c r="K110" s="728"/>
      <c r="L110" s="729"/>
      <c r="M110" s="730"/>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97"/>
      <c r="D111" s="723"/>
      <c r="E111" s="723"/>
      <c r="F111" s="723"/>
      <c r="G111" s="723"/>
      <c r="H111" s="723"/>
      <c r="I111" s="723"/>
      <c r="J111" s="723"/>
      <c r="K111" s="723"/>
      <c r="L111" s="723"/>
      <c r="M111" s="724"/>
      <c r="N111" s="2165"/>
      <c r="O111" s="2165"/>
      <c r="P111" s="2164"/>
      <c r="Q111" s="2157"/>
      <c r="R111" s="2144"/>
      <c r="S111" s="2144"/>
      <c r="T111" s="2144"/>
      <c r="U111" s="2144"/>
      <c r="V111" s="2144"/>
      <c r="W111" s="2144"/>
      <c r="X111" s="2144"/>
      <c r="Y111" s="2144"/>
      <c r="Z111" s="2144"/>
      <c r="AA111" s="2144"/>
      <c r="AB111" s="2144"/>
      <c r="AC111" s="2144"/>
    </row>
    <row r="112" spans="1:29" ht="15" thickTop="1">
      <c r="A112" s="732"/>
      <c r="B112" s="670" t="s">
        <v>594</v>
      </c>
      <c r="C112" s="715"/>
      <c r="D112" s="715"/>
      <c r="E112" s="715"/>
      <c r="F112" s="715"/>
      <c r="G112" s="715"/>
      <c r="H112" s="715"/>
      <c r="I112" s="715"/>
      <c r="J112" s="715"/>
      <c r="K112" s="716"/>
      <c r="L112" s="717"/>
      <c r="M112" s="718"/>
      <c r="N112" s="2163"/>
      <c r="O112" s="2163"/>
      <c r="P112" s="2164"/>
      <c r="Q112" s="2157"/>
      <c r="R112" s="2144"/>
      <c r="S112" s="2144"/>
      <c r="T112" s="2144"/>
      <c r="U112" s="2144"/>
      <c r="V112" s="2144"/>
      <c r="W112" s="2144"/>
      <c r="X112" s="2144"/>
      <c r="Y112" s="2144"/>
      <c r="Z112" s="2144"/>
      <c r="AA112" s="2144"/>
      <c r="AB112" s="2144"/>
      <c r="AC112" s="2144"/>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5"/>
      <c r="O113" s="2165"/>
      <c r="P113" s="2164"/>
      <c r="Q113" s="2157"/>
      <c r="R113" s="2144"/>
      <c r="S113" s="2144"/>
      <c r="T113" s="2144"/>
      <c r="U113" s="2144"/>
      <c r="V113" s="2144"/>
      <c r="W113" s="2144"/>
      <c r="X113" s="2144"/>
      <c r="Y113" s="2144"/>
      <c r="Z113" s="2144"/>
      <c r="AA113" s="2144"/>
      <c r="AB113" s="2144"/>
      <c r="AC113" s="2144"/>
    </row>
    <row r="114" spans="1:29" s="1336" customFormat="1" ht="15" thickTop="1">
      <c r="A114" s="725"/>
      <c r="B114" s="1895" t="s">
        <v>2428</v>
      </c>
      <c r="C114" s="1373"/>
      <c r="D114" s="1373"/>
      <c r="E114" s="1373"/>
      <c r="F114" s="1373"/>
      <c r="G114" s="1373"/>
      <c r="H114" s="715"/>
      <c r="I114" s="715"/>
      <c r="J114" s="715"/>
      <c r="K114" s="716"/>
      <c r="L114" s="717"/>
      <c r="M114" s="718"/>
      <c r="N114" s="2166"/>
      <c r="O114" s="2166"/>
      <c r="P114" s="2167"/>
      <c r="Q114" s="2168"/>
      <c r="R114" s="2169"/>
      <c r="S114" s="2169"/>
      <c r="T114" s="2169"/>
      <c r="U114" s="2169"/>
      <c r="V114" s="2169"/>
      <c r="W114" s="2169"/>
      <c r="X114" s="2169"/>
      <c r="Y114" s="2169"/>
      <c r="Z114" s="2169"/>
      <c r="AA114" s="2169"/>
      <c r="AB114" s="2169"/>
      <c r="AC114" s="2169"/>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2"/>
      <c r="B116" s="670" t="s">
        <v>596</v>
      </c>
      <c r="C116" s="685"/>
      <c r="D116" s="685"/>
      <c r="E116" s="715"/>
      <c r="F116" s="715"/>
      <c r="G116" s="71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f>B40</f>
        <v>111</v>
      </c>
      <c r="C118" s="685"/>
      <c r="D118" s="685"/>
      <c r="E118" s="685"/>
      <c r="F118" s="685"/>
      <c r="G118" s="685"/>
      <c r="H118" s="715"/>
      <c r="I118" s="715"/>
      <c r="J118" s="715"/>
      <c r="K118" s="716"/>
      <c r="L118" s="717"/>
      <c r="M118" s="71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89"/>
      <c r="D119" s="668"/>
      <c r="E119" s="668"/>
      <c r="F119" s="668"/>
      <c r="G119" s="668"/>
      <c r="H119" s="668"/>
      <c r="I119" s="668"/>
      <c r="J119" s="668"/>
      <c r="K119" s="668"/>
      <c r="L119" s="668"/>
      <c r="M119" s="669"/>
      <c r="N119" s="2165"/>
      <c r="O119" s="2165"/>
      <c r="P119" s="2164"/>
      <c r="Q119" s="2157"/>
      <c r="R119" s="2144"/>
      <c r="S119" s="2144"/>
      <c r="T119" s="2144"/>
      <c r="U119" s="2144"/>
      <c r="V119" s="2144"/>
      <c r="W119" s="2144"/>
      <c r="X119" s="2144"/>
      <c r="Y119" s="2144"/>
      <c r="Z119" s="2144"/>
      <c r="AA119" s="2144"/>
      <c r="AB119" s="2144"/>
      <c r="AC119" s="2144"/>
    </row>
    <row r="120" spans="1:29" ht="15" thickTop="1">
      <c r="A120" s="732"/>
      <c r="B120" s="670">
        <f>B41</f>
        <v>111</v>
      </c>
      <c r="C120" s="685"/>
      <c r="D120" s="685"/>
      <c r="E120" s="685"/>
      <c r="F120" s="685"/>
      <c r="G120" s="715"/>
      <c r="H120" s="715"/>
      <c r="I120" s="715"/>
      <c r="J120" s="715"/>
      <c r="K120" s="716"/>
      <c r="L120" s="717"/>
      <c r="M120" s="718"/>
      <c r="N120" s="2163"/>
      <c r="O120" s="2163"/>
      <c r="P120" s="2164"/>
      <c r="Q120" s="2157"/>
      <c r="R120" s="2144"/>
      <c r="S120" s="2144"/>
      <c r="T120" s="2144"/>
      <c r="U120" s="2144"/>
      <c r="V120" s="2144"/>
      <c r="W120" s="2144"/>
      <c r="X120" s="2144"/>
      <c r="Y120" s="2144"/>
      <c r="Z120" s="2144"/>
      <c r="AA120" s="2144"/>
      <c r="AB120" s="2144"/>
      <c r="AC120" s="2144"/>
    </row>
    <row r="121" spans="1:29" ht="15.75" thickBot="1">
      <c r="A121" s="666"/>
      <c r="B121" s="675"/>
      <c r="C121" s="689"/>
      <c r="D121" s="689"/>
      <c r="E121" s="689"/>
      <c r="F121" s="689"/>
      <c r="G121" s="668"/>
      <c r="H121" s="668"/>
      <c r="I121" s="668"/>
      <c r="J121" s="668"/>
      <c r="K121" s="668"/>
      <c r="L121" s="668"/>
      <c r="M121" s="669"/>
      <c r="N121" s="2165"/>
      <c r="O121" s="2165"/>
      <c r="P121" s="2164"/>
      <c r="Q121" s="2157"/>
      <c r="R121" s="2144"/>
      <c r="S121" s="2144"/>
      <c r="T121" s="2144"/>
      <c r="U121" s="2144"/>
      <c r="V121" s="2144"/>
      <c r="W121" s="2144"/>
      <c r="X121" s="2144"/>
      <c r="Y121" s="2144"/>
      <c r="Z121" s="2144"/>
      <c r="AA121" s="2144"/>
      <c r="AB121" s="2144"/>
      <c r="AC121" s="2144"/>
    </row>
    <row r="122" spans="1:29" s="1336" customFormat="1" ht="15" thickTop="1">
      <c r="A122" s="725"/>
      <c r="B122" s="670">
        <f>B42</f>
        <v>111</v>
      </c>
      <c r="C122" s="658"/>
      <c r="D122" s="658"/>
      <c r="E122" s="658"/>
      <c r="F122" s="658"/>
      <c r="G122" s="686"/>
      <c r="H122" s="686"/>
      <c r="I122" s="686"/>
      <c r="J122" s="686"/>
      <c r="K122" s="686"/>
      <c r="L122" s="687"/>
      <c r="M122" s="688"/>
      <c r="N122" s="2166"/>
      <c r="O122" s="2166"/>
      <c r="P122" s="2167"/>
      <c r="Q122" s="2168"/>
      <c r="R122" s="2169"/>
      <c r="S122" s="2169"/>
      <c r="T122" s="2169"/>
      <c r="U122" s="2169"/>
      <c r="V122" s="2169"/>
      <c r="W122" s="2169"/>
      <c r="X122" s="2169"/>
      <c r="Y122" s="2169"/>
      <c r="Z122" s="2169"/>
      <c r="AA122" s="2169"/>
      <c r="AB122" s="2169"/>
      <c r="AC122" s="2169"/>
    </row>
    <row r="123" spans="1:29" s="1336" customFormat="1" ht="15.75" thickBot="1">
      <c r="A123" s="695"/>
      <c r="B123" s="733"/>
      <c r="C123" s="697"/>
      <c r="D123" s="697"/>
      <c r="E123" s="697"/>
      <c r="F123" s="697"/>
      <c r="G123" s="723"/>
      <c r="H123" s="723"/>
      <c r="I123" s="723"/>
      <c r="J123" s="723"/>
      <c r="K123" s="723"/>
      <c r="L123" s="723"/>
      <c r="M123" s="724"/>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7" priority="14" stopIfTrue="1" operator="containsText" text="超过">
      <formula>NOT(ISERROR(SEARCH("超过",F48)))</formula>
    </cfRule>
  </conditionalFormatting>
  <conditionalFormatting sqref="J50">
    <cfRule type="containsText" dxfId="126" priority="13" stopIfTrue="1" operator="containsText" text="超过">
      <formula>NOT(ISERROR(SEARCH("超过",J50)))</formula>
    </cfRule>
  </conditionalFormatting>
  <conditionalFormatting sqref="H50">
    <cfRule type="containsText" dxfId="125" priority="12" stopIfTrue="1" operator="containsText" text="超过">
      <formula>NOT(ISERROR(SEARCH("超过",H50)))</formula>
    </cfRule>
  </conditionalFormatting>
  <conditionalFormatting sqref="F50">
    <cfRule type="containsText" dxfId="124" priority="11" stopIfTrue="1" operator="containsText" text="超过">
      <formula>NOT(ISERROR(SEARCH("超过",F50)))</formula>
    </cfRule>
  </conditionalFormatting>
  <conditionalFormatting sqref="F49 H49 J49">
    <cfRule type="containsText" dxfId="123" priority="10" stopIfTrue="1" operator="containsText" text="超过">
      <formula>NOT(ISERROR(SEARCH("超过",F49)))</formula>
    </cfRule>
  </conditionalFormatting>
  <conditionalFormatting sqref="E48">
    <cfRule type="expression" dxfId="122" priority="9" stopIfTrue="1">
      <formula>$F$48="超过30%"</formula>
    </cfRule>
  </conditionalFormatting>
  <conditionalFormatting sqref="G50">
    <cfRule type="expression" dxfId="121" priority="8" stopIfTrue="1">
      <formula>$H$50="超过30%"</formula>
    </cfRule>
  </conditionalFormatting>
  <conditionalFormatting sqref="E50">
    <cfRule type="expression" dxfId="120" priority="6" stopIfTrue="1">
      <formula>$F$50="超过30%"</formula>
    </cfRule>
  </conditionalFormatting>
  <conditionalFormatting sqref="G48">
    <cfRule type="expression" dxfId="119" priority="5" stopIfTrue="1">
      <formula>$H$48="超过30%"</formula>
    </cfRule>
  </conditionalFormatting>
  <conditionalFormatting sqref="G49">
    <cfRule type="expression" dxfId="118" priority="4" stopIfTrue="1">
      <formula>$H$49="超过20%"</formula>
    </cfRule>
  </conditionalFormatting>
  <conditionalFormatting sqref="I48">
    <cfRule type="expression" dxfId="117" priority="3" stopIfTrue="1">
      <formula>$J$48="超过30%"</formula>
    </cfRule>
  </conditionalFormatting>
  <conditionalFormatting sqref="I49">
    <cfRule type="expression" dxfId="116" priority="2" stopIfTrue="1">
      <formula>$J$49="超过20%"</formula>
    </cfRule>
  </conditionalFormatting>
  <conditionalFormatting sqref="I50">
    <cfRule type="expression" dxfId="115" priority="1" stopIfTrue="1">
      <formula>$J$50="超过30%"</formula>
    </cfRule>
  </conditionalFormatting>
  <conditionalFormatting sqref="E49">
    <cfRule type="expression" dxfId="11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2429</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2766</v>
      </c>
      <c r="T1" s="2933" t="s">
        <v>2787</v>
      </c>
      <c r="U1" s="2933" t="s">
        <v>2788</v>
      </c>
      <c r="V1" s="2933" t="s">
        <v>2789</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45"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2768</v>
      </c>
      <c r="X7" s="2924">
        <f>G2</f>
        <v>0</v>
      </c>
      <c r="Y7" s="2924" t="s">
        <v>2769</v>
      </c>
      <c r="Z7" s="2925">
        <f>G3</f>
        <v>2.2000000000000002</v>
      </c>
      <c r="AA7" s="2191"/>
      <c r="AB7" s="2191"/>
      <c r="AC7" s="2192"/>
      <c r="AD7" s="2926"/>
      <c r="AE7" s="2926"/>
      <c r="AF7" s="2926"/>
      <c r="AG7" s="2926"/>
      <c r="AH7" s="2926"/>
      <c r="AI7" s="2926"/>
      <c r="AJ7" s="2927"/>
    </row>
    <row r="8" spans="1:39" ht="15">
      <c r="A8" s="3446"/>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47" t="s">
        <v>2786</v>
      </c>
      <c r="X8" s="3448"/>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6"/>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49"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6"/>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49"/>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6"/>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49"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5"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49"/>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0"/>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49"/>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50"/>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51"/>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984</v>
      </c>
      <c r="N15" s="1426" t="s">
        <v>985</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45"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46"/>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1837</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1.44E-2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1.44E-2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2.23E-2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2.0400000000000001E-2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5"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6"/>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6"/>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7"/>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2254</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2255</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2256</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38" t="s">
        <v>1634</v>
      </c>
      <c r="B90" s="3438"/>
      <c r="C90" s="3438"/>
      <c r="D90" s="3438"/>
      <c r="E90" s="3438"/>
      <c r="F90" s="3438"/>
      <c r="G90" s="3438"/>
      <c r="H90" s="3438"/>
      <c r="I90" s="3438"/>
      <c r="J90" s="3438"/>
      <c r="K90" s="2449"/>
      <c r="L90" s="2449"/>
      <c r="M90" s="2449"/>
      <c r="N90" s="2449"/>
    </row>
    <row r="91" spans="1:40">
      <c r="A91" s="3439" t="s">
        <v>1444</v>
      </c>
      <c r="B91" s="3439" t="s">
        <v>1635</v>
      </c>
      <c r="C91" s="1137" t="s">
        <v>1636</v>
      </c>
      <c r="D91" s="1138"/>
      <c r="E91" s="1138"/>
      <c r="F91" s="1138"/>
      <c r="G91" s="1138"/>
      <c r="H91" s="1138"/>
      <c r="I91" s="1138"/>
      <c r="J91" s="1139"/>
      <c r="K91" s="1131"/>
      <c r="L91" s="1131"/>
      <c r="M91" s="1131"/>
      <c r="N91" s="1131"/>
    </row>
    <row r="92" spans="1:40">
      <c r="A92" s="3439"/>
      <c r="B92" s="3439"/>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0"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1"/>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0" t="s">
        <v>1638</v>
      </c>
      <c r="B101" s="1144" t="s">
        <v>906</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41"/>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41"/>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41"/>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41"/>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41"/>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41"/>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41"/>
      <c r="B108" s="3443"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2"/>
      <c r="B109" s="3444"/>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34" t="s">
        <v>1640</v>
      </c>
      <c r="B110" s="3434"/>
      <c r="C110" s="3434"/>
      <c r="D110" s="3434"/>
      <c r="E110" s="3434"/>
      <c r="F110" s="3434"/>
      <c r="G110" s="3434"/>
      <c r="H110" s="3434"/>
      <c r="I110" s="3434"/>
      <c r="J110" s="3434"/>
      <c r="K110" s="2447"/>
      <c r="L110" s="2447"/>
      <c r="M110" s="2447"/>
      <c r="N110" s="2447"/>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7" customFormat="1" ht="19.5" customHeight="1">
      <c r="A18" s="3439" t="s">
        <v>1008</v>
      </c>
      <c r="B18" s="1151" t="s">
        <v>1447</v>
      </c>
      <c r="C18" s="1128" t="s">
        <v>1448</v>
      </c>
      <c r="D18" s="1129"/>
      <c r="E18" s="1151">
        <v>1</v>
      </c>
      <c r="F18" s="1130" t="s">
        <v>1449</v>
      </c>
      <c r="G18" s="1131"/>
      <c r="H18" s="1102"/>
      <c r="I18" s="1102"/>
    </row>
    <row r="19" spans="1:9" s="1597" customFormat="1" ht="19.5" customHeight="1">
      <c r="A19" s="3439"/>
      <c r="B19" s="3439" t="s">
        <v>1450</v>
      </c>
      <c r="C19" s="1128" t="s">
        <v>1451</v>
      </c>
      <c r="D19" s="1129"/>
      <c r="E19" s="1151">
        <v>0.9</v>
      </c>
      <c r="F19" s="1130" t="s">
        <v>1452</v>
      </c>
      <c r="G19" s="1131"/>
      <c r="H19" s="1102"/>
      <c r="I19" s="1102"/>
    </row>
    <row r="20" spans="1:9" s="1597" customFormat="1" ht="19.5" customHeight="1">
      <c r="A20" s="3439"/>
      <c r="B20" s="3439"/>
      <c r="C20" s="1128" t="s">
        <v>1453</v>
      </c>
      <c r="D20" s="1129"/>
      <c r="E20" s="1151">
        <v>1.1000000000000001</v>
      </c>
      <c r="F20" s="1130" t="s">
        <v>1454</v>
      </c>
      <c r="G20" s="1131"/>
      <c r="H20" s="1102"/>
      <c r="I20" s="1102"/>
    </row>
    <row r="21" spans="1:9" s="1597" customFormat="1" ht="19.5" customHeight="1">
      <c r="A21" s="3439"/>
      <c r="B21" s="3439"/>
      <c r="C21" s="1128" t="s">
        <v>1455</v>
      </c>
      <c r="D21" s="1129"/>
      <c r="E21" s="1151">
        <v>0.8</v>
      </c>
      <c r="F21" s="1130" t="s">
        <v>1456</v>
      </c>
      <c r="G21" s="1131"/>
      <c r="H21" s="1102"/>
      <c r="I21" s="1102"/>
    </row>
    <row r="22" spans="1:9" s="1597" customFormat="1" ht="19.5" customHeight="1">
      <c r="A22" s="3439"/>
      <c r="B22" s="3439"/>
      <c r="C22" s="1128" t="s">
        <v>1457</v>
      </c>
      <c r="D22" s="1129"/>
      <c r="E22" s="1151">
        <v>0.5</v>
      </c>
      <c r="F22" s="1130"/>
      <c r="G22" s="1131"/>
      <c r="H22" s="1102"/>
      <c r="I22" s="1102"/>
    </row>
    <row r="23" spans="1:9" s="1597" customFormat="1" ht="19.5" customHeight="1">
      <c r="A23" s="3439" t="s">
        <v>1030</v>
      </c>
      <c r="B23" s="1151" t="s">
        <v>1447</v>
      </c>
      <c r="C23" s="1128" t="s">
        <v>1458</v>
      </c>
      <c r="D23" s="1129"/>
      <c r="E23" s="1151">
        <v>1</v>
      </c>
      <c r="F23" s="1130" t="s">
        <v>1459</v>
      </c>
      <c r="G23" s="1131"/>
      <c r="H23" s="1102"/>
      <c r="I23" s="1102"/>
    </row>
    <row r="24" spans="1:9" s="1597" customFormat="1" ht="19.5" customHeight="1">
      <c r="A24" s="3439"/>
      <c r="B24" s="3439" t="s">
        <v>1450</v>
      </c>
      <c r="C24" s="1128" t="s">
        <v>1460</v>
      </c>
      <c r="D24" s="1129"/>
      <c r="E24" s="1151">
        <v>0.5</v>
      </c>
      <c r="F24" s="1130"/>
      <c r="G24" s="1131"/>
      <c r="H24" s="1102"/>
      <c r="I24" s="1102"/>
    </row>
    <row r="25" spans="1:9" s="1597" customFormat="1" ht="19.5" customHeight="1">
      <c r="A25" s="3439"/>
      <c r="B25" s="3439"/>
      <c r="C25" s="1128" t="s">
        <v>1461</v>
      </c>
      <c r="D25" s="1129"/>
      <c r="E25" s="1151">
        <v>1.1000000000000001</v>
      </c>
      <c r="F25" s="1130"/>
      <c r="G25" s="1131"/>
      <c r="H25" s="1102"/>
      <c r="I25" s="1102"/>
    </row>
    <row r="26" spans="1:9" s="1597" customFormat="1" ht="19.5" customHeight="1">
      <c r="A26" s="3439"/>
      <c r="B26" s="3439"/>
      <c r="C26" s="1128" t="s">
        <v>1462</v>
      </c>
      <c r="D26" s="1129"/>
      <c r="E26" s="1151">
        <v>1.1000000000000001</v>
      </c>
      <c r="F26" s="1130"/>
      <c r="G26" s="1131"/>
      <c r="H26" s="1102"/>
      <c r="I26" s="1102"/>
    </row>
    <row r="27" spans="1:9" s="1597" customFormat="1" ht="19.5" customHeight="1">
      <c r="A27" s="3439"/>
      <c r="B27" s="3439"/>
      <c r="C27" s="1128" t="s">
        <v>1463</v>
      </c>
      <c r="D27" s="1129"/>
      <c r="E27" s="1151">
        <v>0.9</v>
      </c>
      <c r="F27" s="1130" t="s">
        <v>1464</v>
      </c>
      <c r="G27" s="1131"/>
      <c r="H27" s="1102"/>
      <c r="I27" s="1102"/>
    </row>
    <row r="28" spans="1:9" s="1597" customFormat="1" ht="19.5" customHeight="1">
      <c r="A28" s="3439"/>
      <c r="B28" s="3439"/>
      <c r="C28" s="1128" t="s">
        <v>1465</v>
      </c>
      <c r="D28" s="1129"/>
      <c r="E28" s="1151">
        <v>0.9</v>
      </c>
      <c r="F28" s="1130" t="s">
        <v>1466</v>
      </c>
      <c r="G28" s="1131"/>
      <c r="H28" s="1102"/>
      <c r="I28" s="1102"/>
    </row>
    <row r="29" spans="1:9" s="1597" customFormat="1" ht="19.5" customHeight="1">
      <c r="A29" s="3439"/>
      <c r="B29" s="3439"/>
      <c r="C29" s="1128" t="s">
        <v>1467</v>
      </c>
      <c r="D29" s="1129"/>
      <c r="E29" s="1151">
        <v>0.9</v>
      </c>
      <c r="F29" s="1130" t="s">
        <v>1468</v>
      </c>
      <c r="G29" s="1131"/>
      <c r="H29" s="1102"/>
      <c r="I29" s="1102"/>
    </row>
    <row r="30" spans="1:9" s="1597" customFormat="1" ht="19.5" customHeight="1">
      <c r="A30" s="3439"/>
      <c r="B30" s="3439"/>
      <c r="C30" s="1128" t="s">
        <v>1469</v>
      </c>
      <c r="D30" s="1129"/>
      <c r="E30" s="1151">
        <v>0.9</v>
      </c>
      <c r="F30" s="1130" t="s">
        <v>1470</v>
      </c>
      <c r="G30" s="1131"/>
      <c r="H30" s="1102"/>
      <c r="I30" s="1102"/>
    </row>
    <row r="31" spans="1:9" s="1597" customFormat="1" ht="19.5" customHeight="1">
      <c r="A31" s="3439"/>
      <c r="B31" s="3439"/>
      <c r="C31" s="1128" t="s">
        <v>1471</v>
      </c>
      <c r="D31" s="1129"/>
      <c r="E31" s="1151">
        <v>0.8</v>
      </c>
      <c r="F31" s="1130" t="s">
        <v>1472</v>
      </c>
      <c r="G31" s="1131"/>
      <c r="H31" s="1102"/>
      <c r="I31" s="1102"/>
    </row>
    <row r="32" spans="1:9" s="1597" customFormat="1" ht="19.5" customHeight="1">
      <c r="A32" s="3439"/>
      <c r="B32" s="3439"/>
      <c r="C32" s="1128" t="s">
        <v>1473</v>
      </c>
      <c r="D32" s="1129"/>
      <c r="E32" s="1151">
        <v>0.8</v>
      </c>
      <c r="F32" s="1130" t="s">
        <v>1474</v>
      </c>
      <c r="G32" s="1131"/>
      <c r="H32" s="1102"/>
      <c r="I32" s="1102"/>
    </row>
    <row r="33" spans="1:9" s="1597" customFormat="1" ht="19.5" customHeight="1">
      <c r="A33" s="3439" t="s">
        <v>1475</v>
      </c>
      <c r="B33" s="1151" t="s">
        <v>1447</v>
      </c>
      <c r="C33" s="1128" t="s">
        <v>1476</v>
      </c>
      <c r="D33" s="1129"/>
      <c r="E33" s="1151">
        <v>1</v>
      </c>
      <c r="F33" s="1130" t="s">
        <v>1477</v>
      </c>
      <c r="G33" s="1131"/>
      <c r="H33" s="1102"/>
      <c r="I33" s="1102"/>
    </row>
    <row r="34" spans="1:9" s="1597" customFormat="1" ht="19.5" customHeight="1">
      <c r="A34" s="3439"/>
      <c r="B34" s="1151" t="s">
        <v>1450</v>
      </c>
      <c r="C34" s="1128" t="s">
        <v>1478</v>
      </c>
      <c r="D34" s="1129"/>
      <c r="E34" s="1151">
        <v>1.5</v>
      </c>
      <c r="F34" s="1130" t="s">
        <v>1479</v>
      </c>
      <c r="G34" s="1131"/>
      <c r="H34" s="1102"/>
      <c r="I34" s="1102"/>
    </row>
    <row r="35" spans="1:9" s="1597" customFormat="1" ht="19.5" customHeight="1">
      <c r="A35" s="3439" t="s">
        <v>1433</v>
      </c>
      <c r="B35" s="1151" t="s">
        <v>1447</v>
      </c>
      <c r="C35" s="1128" t="s">
        <v>1480</v>
      </c>
      <c r="D35" s="1129"/>
      <c r="E35" s="1151">
        <v>1</v>
      </c>
      <c r="F35" s="1130" t="s">
        <v>1481</v>
      </c>
      <c r="G35" s="1131"/>
      <c r="H35" s="1102"/>
      <c r="I35" s="1102"/>
    </row>
    <row r="36" spans="1:9" s="1597" customFormat="1" ht="19.5" customHeight="1">
      <c r="A36" s="3439"/>
      <c r="B36" s="3439" t="s">
        <v>1450</v>
      </c>
      <c r="C36" s="1128" t="s">
        <v>1482</v>
      </c>
      <c r="D36" s="1129"/>
      <c r="E36" s="1151">
        <v>1</v>
      </c>
      <c r="F36" s="1130" t="s">
        <v>1483</v>
      </c>
      <c r="G36" s="1131"/>
      <c r="H36" s="1102"/>
      <c r="I36" s="1102"/>
    </row>
    <row r="37" spans="1:9" s="1597" customFormat="1" ht="19.5" customHeight="1">
      <c r="A37" s="3439"/>
      <c r="B37" s="3439"/>
      <c r="C37" s="1128" t="s">
        <v>1484</v>
      </c>
      <c r="D37" s="1129"/>
      <c r="E37" s="1151">
        <v>1.5</v>
      </c>
      <c r="F37" s="1130" t="s">
        <v>1485</v>
      </c>
      <c r="G37" s="1131"/>
      <c r="H37" s="1102"/>
      <c r="I37" s="1102"/>
    </row>
    <row r="38" spans="1:9" s="1597" customFormat="1" ht="19.5" customHeight="1">
      <c r="A38" s="3439"/>
      <c r="B38" s="3439"/>
      <c r="C38" s="1128" t="s">
        <v>1486</v>
      </c>
      <c r="D38" s="1129"/>
      <c r="E38" s="1151">
        <v>1</v>
      </c>
      <c r="F38" s="1130" t="s">
        <v>1487</v>
      </c>
      <c r="G38" s="1131"/>
      <c r="H38" s="1102"/>
      <c r="I38" s="1102"/>
    </row>
    <row r="39" spans="1:9" s="1597" customFormat="1" ht="19.5" customHeight="1">
      <c r="A39" s="3439"/>
      <c r="B39" s="3439"/>
      <c r="C39" s="1128" t="s">
        <v>1488</v>
      </c>
      <c r="D39" s="1129"/>
      <c r="E39" s="1151">
        <v>1</v>
      </c>
      <c r="F39" s="1130" t="s">
        <v>1489</v>
      </c>
      <c r="G39" s="1131"/>
      <c r="H39" s="1102"/>
      <c r="I39" s="1102"/>
    </row>
    <row r="40" spans="1:9" s="1597" customFormat="1" ht="19.5" customHeight="1">
      <c r="A40" s="1598" t="s">
        <v>1490</v>
      </c>
      <c r="B40" s="1598"/>
      <c r="C40" s="1598"/>
      <c r="D40" s="1598"/>
      <c r="E40" s="1598"/>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439" t="s">
        <v>1502</v>
      </c>
      <c r="C61" s="1065" t="s">
        <v>1503</v>
      </c>
      <c r="D61" s="1065" t="s">
        <v>1504</v>
      </c>
      <c r="E61" s="1136">
        <v>0.5</v>
      </c>
      <c r="F61" s="1151">
        <v>80</v>
      </c>
      <c r="H61" s="1102">
        <f>SUMIF(C59:C119,基准地价!C8,E59:E119)</f>
        <v>0</v>
      </c>
    </row>
    <row r="62" spans="1:8" s="1102" customFormat="1" ht="24">
      <c r="A62" s="1151">
        <v>2</v>
      </c>
      <c r="B62" s="3439"/>
      <c r="C62" s="1065" t="s">
        <v>1505</v>
      </c>
      <c r="D62" s="1065" t="s">
        <v>1506</v>
      </c>
      <c r="E62" s="1136">
        <v>0.5</v>
      </c>
      <c r="F62" s="1151">
        <v>80</v>
      </c>
    </row>
    <row r="63" spans="1:8" s="1102" customFormat="1" ht="36">
      <c r="A63" s="1151">
        <v>3</v>
      </c>
      <c r="B63" s="3439"/>
      <c r="C63" s="1065" t="s">
        <v>1507</v>
      </c>
      <c r="D63" s="1065" t="s">
        <v>1508</v>
      </c>
      <c r="E63" s="1136">
        <v>0.5</v>
      </c>
      <c r="F63" s="1151">
        <v>80</v>
      </c>
    </row>
    <row r="64" spans="1:8" s="1102" customFormat="1" ht="36">
      <c r="A64" s="1151">
        <v>4</v>
      </c>
      <c r="B64" s="3439"/>
      <c r="C64" s="1065" t="s">
        <v>1509</v>
      </c>
      <c r="D64" s="1065" t="s">
        <v>1510</v>
      </c>
      <c r="E64" s="1136">
        <v>0.4</v>
      </c>
      <c r="F64" s="1151">
        <v>60</v>
      </c>
    </row>
    <row r="65" spans="1:6" s="1102" customFormat="1" ht="36">
      <c r="A65" s="1151">
        <v>5</v>
      </c>
      <c r="B65" s="3439"/>
      <c r="C65" s="1065" t="s">
        <v>1511</v>
      </c>
      <c r="D65" s="1065" t="s">
        <v>1512</v>
      </c>
      <c r="E65" s="1136">
        <v>0.2</v>
      </c>
      <c r="F65" s="1151">
        <v>30</v>
      </c>
    </row>
    <row r="66" spans="1:6" s="1102" customFormat="1" ht="36">
      <c r="A66" s="1151">
        <v>6</v>
      </c>
      <c r="B66" s="3439"/>
      <c r="C66" s="1065" t="s">
        <v>1513</v>
      </c>
      <c r="D66" s="1065" t="s">
        <v>1514</v>
      </c>
      <c r="E66" s="1136">
        <v>0.3</v>
      </c>
      <c r="F66" s="1151">
        <v>50</v>
      </c>
    </row>
    <row r="67" spans="1:6" s="1102" customFormat="1" ht="36">
      <c r="A67" s="1151">
        <v>7</v>
      </c>
      <c r="B67" s="3439"/>
      <c r="C67" s="1065" t="s">
        <v>1515</v>
      </c>
      <c r="D67" s="1065" t="s">
        <v>1516</v>
      </c>
      <c r="E67" s="1136">
        <v>0.2</v>
      </c>
      <c r="F67" s="1151">
        <v>30</v>
      </c>
    </row>
    <row r="68" spans="1:6" s="1102" customFormat="1" ht="36">
      <c r="A68" s="1151">
        <v>8</v>
      </c>
      <c r="B68" s="3439"/>
      <c r="C68" s="1065" t="s">
        <v>1517</v>
      </c>
      <c r="D68" s="1065" t="s">
        <v>1518</v>
      </c>
      <c r="E68" s="1136">
        <v>0.2</v>
      </c>
      <c r="F68" s="1151">
        <v>30</v>
      </c>
    </row>
    <row r="69" spans="1:6" s="1102" customFormat="1" ht="36">
      <c r="A69" s="1151">
        <v>9</v>
      </c>
      <c r="B69" s="3439"/>
      <c r="C69" s="1065" t="s">
        <v>1519</v>
      </c>
      <c r="D69" s="1065" t="s">
        <v>1520</v>
      </c>
      <c r="E69" s="1136">
        <v>0.2</v>
      </c>
      <c r="F69" s="1151">
        <v>30</v>
      </c>
    </row>
    <row r="70" spans="1:6" s="1102" customFormat="1" ht="48">
      <c r="A70" s="1151">
        <v>10</v>
      </c>
      <c r="B70" s="3439"/>
      <c r="C70" s="1065" t="s">
        <v>1521</v>
      </c>
      <c r="D70" s="1065" t="s">
        <v>1522</v>
      </c>
      <c r="E70" s="1136">
        <v>0.2</v>
      </c>
      <c r="F70" s="1151">
        <v>30</v>
      </c>
    </row>
    <row r="71" spans="1:6" s="1102" customFormat="1" ht="48">
      <c r="A71" s="1151">
        <v>11</v>
      </c>
      <c r="B71" s="3439"/>
      <c r="C71" s="1065" t="s">
        <v>1523</v>
      </c>
      <c r="D71" s="1065" t="s">
        <v>1524</v>
      </c>
      <c r="E71" s="1136">
        <v>0.2</v>
      </c>
      <c r="F71" s="1151">
        <v>30</v>
      </c>
    </row>
    <row r="72" spans="1:6" s="1102" customFormat="1" ht="36">
      <c r="A72" s="1151">
        <v>12</v>
      </c>
      <c r="B72" s="3439"/>
      <c r="C72" s="1065" t="s">
        <v>1525</v>
      </c>
      <c r="D72" s="1065" t="s">
        <v>1526</v>
      </c>
      <c r="E72" s="1136">
        <v>0.5</v>
      </c>
      <c r="F72" s="1151">
        <v>80</v>
      </c>
    </row>
    <row r="73" spans="1:6" s="1102" customFormat="1" ht="24">
      <c r="A73" s="1151">
        <v>13</v>
      </c>
      <c r="B73" s="3439"/>
      <c r="C73" s="1065" t="s">
        <v>1527</v>
      </c>
      <c r="D73" s="1065" t="s">
        <v>1528</v>
      </c>
      <c r="E73" s="1136">
        <v>0.4</v>
      </c>
      <c r="F73" s="1151">
        <v>60</v>
      </c>
    </row>
    <row r="74" spans="1:6" s="1102" customFormat="1" ht="24">
      <c r="A74" s="1151">
        <v>14</v>
      </c>
      <c r="B74" s="3439"/>
      <c r="C74" s="1065" t="s">
        <v>1529</v>
      </c>
      <c r="D74" s="1065" t="s">
        <v>1530</v>
      </c>
      <c r="E74" s="1136">
        <v>0.2</v>
      </c>
      <c r="F74" s="1151">
        <v>30</v>
      </c>
    </row>
    <row r="75" spans="1:6" s="1102" customFormat="1" ht="24">
      <c r="A75" s="1151">
        <v>15</v>
      </c>
      <c r="B75" s="3439"/>
      <c r="C75" s="1065" t="s">
        <v>1531</v>
      </c>
      <c r="D75" s="1065" t="s">
        <v>1532</v>
      </c>
      <c r="E75" s="1136">
        <v>0.2</v>
      </c>
      <c r="F75" s="1151">
        <v>30</v>
      </c>
    </row>
    <row r="76" spans="1:6" s="1102" customFormat="1" ht="24">
      <c r="A76" s="1151">
        <v>16</v>
      </c>
      <c r="B76" s="3439" t="s">
        <v>1533</v>
      </c>
      <c r="C76" s="1065" t="s">
        <v>1534</v>
      </c>
      <c r="D76" s="1065" t="s">
        <v>1535</v>
      </c>
      <c r="E76" s="1136">
        <v>0.5</v>
      </c>
      <c r="F76" s="1151">
        <v>80</v>
      </c>
    </row>
    <row r="77" spans="1:6" s="1102" customFormat="1" ht="24">
      <c r="A77" s="1151">
        <v>17</v>
      </c>
      <c r="B77" s="3439"/>
      <c r="C77" s="1065" t="s">
        <v>1536</v>
      </c>
      <c r="D77" s="1065" t="s">
        <v>1537</v>
      </c>
      <c r="E77" s="1136">
        <v>0.5</v>
      </c>
      <c r="F77" s="1151">
        <v>80</v>
      </c>
    </row>
    <row r="78" spans="1:6" s="1102" customFormat="1" ht="24">
      <c r="A78" s="1151">
        <v>18</v>
      </c>
      <c r="B78" s="3439"/>
      <c r="C78" s="1065" t="s">
        <v>1538</v>
      </c>
      <c r="D78" s="1065" t="s">
        <v>1539</v>
      </c>
      <c r="E78" s="1136">
        <v>0.2</v>
      </c>
      <c r="F78" s="1151">
        <v>30</v>
      </c>
    </row>
    <row r="79" spans="1:6" s="1102" customFormat="1" ht="24">
      <c r="A79" s="1151">
        <v>19</v>
      </c>
      <c r="B79" s="3439"/>
      <c r="C79" s="1065" t="s">
        <v>1540</v>
      </c>
      <c r="D79" s="1065" t="s">
        <v>1541</v>
      </c>
      <c r="E79" s="1136">
        <v>0.5</v>
      </c>
      <c r="F79" s="1151">
        <v>80</v>
      </c>
    </row>
    <row r="80" spans="1:6" s="1102" customFormat="1" ht="36">
      <c r="A80" s="1151">
        <v>20</v>
      </c>
      <c r="B80" s="3439"/>
      <c r="C80" s="1065" t="s">
        <v>1542</v>
      </c>
      <c r="D80" s="1065" t="s">
        <v>1543</v>
      </c>
      <c r="E80" s="1136">
        <v>0.2</v>
      </c>
      <c r="F80" s="1151">
        <v>30</v>
      </c>
    </row>
    <row r="81" spans="1:6" s="1102" customFormat="1" ht="36">
      <c r="A81" s="1151">
        <v>21</v>
      </c>
      <c r="B81" s="3439"/>
      <c r="C81" s="1065" t="s">
        <v>1544</v>
      </c>
      <c r="D81" s="1065" t="s">
        <v>1545</v>
      </c>
      <c r="E81" s="1136">
        <v>0.2</v>
      </c>
      <c r="F81" s="1151">
        <v>30</v>
      </c>
    </row>
    <row r="82" spans="1:6" s="1102" customFormat="1" ht="48">
      <c r="A82" s="1151">
        <v>22</v>
      </c>
      <c r="B82" s="3439"/>
      <c r="C82" s="1065" t="s">
        <v>1546</v>
      </c>
      <c r="D82" s="1065" t="s">
        <v>1547</v>
      </c>
      <c r="E82" s="1136">
        <v>0.2</v>
      </c>
      <c r="F82" s="1151">
        <v>30</v>
      </c>
    </row>
    <row r="83" spans="1:6" s="1102" customFormat="1" ht="48">
      <c r="A83" s="1151">
        <v>23</v>
      </c>
      <c r="B83" s="3439"/>
      <c r="C83" s="1065" t="s">
        <v>1548</v>
      </c>
      <c r="D83" s="1065" t="s">
        <v>1549</v>
      </c>
      <c r="E83" s="1136">
        <v>0.2</v>
      </c>
      <c r="F83" s="1151">
        <v>30</v>
      </c>
    </row>
    <row r="84" spans="1:6" s="1102" customFormat="1" ht="36">
      <c r="A84" s="1151">
        <v>24</v>
      </c>
      <c r="B84" s="3439"/>
      <c r="C84" s="1065" t="s">
        <v>1550</v>
      </c>
      <c r="D84" s="1065" t="s">
        <v>1551</v>
      </c>
      <c r="E84" s="1136">
        <v>0.2</v>
      </c>
      <c r="F84" s="1151">
        <v>30</v>
      </c>
    </row>
    <row r="85" spans="1:6" s="1102" customFormat="1" ht="36">
      <c r="A85" s="1151">
        <v>25</v>
      </c>
      <c r="B85" s="3439"/>
      <c r="C85" s="1065" t="s">
        <v>1552</v>
      </c>
      <c r="D85" s="1065" t="s">
        <v>1553</v>
      </c>
      <c r="E85" s="1136">
        <v>0.5</v>
      </c>
      <c r="F85" s="1151">
        <v>80</v>
      </c>
    </row>
    <row r="86" spans="1:6" s="1102" customFormat="1" ht="36">
      <c r="A86" s="1151">
        <v>26</v>
      </c>
      <c r="B86" s="3439"/>
      <c r="C86" s="1065" t="s">
        <v>1554</v>
      </c>
      <c r="D86" s="1065" t="s">
        <v>1555</v>
      </c>
      <c r="E86" s="1136">
        <v>0.2</v>
      </c>
      <c r="F86" s="1151">
        <v>30</v>
      </c>
    </row>
    <row r="87" spans="1:6" s="1102" customFormat="1" ht="36">
      <c r="A87" s="1151">
        <v>27</v>
      </c>
      <c r="B87" s="3439"/>
      <c r="C87" s="1065" t="s">
        <v>1556</v>
      </c>
      <c r="D87" s="1065" t="s">
        <v>1557</v>
      </c>
      <c r="E87" s="1136">
        <v>0.2</v>
      </c>
      <c r="F87" s="1151">
        <v>30</v>
      </c>
    </row>
    <row r="88" spans="1:6" s="1102" customFormat="1" ht="36">
      <c r="A88" s="1151">
        <v>28</v>
      </c>
      <c r="B88" s="3439"/>
      <c r="C88" s="1065" t="s">
        <v>1558</v>
      </c>
      <c r="D88" s="1065" t="s">
        <v>1559</v>
      </c>
      <c r="E88" s="1136">
        <v>0.2</v>
      </c>
      <c r="F88" s="1151">
        <v>30</v>
      </c>
    </row>
    <row r="89" spans="1:6" s="1102" customFormat="1" ht="24">
      <c r="A89" s="1151">
        <v>29</v>
      </c>
      <c r="B89" s="3439"/>
      <c r="C89" s="1065" t="s">
        <v>1560</v>
      </c>
      <c r="D89" s="1065" t="s">
        <v>1561</v>
      </c>
      <c r="E89" s="1136">
        <v>0.2</v>
      </c>
      <c r="F89" s="1151">
        <v>30</v>
      </c>
    </row>
    <row r="90" spans="1:6" s="1102" customFormat="1" ht="24">
      <c r="A90" s="1151">
        <v>30</v>
      </c>
      <c r="B90" s="3439"/>
      <c r="C90" s="1065" t="s">
        <v>1562</v>
      </c>
      <c r="D90" s="1065" t="s">
        <v>1563</v>
      </c>
      <c r="E90" s="1136">
        <v>0.2</v>
      </c>
      <c r="F90" s="1151">
        <v>30</v>
      </c>
    </row>
    <row r="91" spans="1:6" s="1102" customFormat="1" ht="36">
      <c r="A91" s="1151">
        <v>31</v>
      </c>
      <c r="B91" s="3439"/>
      <c r="C91" s="1065" t="s">
        <v>1564</v>
      </c>
      <c r="D91" s="1065" t="s">
        <v>1565</v>
      </c>
      <c r="E91" s="1136">
        <v>0.2</v>
      </c>
      <c r="F91" s="1151">
        <v>30</v>
      </c>
    </row>
    <row r="92" spans="1:6" s="1102" customFormat="1" ht="24">
      <c r="A92" s="1151">
        <v>32</v>
      </c>
      <c r="B92" s="3439" t="s">
        <v>1566</v>
      </c>
      <c r="C92" s="1151" t="s">
        <v>1567</v>
      </c>
      <c r="D92" s="1065" t="s">
        <v>1568</v>
      </c>
      <c r="E92" s="1136">
        <v>0.2</v>
      </c>
      <c r="F92" s="1151">
        <v>30</v>
      </c>
    </row>
    <row r="93" spans="1:6" s="1102" customFormat="1" ht="36">
      <c r="A93" s="1151">
        <v>33</v>
      </c>
      <c r="B93" s="3439"/>
      <c r="C93" s="1151" t="s">
        <v>1569</v>
      </c>
      <c r="D93" s="1065" t="s">
        <v>1570</v>
      </c>
      <c r="E93" s="1136">
        <v>0.2</v>
      </c>
      <c r="F93" s="1151">
        <v>30</v>
      </c>
    </row>
    <row r="94" spans="1:6" s="1102" customFormat="1" ht="48">
      <c r="A94" s="1151">
        <v>34</v>
      </c>
      <c r="B94" s="3439"/>
      <c r="C94" s="1151" t="s">
        <v>1571</v>
      </c>
      <c r="D94" s="1065" t="s">
        <v>1572</v>
      </c>
      <c r="E94" s="1136">
        <v>0.2</v>
      </c>
      <c r="F94" s="1151">
        <v>30</v>
      </c>
    </row>
    <row r="95" spans="1:6" s="1102" customFormat="1" ht="36">
      <c r="A95" s="1151">
        <v>35</v>
      </c>
      <c r="B95" s="3439"/>
      <c r="C95" s="1151" t="s">
        <v>1573</v>
      </c>
      <c r="D95" s="1065" t="s">
        <v>1574</v>
      </c>
      <c r="E95" s="1136">
        <v>0.2</v>
      </c>
      <c r="F95" s="1151">
        <v>30</v>
      </c>
    </row>
    <row r="96" spans="1:6" s="1102" customFormat="1" ht="48">
      <c r="A96" s="1151">
        <v>36</v>
      </c>
      <c r="B96" s="3439"/>
      <c r="C96" s="1065" t="s">
        <v>1575</v>
      </c>
      <c r="D96" s="1065" t="s">
        <v>1576</v>
      </c>
      <c r="E96" s="1136">
        <v>0.2</v>
      </c>
      <c r="F96" s="1151">
        <v>30</v>
      </c>
    </row>
    <row r="97" spans="1:6" s="1102" customFormat="1" ht="36">
      <c r="A97" s="1151">
        <v>37</v>
      </c>
      <c r="B97" s="3439"/>
      <c r="C97" s="1151" t="s">
        <v>1577</v>
      </c>
      <c r="D97" s="1065" t="s">
        <v>1578</v>
      </c>
      <c r="E97" s="1136">
        <v>0.2</v>
      </c>
      <c r="F97" s="1151">
        <v>30</v>
      </c>
    </row>
    <row r="98" spans="1:6" s="1102" customFormat="1" ht="36">
      <c r="A98" s="1151">
        <v>38</v>
      </c>
      <c r="B98" s="3439"/>
      <c r="C98" s="1151" t="s">
        <v>1579</v>
      </c>
      <c r="D98" s="1065" t="s">
        <v>1580</v>
      </c>
      <c r="E98" s="1136">
        <v>0.2</v>
      </c>
      <c r="F98" s="1151">
        <v>30</v>
      </c>
    </row>
    <row r="99" spans="1:6" s="1102" customFormat="1" ht="36">
      <c r="A99" s="1151">
        <v>39</v>
      </c>
      <c r="B99" s="3439" t="s">
        <v>1581</v>
      </c>
      <c r="C99" s="1151" t="s">
        <v>1582</v>
      </c>
      <c r="D99" s="1065" t="s">
        <v>1583</v>
      </c>
      <c r="E99" s="1136">
        <v>0.3</v>
      </c>
      <c r="F99" s="1151">
        <v>50</v>
      </c>
    </row>
    <row r="100" spans="1:6" s="1102" customFormat="1" ht="24">
      <c r="A100" s="1151">
        <v>40</v>
      </c>
      <c r="B100" s="3439"/>
      <c r="C100" s="1151" t="s">
        <v>1584</v>
      </c>
      <c r="D100" s="1065" t="s">
        <v>1585</v>
      </c>
      <c r="E100" s="1136">
        <v>0.2</v>
      </c>
      <c r="F100" s="1151">
        <v>30</v>
      </c>
    </row>
    <row r="101" spans="1:6" s="1102" customFormat="1" ht="36">
      <c r="A101" s="1151">
        <v>41</v>
      </c>
      <c r="B101" s="3439"/>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439" t="s">
        <v>1596</v>
      </c>
      <c r="C105" s="1151" t="s">
        <v>1597</v>
      </c>
      <c r="D105" s="1065" t="s">
        <v>1598</v>
      </c>
      <c r="E105" s="1136">
        <v>0.2</v>
      </c>
      <c r="F105" s="1151">
        <v>30</v>
      </c>
    </row>
    <row r="106" spans="1:6" s="1102" customFormat="1" ht="36">
      <c r="A106" s="1151">
        <v>46</v>
      </c>
      <c r="B106" s="3439"/>
      <c r="C106" s="1151" t="s">
        <v>1599</v>
      </c>
      <c r="D106" s="1065" t="s">
        <v>1600</v>
      </c>
      <c r="E106" s="1136">
        <v>0.2</v>
      </c>
      <c r="F106" s="1151">
        <v>30</v>
      </c>
    </row>
    <row r="107" spans="1:6" s="1102" customFormat="1" ht="36">
      <c r="A107" s="1151">
        <v>47</v>
      </c>
      <c r="B107" s="3439" t="s">
        <v>1601</v>
      </c>
      <c r="C107" s="1151" t="s">
        <v>1602</v>
      </c>
      <c r="D107" s="1065" t="s">
        <v>1603</v>
      </c>
      <c r="E107" s="1136">
        <v>0.3</v>
      </c>
      <c r="F107" s="1151">
        <v>50</v>
      </c>
    </row>
    <row r="108" spans="1:6" s="1102" customFormat="1" ht="36">
      <c r="A108" s="1151">
        <v>48</v>
      </c>
      <c r="B108" s="3439"/>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439" t="s">
        <v>1612</v>
      </c>
      <c r="C111" s="1151" t="s">
        <v>1613</v>
      </c>
      <c r="D111" s="1065" t="s">
        <v>1614</v>
      </c>
      <c r="E111" s="1136">
        <v>0.2</v>
      </c>
      <c r="F111" s="1151">
        <v>30</v>
      </c>
    </row>
    <row r="112" spans="1:6" s="1102" customFormat="1" ht="24">
      <c r="A112" s="1151">
        <v>52</v>
      </c>
      <c r="B112" s="3439"/>
      <c r="C112" s="1151" t="s">
        <v>1615</v>
      </c>
      <c r="D112" s="1065" t="s">
        <v>1616</v>
      </c>
      <c r="E112" s="1136">
        <v>0.2</v>
      </c>
      <c r="F112" s="1151">
        <v>30</v>
      </c>
    </row>
    <row r="113" spans="1:14" s="1102" customFormat="1" ht="24">
      <c r="A113" s="1151">
        <v>53</v>
      </c>
      <c r="B113" s="3439"/>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439" t="s">
        <v>1625</v>
      </c>
      <c r="C116" s="1151" t="s">
        <v>1626</v>
      </c>
      <c r="D116" s="1065" t="s">
        <v>1627</v>
      </c>
      <c r="E116" s="1136">
        <v>0.2</v>
      </c>
      <c r="F116" s="1151">
        <v>30</v>
      </c>
    </row>
    <row r="117" spans="1:14" ht="36">
      <c r="A117" s="1151">
        <v>57</v>
      </c>
      <c r="B117" s="3439"/>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438" t="s">
        <v>1634</v>
      </c>
      <c r="B121" s="3438"/>
      <c r="C121" s="3438"/>
      <c r="D121" s="3438"/>
      <c r="E121" s="3438"/>
      <c r="F121" s="3438"/>
      <c r="G121" s="3438"/>
      <c r="H121" s="3438"/>
      <c r="I121" s="3438"/>
      <c r="J121" s="3438"/>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511" t="s">
        <v>1040</v>
      </c>
      <c r="B1" s="3511"/>
      <c r="C1" s="3511"/>
      <c r="D1" s="3511"/>
      <c r="E1" s="3511"/>
      <c r="F1" s="3511"/>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512" t="s">
        <v>1053</v>
      </c>
      <c r="B2" s="3512"/>
      <c r="C2" s="3512"/>
      <c r="D2" s="3512"/>
      <c r="E2" s="3512"/>
      <c r="F2" s="3512"/>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513"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514"/>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2425</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2426</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15" t="s">
        <v>2082</v>
      </c>
      <c r="B1" s="3515"/>
    </row>
    <row r="2" spans="1:6" ht="14.25" thickBot="1">
      <c r="A2" s="1850"/>
      <c r="B2" s="1850"/>
    </row>
    <row r="3" spans="1:6" ht="14.25" thickBot="1">
      <c r="A3" s="1850"/>
      <c r="B3" s="1850"/>
      <c r="C3" s="1851" t="s">
        <v>2083</v>
      </c>
      <c r="D3" s="1851" t="s">
        <v>2084</v>
      </c>
      <c r="E3" s="1851" t="s">
        <v>2085</v>
      </c>
      <c r="F3" s="1851" t="s">
        <v>2086</v>
      </c>
    </row>
    <row r="4" spans="1:6" ht="14.25" thickBot="1">
      <c r="A4" s="1852" t="s">
        <v>2087</v>
      </c>
      <c r="B4" s="1853" t="s">
        <v>2088</v>
      </c>
      <c r="C4" s="1851"/>
      <c r="D4" s="1851"/>
      <c r="E4" s="1851"/>
      <c r="F4" s="1851"/>
    </row>
    <row r="5" spans="1:6" ht="14.25" thickBot="1">
      <c r="A5" s="1854" t="s">
        <v>2089</v>
      </c>
      <c r="B5" s="1855" t="s">
        <v>2090</v>
      </c>
      <c r="C5" s="1856">
        <v>8.8999999999999996E-2</v>
      </c>
      <c r="D5" s="1856">
        <v>7.3999999999999996E-2</v>
      </c>
      <c r="E5" s="1856">
        <v>7.4999999999999997E-2</v>
      </c>
      <c r="F5" s="1857">
        <v>0.1</v>
      </c>
    </row>
    <row r="6" spans="1:6" ht="14.25" thickBot="1">
      <c r="A6" s="1854" t="s">
        <v>1097</v>
      </c>
      <c r="B6" s="1858" t="s">
        <v>2091</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2092</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2093</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2094</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2095</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2096</v>
      </c>
      <c r="C72" s="1868"/>
      <c r="D72" s="1868"/>
      <c r="E72" s="1868"/>
      <c r="F72" s="1860">
        <v>0.05</v>
      </c>
    </row>
    <row r="73" spans="1:6" ht="14.25" thickBot="1">
      <c r="A73" s="1854" t="s">
        <v>925</v>
      </c>
      <c r="B73" s="1858" t="s">
        <v>2097</v>
      </c>
      <c r="C73" s="1868"/>
      <c r="D73" s="1868"/>
      <c r="E73" s="1868"/>
      <c r="F73" s="1860">
        <v>0.05</v>
      </c>
    </row>
    <row r="74" spans="1:6" ht="14.25" thickBot="1">
      <c r="A74" s="1854" t="s">
        <v>925</v>
      </c>
      <c r="B74" s="1858" t="s">
        <v>2098</v>
      </c>
      <c r="C74" s="1868"/>
      <c r="D74" s="1868"/>
      <c r="E74" s="1868"/>
      <c r="F74" s="1860">
        <v>0.05</v>
      </c>
    </row>
    <row r="75" spans="1:6" ht="14.25" thickBot="1">
      <c r="A75" s="1862" t="s">
        <v>925</v>
      </c>
      <c r="B75" s="1869" t="s">
        <v>2099</v>
      </c>
      <c r="C75" s="1865"/>
      <c r="D75" s="1865"/>
      <c r="E75" s="1865"/>
      <c r="F75" s="1870">
        <v>0.05</v>
      </c>
    </row>
    <row r="76" spans="1:6" ht="14.25" thickBot="1">
      <c r="A76" s="1854" t="s">
        <v>1408</v>
      </c>
      <c r="B76" s="1855" t="s">
        <v>2100</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2101</v>
      </c>
      <c r="C102" s="1868"/>
      <c r="D102" s="1868"/>
      <c r="E102" s="1868"/>
      <c r="F102" s="1860">
        <v>0.05</v>
      </c>
    </row>
    <row r="103" spans="1:6" ht="24.75" thickBot="1">
      <c r="A103" s="1854" t="s">
        <v>1408</v>
      </c>
      <c r="B103" s="1858" t="s">
        <v>2102</v>
      </c>
      <c r="C103" s="1868"/>
      <c r="D103" s="1868"/>
      <c r="E103" s="1868"/>
      <c r="F103" s="1860">
        <v>0.05</v>
      </c>
    </row>
    <row r="104" spans="1:6" ht="14.25" thickBot="1">
      <c r="A104" s="1854" t="s">
        <v>1408</v>
      </c>
      <c r="B104" s="1858" t="s">
        <v>2103</v>
      </c>
      <c r="C104" s="1868"/>
      <c r="D104" s="1868"/>
      <c r="E104" s="1868"/>
      <c r="F104" s="1860">
        <v>0.05</v>
      </c>
    </row>
    <row r="105" spans="1:6" ht="14.25" thickBot="1">
      <c r="A105" s="1854" t="s">
        <v>1408</v>
      </c>
      <c r="B105" s="1858" t="s">
        <v>2104</v>
      </c>
      <c r="C105" s="1868"/>
      <c r="D105" s="1868"/>
      <c r="E105" s="1868"/>
      <c r="F105" s="1860">
        <v>0.05</v>
      </c>
    </row>
    <row r="106" spans="1:6" ht="14.25" thickBot="1">
      <c r="A106" s="1854" t="s">
        <v>1408</v>
      </c>
      <c r="B106" s="1858" t="s">
        <v>2105</v>
      </c>
      <c r="C106" s="1868"/>
      <c r="D106" s="1868"/>
      <c r="E106" s="1868"/>
      <c r="F106" s="1860">
        <v>0.05</v>
      </c>
    </row>
    <row r="107" spans="1:6" ht="24.75" thickBot="1">
      <c r="A107" s="1854" t="s">
        <v>1408</v>
      </c>
      <c r="B107" s="1858" t="s">
        <v>2106</v>
      </c>
      <c r="C107" s="1868"/>
      <c r="D107" s="1868"/>
      <c r="E107" s="1868"/>
      <c r="F107" s="1860">
        <v>0.05</v>
      </c>
    </row>
    <row r="108" spans="1:6" ht="24.75" thickBot="1">
      <c r="A108" s="1854" t="s">
        <v>1408</v>
      </c>
      <c r="B108" s="1858" t="s">
        <v>2107</v>
      </c>
      <c r="C108" s="1868"/>
      <c r="D108" s="1868"/>
      <c r="E108" s="1868"/>
      <c r="F108" s="1860">
        <v>0.05</v>
      </c>
    </row>
    <row r="109" spans="1:6" ht="24.75" thickBot="1">
      <c r="A109" s="1862" t="s">
        <v>1408</v>
      </c>
      <c r="B109" s="1869" t="s">
        <v>2108</v>
      </c>
      <c r="C109" s="1865"/>
      <c r="D109" s="1865"/>
      <c r="E109" s="1865"/>
      <c r="F109" s="1870">
        <v>0.05</v>
      </c>
    </row>
    <row r="110" spans="1:6" ht="14.25" thickBot="1">
      <c r="A110" s="1854" t="s">
        <v>1410</v>
      </c>
      <c r="B110" s="1855" t="s">
        <v>2109</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2110</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2111</v>
      </c>
      <c r="C138" s="1859">
        <v>0.105</v>
      </c>
      <c r="D138" s="1859">
        <v>0.125</v>
      </c>
      <c r="E138" s="1859">
        <v>0.112</v>
      </c>
      <c r="F138" s="1867"/>
    </row>
    <row r="139" spans="1:6" ht="14.25" thickBot="1">
      <c r="A139" s="1854" t="s">
        <v>1410</v>
      </c>
      <c r="B139" s="1858" t="s">
        <v>2112</v>
      </c>
      <c r="C139" s="1859">
        <v>0.127</v>
      </c>
      <c r="D139" s="1859">
        <v>0.127</v>
      </c>
      <c r="E139" s="1859">
        <v>0.122</v>
      </c>
      <c r="F139" s="1860">
        <v>0.13</v>
      </c>
    </row>
    <row r="140" spans="1:6" ht="14.25" thickBot="1">
      <c r="A140" s="1854" t="s">
        <v>1410</v>
      </c>
      <c r="B140" s="1858" t="s">
        <v>2113</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2114</v>
      </c>
      <c r="C144" s="1872">
        <v>0.126</v>
      </c>
      <c r="D144" s="1872">
        <v>0.126</v>
      </c>
      <c r="E144" s="1872">
        <v>0.121</v>
      </c>
      <c r="F144" s="1867"/>
    </row>
    <row r="145" spans="1:6" ht="14.25" thickBot="1">
      <c r="A145" s="1862" t="s">
        <v>1410</v>
      </c>
      <c r="B145" s="1873" t="s">
        <v>2115</v>
      </c>
      <c r="C145" s="1874"/>
      <c r="D145" s="1874"/>
      <c r="E145" s="1874"/>
      <c r="F145" s="1875">
        <v>0.05</v>
      </c>
    </row>
    <row r="146" spans="1:6" ht="24.75" thickBot="1">
      <c r="A146" s="1876" t="s">
        <v>1410</v>
      </c>
      <c r="B146" s="1861" t="s">
        <v>2116</v>
      </c>
      <c r="C146" s="1868"/>
      <c r="D146" s="1868"/>
      <c r="E146" s="1868"/>
      <c r="F146" s="1877">
        <v>0.05</v>
      </c>
    </row>
    <row r="147" spans="1:6" ht="24.75" thickBot="1">
      <c r="A147" s="1854" t="s">
        <v>1410</v>
      </c>
      <c r="B147" s="1858" t="s">
        <v>2117</v>
      </c>
      <c r="C147" s="1868"/>
      <c r="D147" s="1868"/>
      <c r="E147" s="1868"/>
      <c r="F147" s="1860">
        <v>0.05</v>
      </c>
    </row>
    <row r="148" spans="1:6" ht="24.75" thickBot="1">
      <c r="A148" s="1854" t="s">
        <v>1410</v>
      </c>
      <c r="B148" s="1858" t="s">
        <v>2118</v>
      </c>
      <c r="C148" s="1868"/>
      <c r="D148" s="1868"/>
      <c r="E148" s="1868"/>
      <c r="F148" s="1860">
        <v>0.05</v>
      </c>
    </row>
    <row r="149" spans="1:6" ht="24.75" thickBot="1">
      <c r="A149" s="1854" t="s">
        <v>1410</v>
      </c>
      <c r="B149" s="1858" t="s">
        <v>2119</v>
      </c>
      <c r="C149" s="1868"/>
      <c r="D149" s="1868"/>
      <c r="E149" s="1868"/>
      <c r="F149" s="1860">
        <v>0.05</v>
      </c>
    </row>
    <row r="150" spans="1:6" ht="24.75" thickBot="1">
      <c r="A150" s="1854" t="s">
        <v>1410</v>
      </c>
      <c r="B150" s="1858" t="s">
        <v>2120</v>
      </c>
      <c r="C150" s="1868"/>
      <c r="D150" s="1868"/>
      <c r="E150" s="1868"/>
      <c r="F150" s="1860">
        <v>0.05</v>
      </c>
    </row>
    <row r="151" spans="1:6" ht="24.75" thickBot="1">
      <c r="A151" s="1854" t="s">
        <v>1410</v>
      </c>
      <c r="B151" s="1858" t="s">
        <v>2121</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2122</v>
      </c>
      <c r="C153" s="1868"/>
      <c r="D153" s="1868"/>
      <c r="E153" s="1868"/>
      <c r="F153" s="1860">
        <v>0.05</v>
      </c>
    </row>
    <row r="154" spans="1:6" ht="14.25" thickBot="1">
      <c r="A154" s="1854" t="s">
        <v>1410</v>
      </c>
      <c r="B154" s="1858" t="s">
        <v>2123</v>
      </c>
      <c r="C154" s="1868"/>
      <c r="D154" s="1868"/>
      <c r="E154" s="1868"/>
      <c r="F154" s="1860">
        <v>0.05</v>
      </c>
    </row>
    <row r="155" spans="1:6" ht="24.75" thickBot="1">
      <c r="A155" s="1854" t="s">
        <v>1410</v>
      </c>
      <c r="B155" s="1858" t="s">
        <v>2124</v>
      </c>
      <c r="C155" s="1868"/>
      <c r="D155" s="1868"/>
      <c r="E155" s="1868"/>
      <c r="F155" s="1860">
        <v>0.05</v>
      </c>
    </row>
    <row r="156" spans="1:6" ht="24.75" thickBot="1">
      <c r="A156" s="1854" t="s">
        <v>1410</v>
      </c>
      <c r="B156" s="1858" t="s">
        <v>2125</v>
      </c>
      <c r="C156" s="1868"/>
      <c r="D156" s="1868"/>
      <c r="E156" s="1868"/>
      <c r="F156" s="1860">
        <v>0.05</v>
      </c>
    </row>
    <row r="157" spans="1:6" ht="14.25" thickBot="1">
      <c r="A157" s="1862" t="s">
        <v>1410</v>
      </c>
      <c r="B157" s="1869" t="s">
        <v>2126</v>
      </c>
      <c r="C157" s="1865"/>
      <c r="D157" s="1865"/>
      <c r="E157" s="1865"/>
      <c r="F157" s="1870">
        <v>0.05</v>
      </c>
    </row>
    <row r="158" spans="1:6" ht="14.25" thickBot="1">
      <c r="A158" s="1854" t="s">
        <v>1412</v>
      </c>
      <c r="B158" s="1855" t="s">
        <v>2127</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2128</v>
      </c>
      <c r="C171" s="1859">
        <v>0.127</v>
      </c>
      <c r="D171" s="1859">
        <v>0.126</v>
      </c>
      <c r="E171" s="1859">
        <v>0.126</v>
      </c>
      <c r="F171" s="1860">
        <v>0.11799999999999999</v>
      </c>
    </row>
    <row r="172" spans="1:6" ht="14.25" thickBot="1">
      <c r="A172" s="1854" t="s">
        <v>1412</v>
      </c>
      <c r="B172" s="1858" t="s">
        <v>2129</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2130</v>
      </c>
      <c r="C174" s="1859">
        <v>0.13</v>
      </c>
      <c r="D174" s="1859">
        <v>0.13</v>
      </c>
      <c r="E174" s="1859">
        <v>0.13</v>
      </c>
      <c r="F174" s="1860">
        <v>0.13</v>
      </c>
    </row>
    <row r="175" spans="1:6" ht="14.25" thickBot="1">
      <c r="A175" s="1854" t="s">
        <v>1412</v>
      </c>
      <c r="B175" s="1858" t="s">
        <v>2131</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2132</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2133</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2134</v>
      </c>
      <c r="C185" s="1859">
        <v>0.127</v>
      </c>
      <c r="D185" s="1859">
        <v>0.127</v>
      </c>
      <c r="E185" s="1859">
        <v>0.128</v>
      </c>
      <c r="F185" s="1860">
        <v>0.13</v>
      </c>
    </row>
    <row r="186" spans="1:6" ht="24.75" thickBot="1">
      <c r="A186" s="1854" t="s">
        <v>1412</v>
      </c>
      <c r="B186" s="1858" t="s">
        <v>2135</v>
      </c>
      <c r="C186" s="1868"/>
      <c r="D186" s="1868"/>
      <c r="E186" s="1868"/>
      <c r="F186" s="1860">
        <v>0.05</v>
      </c>
    </row>
    <row r="187" spans="1:6" ht="14.25" thickBot="1">
      <c r="A187" s="1854" t="s">
        <v>1412</v>
      </c>
      <c r="B187" s="1858" t="s">
        <v>2136</v>
      </c>
      <c r="C187" s="1868"/>
      <c r="D187" s="1868"/>
      <c r="E187" s="1868"/>
      <c r="F187" s="1860">
        <v>0.05</v>
      </c>
    </row>
    <row r="188" spans="1:6" ht="14.25" thickBot="1">
      <c r="A188" s="1854" t="s">
        <v>1412</v>
      </c>
      <c r="B188" s="1858" t="s">
        <v>2137</v>
      </c>
      <c r="C188" s="1868"/>
      <c r="D188" s="1868"/>
      <c r="E188" s="1868"/>
      <c r="F188" s="1860">
        <v>0.05</v>
      </c>
    </row>
    <row r="189" spans="1:6" ht="24.75" thickBot="1">
      <c r="A189" s="1854" t="s">
        <v>1412</v>
      </c>
      <c r="B189" s="1858" t="s">
        <v>2138</v>
      </c>
      <c r="C189" s="1868"/>
      <c r="D189" s="1868"/>
      <c r="E189" s="1868"/>
      <c r="F189" s="1860">
        <v>0.05</v>
      </c>
    </row>
    <row r="190" spans="1:6" ht="24.75" thickBot="1">
      <c r="A190" s="1854" t="s">
        <v>1412</v>
      </c>
      <c r="B190" s="1858" t="s">
        <v>2139</v>
      </c>
      <c r="C190" s="1868"/>
      <c r="D190" s="1868"/>
      <c r="E190" s="1868"/>
      <c r="F190" s="1860">
        <v>0.05</v>
      </c>
    </row>
    <row r="191" spans="1:6" ht="24.75" thickBot="1">
      <c r="A191" s="1854" t="s">
        <v>1412</v>
      </c>
      <c r="B191" s="1858" t="s">
        <v>2140</v>
      </c>
      <c r="C191" s="1868"/>
      <c r="D191" s="1868"/>
      <c r="E191" s="1868"/>
      <c r="F191" s="1860">
        <v>0.05</v>
      </c>
    </row>
    <row r="192" spans="1:6" ht="24.75" thickBot="1">
      <c r="A192" s="1854" t="s">
        <v>1412</v>
      </c>
      <c r="B192" s="1858" t="s">
        <v>2141</v>
      </c>
      <c r="C192" s="1868"/>
      <c r="D192" s="1868"/>
      <c r="E192" s="1868"/>
      <c r="F192" s="1860">
        <v>0.05</v>
      </c>
    </row>
    <row r="193" spans="1:6" ht="24.75" thickBot="1">
      <c r="A193" s="1854" t="s">
        <v>1412</v>
      </c>
      <c r="B193" s="1858" t="s">
        <v>2142</v>
      </c>
      <c r="C193" s="1868"/>
      <c r="D193" s="1868"/>
      <c r="E193" s="1868"/>
      <c r="F193" s="1860">
        <v>0.05</v>
      </c>
    </row>
    <row r="194" spans="1:6" ht="24.75" thickBot="1">
      <c r="A194" s="1854" t="s">
        <v>1412</v>
      </c>
      <c r="B194" s="1858" t="s">
        <v>2143</v>
      </c>
      <c r="C194" s="1868"/>
      <c r="D194" s="1868"/>
      <c r="E194" s="1868"/>
      <c r="F194" s="1860">
        <v>0.05</v>
      </c>
    </row>
    <row r="195" spans="1:6" ht="14.25" thickBot="1">
      <c r="A195" s="1854" t="s">
        <v>1412</v>
      </c>
      <c r="B195" s="1858" t="s">
        <v>2144</v>
      </c>
      <c r="C195" s="1868"/>
      <c r="D195" s="1868"/>
      <c r="E195" s="1868"/>
      <c r="F195" s="1860">
        <v>0.05</v>
      </c>
    </row>
    <row r="196" spans="1:6" ht="24.75" thickBot="1">
      <c r="A196" s="1854" t="s">
        <v>1412</v>
      </c>
      <c r="B196" s="1858" t="s">
        <v>2145</v>
      </c>
      <c r="C196" s="1868"/>
      <c r="D196" s="1868"/>
      <c r="E196" s="1868"/>
      <c r="F196" s="1860">
        <v>0.05</v>
      </c>
    </row>
    <row r="197" spans="1:6" ht="24.75" thickBot="1">
      <c r="A197" s="1854" t="s">
        <v>1412</v>
      </c>
      <c r="B197" s="1858" t="s">
        <v>2146</v>
      </c>
      <c r="C197" s="1868"/>
      <c r="D197" s="1868"/>
      <c r="E197" s="1868"/>
      <c r="F197" s="1860">
        <v>0.05</v>
      </c>
    </row>
    <row r="198" spans="1:6" ht="24.75" thickBot="1">
      <c r="A198" s="1854" t="s">
        <v>1412</v>
      </c>
      <c r="B198" s="1858" t="s">
        <v>2147</v>
      </c>
      <c r="C198" s="1868"/>
      <c r="D198" s="1868"/>
      <c r="E198" s="1868"/>
      <c r="F198" s="1860">
        <v>0.05</v>
      </c>
    </row>
    <row r="199" spans="1:6" ht="24.75" thickBot="1">
      <c r="A199" s="1854" t="s">
        <v>1412</v>
      </c>
      <c r="B199" s="1858" t="s">
        <v>2148</v>
      </c>
      <c r="C199" s="1868"/>
      <c r="D199" s="1868"/>
      <c r="E199" s="1868"/>
      <c r="F199" s="1860">
        <v>0.05</v>
      </c>
    </row>
    <row r="200" spans="1:6" ht="24.75" thickBot="1">
      <c r="A200" s="1854" t="s">
        <v>1412</v>
      </c>
      <c r="B200" s="1858" t="s">
        <v>2149</v>
      </c>
      <c r="C200" s="1868"/>
      <c r="D200" s="1868"/>
      <c r="E200" s="1868"/>
      <c r="F200" s="1860">
        <v>0.05</v>
      </c>
    </row>
    <row r="201" spans="1:6" ht="24.75" thickBot="1">
      <c r="A201" s="1854" t="s">
        <v>1412</v>
      </c>
      <c r="B201" s="1858" t="s">
        <v>2150</v>
      </c>
      <c r="C201" s="1868"/>
      <c r="D201" s="1868"/>
      <c r="E201" s="1868"/>
      <c r="F201" s="1860">
        <v>0.05</v>
      </c>
    </row>
    <row r="202" spans="1:6" ht="24.75" thickBot="1">
      <c r="A202" s="1854" t="s">
        <v>1412</v>
      </c>
      <c r="B202" s="1858" t="s">
        <v>2151</v>
      </c>
      <c r="C202" s="1868"/>
      <c r="D202" s="1868"/>
      <c r="E202" s="1868"/>
      <c r="F202" s="1860">
        <v>0.05</v>
      </c>
    </row>
    <row r="203" spans="1:6" ht="24.75" thickBot="1">
      <c r="A203" s="1854" t="s">
        <v>1412</v>
      </c>
      <c r="B203" s="1858" t="s">
        <v>2152</v>
      </c>
      <c r="C203" s="1868"/>
      <c r="D203" s="1868"/>
      <c r="E203" s="1868"/>
      <c r="F203" s="1860">
        <v>0.05</v>
      </c>
    </row>
    <row r="204" spans="1:6" ht="14.25" thickBot="1">
      <c r="A204" s="1854" t="s">
        <v>1412</v>
      </c>
      <c r="B204" s="1858" t="s">
        <v>2153</v>
      </c>
      <c r="C204" s="1868"/>
      <c r="D204" s="1868"/>
      <c r="E204" s="1868"/>
      <c r="F204" s="1860">
        <v>0.05</v>
      </c>
    </row>
    <row r="205" spans="1:6" ht="14.25" thickBot="1">
      <c r="A205" s="1862" t="s">
        <v>1412</v>
      </c>
      <c r="B205" s="1869" t="s">
        <v>2154</v>
      </c>
      <c r="C205" s="1865"/>
      <c r="D205" s="1865"/>
      <c r="E205" s="1865"/>
      <c r="F205" s="1870">
        <v>0.05</v>
      </c>
    </row>
    <row r="206" spans="1:6" ht="14.25" thickBot="1">
      <c r="A206" s="1854" t="s">
        <v>1414</v>
      </c>
      <c r="B206" s="1855" t="s">
        <v>2155</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2156</v>
      </c>
      <c r="C210" s="1859">
        <v>0.15</v>
      </c>
      <c r="D210" s="1859">
        <v>0.15</v>
      </c>
      <c r="E210" s="1859">
        <v>0.15</v>
      </c>
      <c r="F210" s="1860">
        <v>0.13800000000000001</v>
      </c>
    </row>
    <row r="211" spans="1:6" ht="14.25" thickBot="1">
      <c r="A211" s="1854" t="s">
        <v>1414</v>
      </c>
      <c r="B211" s="1858" t="s">
        <v>2157</v>
      </c>
      <c r="C211" s="1859">
        <v>0.13700000000000001</v>
      </c>
      <c r="D211" s="1859">
        <v>0.13500000000000001</v>
      </c>
      <c r="E211" s="1859">
        <v>0.13600000000000001</v>
      </c>
      <c r="F211" s="1860">
        <v>0.1</v>
      </c>
    </row>
    <row r="212" spans="1:6" ht="14.25" thickBot="1">
      <c r="A212" s="1854" t="s">
        <v>1414</v>
      </c>
      <c r="B212" s="1858" t="s">
        <v>2158</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2159</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2160</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2161</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2162</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2163</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2164</v>
      </c>
      <c r="C231" s="1859">
        <v>0.128</v>
      </c>
      <c r="D231" s="1859">
        <v>0.125</v>
      </c>
      <c r="E231" s="1859">
        <v>0.13200000000000001</v>
      </c>
      <c r="F231" s="1867"/>
    </row>
    <row r="232" spans="1:6" ht="14.25" thickBot="1">
      <c r="A232" s="1854" t="s">
        <v>1414</v>
      </c>
      <c r="B232" s="1858" t="s">
        <v>2165</v>
      </c>
      <c r="C232" s="1859">
        <v>0.14499999999999999</v>
      </c>
      <c r="D232" s="1859">
        <v>0.14399999999999999</v>
      </c>
      <c r="E232" s="1859">
        <v>0.14599999999999999</v>
      </c>
      <c r="F232" s="1860">
        <v>0.13800000000000001</v>
      </c>
    </row>
    <row r="233" spans="1:6" ht="14.25" thickBot="1">
      <c r="A233" s="1854" t="s">
        <v>1414</v>
      </c>
      <c r="B233" s="1858" t="s">
        <v>2166</v>
      </c>
      <c r="C233" s="1859">
        <v>0.14499999999999999</v>
      </c>
      <c r="D233" s="1859">
        <v>0.14299999999999999</v>
      </c>
      <c r="E233" s="1859">
        <v>0.14199999999999999</v>
      </c>
      <c r="F233" s="1867"/>
    </row>
    <row r="234" spans="1:6" ht="14.25" thickBot="1">
      <c r="A234" s="1854" t="s">
        <v>1414</v>
      </c>
      <c r="B234" s="1858" t="s">
        <v>2167</v>
      </c>
      <c r="C234" s="1859">
        <v>0.14000000000000001</v>
      </c>
      <c r="D234" s="1859">
        <v>0.14000000000000001</v>
      </c>
      <c r="E234" s="1859">
        <v>0.14399999999999999</v>
      </c>
      <c r="F234" s="1867"/>
    </row>
    <row r="235" spans="1:6" ht="14.25" thickBot="1">
      <c r="A235" s="1854" t="s">
        <v>1414</v>
      </c>
      <c r="B235" s="1858" t="s">
        <v>2168</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2169</v>
      </c>
      <c r="C237" s="1868"/>
      <c r="D237" s="1868"/>
      <c r="E237" s="1868"/>
      <c r="F237" s="1860">
        <v>0.05</v>
      </c>
    </row>
    <row r="238" spans="1:6" ht="24.75" thickBot="1">
      <c r="A238" s="1854" t="s">
        <v>1414</v>
      </c>
      <c r="B238" s="1858" t="s">
        <v>2170</v>
      </c>
      <c r="C238" s="1868"/>
      <c r="D238" s="1868"/>
      <c r="E238" s="1868"/>
      <c r="F238" s="1860">
        <v>0.05</v>
      </c>
    </row>
    <row r="239" spans="1:6" ht="24.75" thickBot="1">
      <c r="A239" s="1854" t="s">
        <v>1414</v>
      </c>
      <c r="B239" s="1858" t="s">
        <v>2171</v>
      </c>
      <c r="C239" s="1868"/>
      <c r="D239" s="1868"/>
      <c r="E239" s="1868"/>
      <c r="F239" s="1860">
        <v>0.05</v>
      </c>
    </row>
    <row r="240" spans="1:6" ht="24.75" thickBot="1">
      <c r="A240" s="1854" t="s">
        <v>1414</v>
      </c>
      <c r="B240" s="1858" t="s">
        <v>2172</v>
      </c>
      <c r="C240" s="1868"/>
      <c r="D240" s="1868"/>
      <c r="E240" s="1868"/>
      <c r="F240" s="1860">
        <v>0.05</v>
      </c>
    </row>
    <row r="241" spans="1:6" ht="24.75" thickBot="1">
      <c r="A241" s="1854" t="s">
        <v>1414</v>
      </c>
      <c r="B241" s="1858" t="s">
        <v>2173</v>
      </c>
      <c r="C241" s="1868"/>
      <c r="D241" s="1868"/>
      <c r="E241" s="1868"/>
      <c r="F241" s="1860">
        <v>0.05</v>
      </c>
    </row>
    <row r="242" spans="1:6" ht="24.75" thickBot="1">
      <c r="A242" s="1854" t="s">
        <v>1414</v>
      </c>
      <c r="B242" s="1858" t="s">
        <v>2174</v>
      </c>
      <c r="C242" s="1868"/>
      <c r="D242" s="1868"/>
      <c r="E242" s="1868"/>
      <c r="F242" s="1860">
        <v>0.05</v>
      </c>
    </row>
    <row r="243" spans="1:6" ht="24.75" thickBot="1">
      <c r="A243" s="1854" t="s">
        <v>1414</v>
      </c>
      <c r="B243" s="1858" t="s">
        <v>2175</v>
      </c>
      <c r="C243" s="1868"/>
      <c r="D243" s="1868"/>
      <c r="E243" s="1868"/>
      <c r="F243" s="1860">
        <v>0.05</v>
      </c>
    </row>
    <row r="244" spans="1:6" ht="24.75" thickBot="1">
      <c r="A244" s="1862" t="s">
        <v>1414</v>
      </c>
      <c r="B244" s="1869" t="s">
        <v>2176</v>
      </c>
      <c r="C244" s="1865"/>
      <c r="D244" s="1865"/>
      <c r="E244" s="1865"/>
      <c r="F244" s="1870">
        <v>0.05</v>
      </c>
    </row>
    <row r="245" spans="1:6" ht="14.25" thickBot="1">
      <c r="A245" s="1854" t="s">
        <v>1416</v>
      </c>
      <c r="B245" s="1855" t="s">
        <v>2177</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2178</v>
      </c>
      <c r="C247" s="1859">
        <v>0.15</v>
      </c>
      <c r="D247" s="1859">
        <v>0.15</v>
      </c>
      <c r="E247" s="1859">
        <v>0.15</v>
      </c>
      <c r="F247" s="1860">
        <v>0.15</v>
      </c>
    </row>
    <row r="248" spans="1:6" ht="14.25" thickBot="1">
      <c r="A248" s="1854" t="s">
        <v>1416</v>
      </c>
      <c r="B248" s="1858" t="s">
        <v>2179</v>
      </c>
      <c r="C248" s="1859">
        <v>0.15</v>
      </c>
      <c r="D248" s="1859">
        <v>0.15</v>
      </c>
      <c r="E248" s="1859">
        <v>0.15</v>
      </c>
      <c r="F248" s="1860">
        <v>0.14000000000000001</v>
      </c>
    </row>
    <row r="249" spans="1:6" ht="14.25" thickBot="1">
      <c r="A249" s="1854" t="s">
        <v>1416</v>
      </c>
      <c r="B249" s="1858" t="s">
        <v>2180</v>
      </c>
      <c r="C249" s="1859">
        <v>0.15</v>
      </c>
      <c r="D249" s="1859">
        <v>0.14899999999999999</v>
      </c>
      <c r="E249" s="1859">
        <v>0.15</v>
      </c>
      <c r="F249" s="1860">
        <v>0.1</v>
      </c>
    </row>
    <row r="250" spans="1:6" ht="14.25" thickBot="1">
      <c r="A250" s="1854" t="s">
        <v>1416</v>
      </c>
      <c r="B250" s="1858" t="s">
        <v>2181</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2182</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2183</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2184</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2185</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2186</v>
      </c>
      <c r="C273" s="1859">
        <v>0.14199999999999999</v>
      </c>
      <c r="D273" s="1859">
        <v>0.14299999999999999</v>
      </c>
      <c r="E273" s="1859">
        <v>0.15</v>
      </c>
      <c r="F273" s="1860">
        <v>0.1</v>
      </c>
    </row>
    <row r="274" spans="1:6" ht="14.25" thickBot="1">
      <c r="A274" s="1854" t="s">
        <v>1416</v>
      </c>
      <c r="B274" s="1858" t="s">
        <v>2187</v>
      </c>
      <c r="C274" s="1859">
        <v>0.14799999999999999</v>
      </c>
      <c r="D274" s="1859">
        <v>0.14799999999999999</v>
      </c>
      <c r="E274" s="1859">
        <v>0.15</v>
      </c>
      <c r="F274" s="1860">
        <v>6.7000000000000004E-2</v>
      </c>
    </row>
    <row r="275" spans="1:6" ht="14.25" thickBot="1">
      <c r="A275" s="1854" t="s">
        <v>1416</v>
      </c>
      <c r="B275" s="1858" t="s">
        <v>2188</v>
      </c>
      <c r="C275" s="1859">
        <v>0.15</v>
      </c>
      <c r="D275" s="1859">
        <v>0.15</v>
      </c>
      <c r="E275" s="1859">
        <v>0.15</v>
      </c>
      <c r="F275" s="1860">
        <v>0.15</v>
      </c>
    </row>
    <row r="276" spans="1:6" ht="14.25" thickBot="1">
      <c r="A276" s="1854" t="s">
        <v>1416</v>
      </c>
      <c r="B276" s="1858" t="s">
        <v>2189</v>
      </c>
      <c r="C276" s="1859">
        <v>0.14499999999999999</v>
      </c>
      <c r="D276" s="1859">
        <v>0.14299999999999999</v>
      </c>
      <c r="E276" s="1859">
        <v>0.15</v>
      </c>
      <c r="F276" s="1860">
        <v>5.8999999999999997E-2</v>
      </c>
    </row>
    <row r="277" spans="1:6" ht="14.25" thickBot="1">
      <c r="A277" s="1854" t="s">
        <v>1416</v>
      </c>
      <c r="B277" s="1858" t="s">
        <v>2190</v>
      </c>
      <c r="C277" s="1859">
        <v>0.15</v>
      </c>
      <c r="D277" s="1859">
        <v>0.15</v>
      </c>
      <c r="E277" s="1859">
        <v>0.15</v>
      </c>
      <c r="F277" s="1860">
        <v>0.121</v>
      </c>
    </row>
    <row r="278" spans="1:6" ht="14.25" thickBot="1">
      <c r="A278" s="1854" t="s">
        <v>1416</v>
      </c>
      <c r="B278" s="1858" t="s">
        <v>2191</v>
      </c>
      <c r="C278" s="1859">
        <v>0.15</v>
      </c>
      <c r="D278" s="1859">
        <v>0.15</v>
      </c>
      <c r="E278" s="1859">
        <v>0.15</v>
      </c>
      <c r="F278" s="1860">
        <v>0.13800000000000001</v>
      </c>
    </row>
    <row r="279" spans="1:6" ht="24.75" thickBot="1">
      <c r="A279" s="1854" t="s">
        <v>1416</v>
      </c>
      <c r="B279" s="1858" t="s">
        <v>2192</v>
      </c>
      <c r="C279" s="1868"/>
      <c r="D279" s="1868"/>
      <c r="E279" s="1868"/>
      <c r="F279" s="1860">
        <v>0.05</v>
      </c>
    </row>
    <row r="280" spans="1:6" ht="24.75" thickBot="1">
      <c r="A280" s="1854" t="s">
        <v>1416</v>
      </c>
      <c r="B280" s="1858" t="s">
        <v>2193</v>
      </c>
      <c r="C280" s="1868"/>
      <c r="D280" s="1868"/>
      <c r="E280" s="1868"/>
      <c r="F280" s="1860">
        <v>0.05</v>
      </c>
    </row>
    <row r="281" spans="1:6" ht="24.75" thickBot="1">
      <c r="A281" s="1854" t="s">
        <v>1416</v>
      </c>
      <c r="B281" s="1858" t="s">
        <v>2194</v>
      </c>
      <c r="C281" s="1868"/>
      <c r="D281" s="1868"/>
      <c r="E281" s="1868"/>
      <c r="F281" s="1860">
        <v>0.05</v>
      </c>
    </row>
    <row r="282" spans="1:6" ht="24.75" thickBot="1">
      <c r="A282" s="1854" t="s">
        <v>1416</v>
      </c>
      <c r="B282" s="1858" t="s">
        <v>2195</v>
      </c>
      <c r="C282" s="1868"/>
      <c r="D282" s="1868"/>
      <c r="E282" s="1868"/>
      <c r="F282" s="1860">
        <v>0.05</v>
      </c>
    </row>
    <row r="283" spans="1:6" ht="24.75" thickBot="1">
      <c r="A283" s="1854" t="s">
        <v>1416</v>
      </c>
      <c r="B283" s="1858" t="s">
        <v>2196</v>
      </c>
      <c r="C283" s="1868"/>
      <c r="D283" s="1868"/>
      <c r="E283" s="1868"/>
      <c r="F283" s="1860">
        <v>0.05</v>
      </c>
    </row>
    <row r="284" spans="1:6" ht="24.75" thickBot="1">
      <c r="A284" s="1854" t="s">
        <v>1416</v>
      </c>
      <c r="B284" s="1858" t="s">
        <v>2197</v>
      </c>
      <c r="C284" s="1868"/>
      <c r="D284" s="1868"/>
      <c r="E284" s="1868"/>
      <c r="F284" s="1860">
        <v>0.05</v>
      </c>
    </row>
    <row r="285" spans="1:6" ht="24.75" thickBot="1">
      <c r="A285" s="1854" t="s">
        <v>1416</v>
      </c>
      <c r="B285" s="1858" t="s">
        <v>2198</v>
      </c>
      <c r="C285" s="1868"/>
      <c r="D285" s="1868"/>
      <c r="E285" s="1868"/>
      <c r="F285" s="1860">
        <v>0.05</v>
      </c>
    </row>
    <row r="286" spans="1:6" ht="24.75" thickBot="1">
      <c r="A286" s="1854" t="s">
        <v>1416</v>
      </c>
      <c r="B286" s="1858" t="s">
        <v>2199</v>
      </c>
      <c r="C286" s="1868"/>
      <c r="D286" s="1868"/>
      <c r="E286" s="1868"/>
      <c r="F286" s="1860">
        <v>0.05</v>
      </c>
    </row>
    <row r="287" spans="1:6" ht="24.75" thickBot="1">
      <c r="A287" s="1854" t="s">
        <v>1416</v>
      </c>
      <c r="B287" s="1858" t="s">
        <v>2200</v>
      </c>
      <c r="C287" s="1868"/>
      <c r="D287" s="1868"/>
      <c r="E287" s="1868"/>
      <c r="F287" s="1860">
        <v>0.05</v>
      </c>
    </row>
    <row r="288" spans="1:6" ht="24.75" thickBot="1">
      <c r="A288" s="1854" t="s">
        <v>1416</v>
      </c>
      <c r="B288" s="1858" t="s">
        <v>2201</v>
      </c>
      <c r="C288" s="1868"/>
      <c r="D288" s="1868"/>
      <c r="E288" s="1868"/>
      <c r="F288" s="1860">
        <v>0.05</v>
      </c>
    </row>
    <row r="289" spans="1:6" ht="24.75" thickBot="1">
      <c r="A289" s="1862" t="s">
        <v>1416</v>
      </c>
      <c r="B289" s="1869" t="s">
        <v>2202</v>
      </c>
      <c r="C289" s="1865"/>
      <c r="D289" s="1865"/>
      <c r="E289" s="1865"/>
      <c r="F289" s="1870">
        <v>0.05</v>
      </c>
    </row>
    <row r="290" spans="1:6" ht="14.25" thickBot="1">
      <c r="A290" s="1854" t="s">
        <v>1420</v>
      </c>
      <c r="B290" s="1855" t="s">
        <v>2203</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2204</v>
      </c>
      <c r="C292" s="1859">
        <v>0.15</v>
      </c>
      <c r="D292" s="1859">
        <v>0.15</v>
      </c>
      <c r="E292" s="1859">
        <v>0.15</v>
      </c>
      <c r="F292" s="1860">
        <v>0.14699999999999999</v>
      </c>
    </row>
    <row r="293" spans="1:6" ht="14.25" thickBot="1">
      <c r="A293" s="1854" t="s">
        <v>1420</v>
      </c>
      <c r="B293" s="1858" t="s">
        <v>2205</v>
      </c>
      <c r="C293" s="1868"/>
      <c r="D293" s="1868"/>
      <c r="E293" s="1868"/>
      <c r="F293" s="1860">
        <v>0.1</v>
      </c>
    </row>
    <row r="294" spans="1:6" ht="14.25" thickBot="1">
      <c r="A294" s="1854" t="s">
        <v>1420</v>
      </c>
      <c r="B294" s="1858" t="s">
        <v>2206</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2207</v>
      </c>
      <c r="C296" s="1859">
        <v>0.15</v>
      </c>
      <c r="D296" s="1859">
        <v>0.15</v>
      </c>
      <c r="E296" s="1859">
        <v>0.15</v>
      </c>
      <c r="F296" s="1860">
        <v>0.15</v>
      </c>
    </row>
    <row r="297" spans="1:6" ht="14.25" thickBot="1">
      <c r="A297" s="1854" t="s">
        <v>1420</v>
      </c>
      <c r="B297" s="1858" t="s">
        <v>2208</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2209</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2210</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2211</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2212</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2213</v>
      </c>
      <c r="C310" s="1859">
        <v>0.15</v>
      </c>
      <c r="D310" s="1859">
        <v>0.15</v>
      </c>
      <c r="E310" s="1859">
        <v>0.15</v>
      </c>
      <c r="F310" s="1860">
        <v>0.13700000000000001</v>
      </c>
    </row>
    <row r="311" spans="1:6" ht="14.25" thickBot="1">
      <c r="A311" s="1854" t="s">
        <v>1420</v>
      </c>
      <c r="B311" s="1858" t="s">
        <v>2214</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2215</v>
      </c>
      <c r="C313" s="1859">
        <v>0.15</v>
      </c>
      <c r="D313" s="1859">
        <v>0.15</v>
      </c>
      <c r="E313" s="1859">
        <v>0.15</v>
      </c>
      <c r="F313" s="1860">
        <v>0.15</v>
      </c>
    </row>
    <row r="314" spans="1:6" ht="24.75" thickBot="1">
      <c r="A314" s="1854" t="s">
        <v>1420</v>
      </c>
      <c r="B314" s="1858" t="s">
        <v>2216</v>
      </c>
      <c r="C314" s="1868"/>
      <c r="D314" s="1868"/>
      <c r="E314" s="1868"/>
      <c r="F314" s="1860">
        <v>0.05</v>
      </c>
    </row>
    <row r="315" spans="1:6" ht="24.75" thickBot="1">
      <c r="A315" s="1854" t="s">
        <v>1420</v>
      </c>
      <c r="B315" s="1858" t="s">
        <v>2217</v>
      </c>
      <c r="C315" s="1868"/>
      <c r="D315" s="1868"/>
      <c r="E315" s="1868"/>
      <c r="F315" s="1860">
        <v>0.05</v>
      </c>
    </row>
    <row r="316" spans="1:6" ht="24.75" thickBot="1">
      <c r="A316" s="1862" t="s">
        <v>1420</v>
      </c>
      <c r="B316" s="1869" t="s">
        <v>2218</v>
      </c>
      <c r="C316" s="1865"/>
      <c r="D316" s="1865"/>
      <c r="E316" s="1865"/>
      <c r="F316" s="1870">
        <v>0.05</v>
      </c>
    </row>
    <row r="317" spans="1:6" ht="14.25" thickBot="1">
      <c r="A317" s="1854" t="s">
        <v>2219</v>
      </c>
      <c r="B317" s="1855" t="s">
        <v>2220</v>
      </c>
      <c r="C317" s="1856">
        <v>0.15</v>
      </c>
      <c r="D317" s="1856">
        <v>0.15</v>
      </c>
      <c r="E317" s="1856">
        <v>0.15</v>
      </c>
      <c r="F317" s="1857">
        <v>0.15</v>
      </c>
    </row>
    <row r="318" spans="1:6" ht="14.25" thickBot="1">
      <c r="A318" s="1854" t="s">
        <v>2219</v>
      </c>
      <c r="B318" s="1858" t="s">
        <v>2221</v>
      </c>
      <c r="C318" s="1859">
        <v>0.107</v>
      </c>
      <c r="D318" s="1859">
        <v>0.11</v>
      </c>
      <c r="E318" s="1859">
        <v>0.112</v>
      </c>
      <c r="F318" s="1867"/>
    </row>
    <row r="319" spans="1:6" ht="14.25" thickBot="1">
      <c r="A319" s="1854" t="s">
        <v>2219</v>
      </c>
      <c r="B319" s="1858" t="s">
        <v>2222</v>
      </c>
      <c r="C319" s="1859">
        <v>0.15</v>
      </c>
      <c r="D319" s="1859">
        <v>0.15</v>
      </c>
      <c r="E319" s="1859">
        <v>0.15</v>
      </c>
      <c r="F319" s="1860">
        <v>0.15</v>
      </c>
    </row>
    <row r="320" spans="1:6" ht="14.25" thickBot="1">
      <c r="A320" s="1854" t="s">
        <v>2219</v>
      </c>
      <c r="B320" s="1858" t="s">
        <v>1108</v>
      </c>
      <c r="C320" s="1859">
        <v>0.15</v>
      </c>
      <c r="D320" s="1859">
        <v>0.15</v>
      </c>
      <c r="E320" s="1859">
        <v>0.15</v>
      </c>
      <c r="F320" s="1867"/>
    </row>
    <row r="321" spans="1:6" ht="14.25" thickBot="1">
      <c r="A321" s="1854" t="s">
        <v>2219</v>
      </c>
      <c r="B321" s="1858" t="s">
        <v>2223</v>
      </c>
      <c r="C321" s="1859">
        <v>0.15</v>
      </c>
      <c r="D321" s="1859">
        <v>0.15</v>
      </c>
      <c r="E321" s="1859">
        <v>0.15</v>
      </c>
      <c r="F321" s="1867"/>
    </row>
    <row r="322" spans="1:6" ht="14.25" thickBot="1">
      <c r="A322" s="1854" t="s">
        <v>2219</v>
      </c>
      <c r="B322" s="1858" t="s">
        <v>2224</v>
      </c>
      <c r="C322" s="1859">
        <v>0.15</v>
      </c>
      <c r="D322" s="1859">
        <v>0.15</v>
      </c>
      <c r="E322" s="1859">
        <v>0.15</v>
      </c>
      <c r="F322" s="1860">
        <v>0.15</v>
      </c>
    </row>
    <row r="323" spans="1:6" ht="14.25" thickBot="1">
      <c r="A323" s="1854" t="s">
        <v>2219</v>
      </c>
      <c r="B323" s="1858" t="s">
        <v>2225</v>
      </c>
      <c r="C323" s="1859">
        <v>0.15</v>
      </c>
      <c r="D323" s="1859">
        <v>0.15</v>
      </c>
      <c r="E323" s="1859">
        <v>0.15</v>
      </c>
      <c r="F323" s="1867"/>
    </row>
    <row r="324" spans="1:6" ht="14.25" thickBot="1">
      <c r="A324" s="1854" t="s">
        <v>2219</v>
      </c>
      <c r="B324" s="1858" t="s">
        <v>2226</v>
      </c>
      <c r="C324" s="1859">
        <v>0.15</v>
      </c>
      <c r="D324" s="1859">
        <v>0.15</v>
      </c>
      <c r="E324" s="1859">
        <v>0.15</v>
      </c>
      <c r="F324" s="1867"/>
    </row>
    <row r="325" spans="1:6" ht="14.25" thickBot="1">
      <c r="A325" s="1854" t="s">
        <v>2219</v>
      </c>
      <c r="B325" s="1858" t="s">
        <v>2227</v>
      </c>
      <c r="C325" s="1859">
        <v>0.15</v>
      </c>
      <c r="D325" s="1859">
        <v>0.15</v>
      </c>
      <c r="E325" s="1859">
        <v>0.15</v>
      </c>
      <c r="F325" s="1860">
        <v>0.14699999999999999</v>
      </c>
    </row>
    <row r="326" spans="1:6" ht="14.25" thickBot="1">
      <c r="A326" s="1854" t="s">
        <v>2219</v>
      </c>
      <c r="B326" s="1858" t="s">
        <v>1177</v>
      </c>
      <c r="C326" s="1859">
        <v>0.15</v>
      </c>
      <c r="D326" s="1859">
        <v>0.15</v>
      </c>
      <c r="E326" s="1859">
        <v>0.15</v>
      </c>
      <c r="F326" s="1867"/>
    </row>
    <row r="327" spans="1:6" ht="14.25" thickBot="1">
      <c r="A327" s="1854" t="s">
        <v>2219</v>
      </c>
      <c r="B327" s="1858" t="s">
        <v>2228</v>
      </c>
      <c r="C327" s="1859">
        <v>0.15</v>
      </c>
      <c r="D327" s="1859">
        <v>0.15</v>
      </c>
      <c r="E327" s="1859">
        <v>0.15</v>
      </c>
      <c r="F327" s="1860">
        <v>0.15</v>
      </c>
    </row>
    <row r="328" spans="1:6" ht="14.25" thickBot="1">
      <c r="A328" s="1854" t="s">
        <v>2219</v>
      </c>
      <c r="B328" s="1858" t="s">
        <v>1197</v>
      </c>
      <c r="C328" s="1859">
        <v>0.15</v>
      </c>
      <c r="D328" s="1859">
        <v>0.15</v>
      </c>
      <c r="E328" s="1859">
        <v>0.15</v>
      </c>
      <c r="F328" s="1860">
        <v>0.14099999999999999</v>
      </c>
    </row>
    <row r="329" spans="1:6" ht="14.25" thickBot="1">
      <c r="A329" s="1854" t="s">
        <v>2219</v>
      </c>
      <c r="B329" s="1858" t="s">
        <v>1207</v>
      </c>
      <c r="C329" s="1859">
        <v>0.15</v>
      </c>
      <c r="D329" s="1859">
        <v>0.15</v>
      </c>
      <c r="E329" s="1859">
        <v>0.15</v>
      </c>
      <c r="F329" s="1860">
        <v>0.15</v>
      </c>
    </row>
    <row r="330" spans="1:6" ht="14.25" thickBot="1">
      <c r="A330" s="1854" t="s">
        <v>2219</v>
      </c>
      <c r="B330" s="1858" t="s">
        <v>1217</v>
      </c>
      <c r="C330" s="1859">
        <v>0.15</v>
      </c>
      <c r="D330" s="1859">
        <v>0.15</v>
      </c>
      <c r="E330" s="1859">
        <v>0.15</v>
      </c>
      <c r="F330" s="1867"/>
    </row>
    <row r="331" spans="1:6" ht="14.25" thickBot="1">
      <c r="A331" s="1854" t="s">
        <v>2219</v>
      </c>
      <c r="B331" s="1858" t="s">
        <v>2229</v>
      </c>
      <c r="C331" s="1859">
        <v>0.15</v>
      </c>
      <c r="D331" s="1859">
        <v>0.15</v>
      </c>
      <c r="E331" s="1859">
        <v>0.15</v>
      </c>
      <c r="F331" s="1860">
        <v>0.15</v>
      </c>
    </row>
    <row r="332" spans="1:6" ht="14.25" thickBot="1">
      <c r="A332" s="1854" t="s">
        <v>2219</v>
      </c>
      <c r="B332" s="1858" t="s">
        <v>1237</v>
      </c>
      <c r="C332" s="1859">
        <v>0.15</v>
      </c>
      <c r="D332" s="1859">
        <v>0.15</v>
      </c>
      <c r="E332" s="1859">
        <v>0.15</v>
      </c>
      <c r="F332" s="1860">
        <v>0.15</v>
      </c>
    </row>
    <row r="333" spans="1:6" ht="14.25" thickBot="1">
      <c r="A333" s="1854" t="s">
        <v>2219</v>
      </c>
      <c r="B333" s="1858" t="s">
        <v>2230</v>
      </c>
      <c r="C333" s="1859">
        <v>0.15</v>
      </c>
      <c r="D333" s="1859">
        <v>0.15</v>
      </c>
      <c r="E333" s="1859">
        <v>0.15</v>
      </c>
      <c r="F333" s="1860">
        <v>0.14099999999999999</v>
      </c>
    </row>
    <row r="334" spans="1:6" ht="14.25" thickBot="1">
      <c r="A334" s="1854" t="s">
        <v>2219</v>
      </c>
      <c r="B334" s="1858" t="s">
        <v>1257</v>
      </c>
      <c r="C334" s="1859">
        <v>0.15</v>
      </c>
      <c r="D334" s="1859">
        <v>0.15</v>
      </c>
      <c r="E334" s="1859">
        <v>0.15</v>
      </c>
      <c r="F334" s="1860">
        <v>0.15</v>
      </c>
    </row>
    <row r="335" spans="1:6" ht="14.25" thickBot="1">
      <c r="A335" s="1854" t="s">
        <v>2219</v>
      </c>
      <c r="B335" s="1858" t="s">
        <v>1267</v>
      </c>
      <c r="C335" s="1859">
        <v>0.15</v>
      </c>
      <c r="D335" s="1859">
        <v>0.15</v>
      </c>
      <c r="E335" s="1859">
        <v>0.15</v>
      </c>
      <c r="F335" s="1867"/>
    </row>
    <row r="336" spans="1:6" ht="14.25" thickBot="1">
      <c r="A336" s="1854" t="s">
        <v>2219</v>
      </c>
      <c r="B336" s="1858" t="s">
        <v>2231</v>
      </c>
      <c r="C336" s="1859">
        <v>0.15</v>
      </c>
      <c r="D336" s="1859">
        <v>0.15</v>
      </c>
      <c r="E336" s="1859">
        <v>0.15</v>
      </c>
      <c r="F336" s="1860">
        <v>0.11799999999999999</v>
      </c>
    </row>
    <row r="337" spans="1:6" ht="14.25" thickBot="1">
      <c r="A337" s="1862" t="s">
        <v>2219</v>
      </c>
      <c r="B337" s="1869" t="s">
        <v>1285</v>
      </c>
      <c r="C337" s="1865"/>
      <c r="D337" s="1865"/>
      <c r="E337" s="1865"/>
      <c r="F337" s="1870">
        <v>0.14299999999999999</v>
      </c>
    </row>
    <row r="338" spans="1:6" ht="14.25" thickBot="1">
      <c r="A338" s="1854" t="s">
        <v>2232</v>
      </c>
      <c r="B338" s="1855" t="s">
        <v>2233</v>
      </c>
      <c r="C338" s="1856">
        <v>0.15</v>
      </c>
      <c r="D338" s="1856">
        <v>0.15</v>
      </c>
      <c r="E338" s="1856">
        <v>0.15</v>
      </c>
      <c r="F338" s="1878"/>
    </row>
    <row r="339" spans="1:6" ht="14.25" thickBot="1">
      <c r="A339" s="1854" t="s">
        <v>2232</v>
      </c>
      <c r="B339" s="1858" t="s">
        <v>2234</v>
      </c>
      <c r="C339" s="1859">
        <v>0.15</v>
      </c>
      <c r="D339" s="1859">
        <v>0.15</v>
      </c>
      <c r="E339" s="1859">
        <v>0.15</v>
      </c>
      <c r="F339" s="1867"/>
    </row>
    <row r="340" spans="1:6" ht="14.25" thickBot="1">
      <c r="A340" s="1854" t="s">
        <v>2232</v>
      </c>
      <c r="B340" s="1858" t="s">
        <v>2235</v>
      </c>
      <c r="C340" s="1859">
        <v>0.15</v>
      </c>
      <c r="D340" s="1859">
        <v>0.15</v>
      </c>
      <c r="E340" s="1859">
        <v>0.15</v>
      </c>
      <c r="F340" s="1867"/>
    </row>
    <row r="341" spans="1:6" ht="14.25" thickBot="1">
      <c r="A341" s="1854" t="s">
        <v>2236</v>
      </c>
      <c r="B341" s="1858" t="s">
        <v>2237</v>
      </c>
      <c r="C341" s="1859">
        <v>0.15</v>
      </c>
      <c r="D341" s="1859">
        <v>0.15</v>
      </c>
      <c r="E341" s="1859">
        <v>0.15</v>
      </c>
      <c r="F341" s="1860">
        <v>0.15</v>
      </c>
    </row>
    <row r="342" spans="1:6" ht="14.25" thickBot="1">
      <c r="A342" s="1854" t="s">
        <v>2232</v>
      </c>
      <c r="B342" s="1858" t="s">
        <v>2238</v>
      </c>
      <c r="C342" s="1859">
        <v>0.15</v>
      </c>
      <c r="D342" s="1859">
        <v>0.15</v>
      </c>
      <c r="E342" s="1859">
        <v>0.15</v>
      </c>
      <c r="F342" s="1860">
        <v>0.15</v>
      </c>
    </row>
    <row r="343" spans="1:6" ht="14.25" thickBot="1">
      <c r="A343" s="1854" t="s">
        <v>2232</v>
      </c>
      <c r="B343" s="1858" t="s">
        <v>2239</v>
      </c>
      <c r="C343" s="1859">
        <v>0.15</v>
      </c>
      <c r="D343" s="1859">
        <v>0.15</v>
      </c>
      <c r="E343" s="1859">
        <v>0.15</v>
      </c>
      <c r="F343" s="1860">
        <v>0.15</v>
      </c>
    </row>
    <row r="344" spans="1:6" ht="14.25" thickBot="1">
      <c r="A344" s="1862" t="s">
        <v>2232</v>
      </c>
      <c r="B344" s="1869" t="s">
        <v>2240</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2955</v>
      </c>
      <c r="B1" s="3103"/>
      <c r="C1" s="3103"/>
      <c r="D1" s="3103"/>
      <c r="E1" s="3103"/>
      <c r="F1" s="3103"/>
    </row>
    <row r="2" spans="1:6" ht="14.25">
      <c r="A2" s="3104" t="s">
        <v>2950</v>
      </c>
      <c r="B2" s="3105">
        <f ca="1">SUMIF(B7:B14,"&lt;&gt;#ref!",B7:B14)</f>
        <v>86069</v>
      </c>
      <c r="C2" s="3104" t="s">
        <v>2951</v>
      </c>
      <c r="D2" s="3103"/>
      <c r="E2" s="3103"/>
      <c r="F2" s="3103"/>
    </row>
    <row r="3" spans="1:6" ht="14.25">
      <c r="A3" s="3104" t="s">
        <v>2983</v>
      </c>
      <c r="B3" s="3105">
        <f ca="1">ROUND(B2*10000/E3,0)</f>
        <v>8556</v>
      </c>
      <c r="C3" s="3104" t="s">
        <v>2081</v>
      </c>
      <c r="D3" s="3104" t="s">
        <v>2952</v>
      </c>
      <c r="E3" s="3105">
        <f ca="1">SUMIF(E7:E14,"&lt;&gt;#ref!",E7:E14)</f>
        <v>100595</v>
      </c>
      <c r="F3" s="3103"/>
    </row>
    <row r="4" spans="1:6" ht="14.25">
      <c r="A4" s="3104" t="s">
        <v>2958</v>
      </c>
      <c r="B4" s="3105">
        <f ca="1">ROUND(B2*10000/E4,0)</f>
        <v>18756</v>
      </c>
      <c r="C4" s="3104" t="s">
        <v>2081</v>
      </c>
      <c r="D4" s="3104" t="s">
        <v>2959</v>
      </c>
      <c r="E4" s="3105">
        <f ca="1">SUMIF(F7:F14,"&lt;&gt;#ref!",F7:F14)</f>
        <v>45889.5</v>
      </c>
      <c r="F4" s="3103"/>
    </row>
    <row r="5" spans="1:6" ht="14.25">
      <c r="A5" s="3106"/>
      <c r="B5" s="1880"/>
      <c r="C5" s="1880"/>
      <c r="D5" s="1880"/>
      <c r="E5" s="1880"/>
      <c r="F5" s="3103"/>
    </row>
    <row r="6" spans="1:6" ht="28.5">
      <c r="A6" s="3107" t="s">
        <v>2956</v>
      </c>
      <c r="B6" s="3104" t="s">
        <v>2953</v>
      </c>
      <c r="C6" s="3105"/>
      <c r="D6" s="1880"/>
      <c r="E6" s="3104" t="s">
        <v>2954</v>
      </c>
      <c r="F6" s="3104" t="s">
        <v>2957</v>
      </c>
    </row>
    <row r="7" spans="1:6" ht="14.25">
      <c r="A7" s="260" t="s">
        <v>2993</v>
      </c>
      <c r="B7" s="3108">
        <f ca="1">SUMIF(INDIRECT("'"&amp;A7&amp;"'"&amp;"!A:A"),"总价",INDIRECT("'"&amp;A7&amp;"'"&amp;"!B:B"))</f>
        <v>86069</v>
      </c>
      <c r="C7" s="3104" t="s">
        <v>2951</v>
      </c>
      <c r="D7" s="1880"/>
      <c r="E7" s="3109">
        <f ca="1">SUMIF(INDIRECT("'"&amp;A7&amp;"'"&amp;"!C:C"),"建筑面积",INDIRECT("'"&amp;A7&amp;"'"&amp;"!D:D"))</f>
        <v>100595</v>
      </c>
      <c r="F7" s="3109">
        <f ca="1">SUMIF(INDIRECT("'"&amp;A7&amp;"'"&amp;"!E:E"),"土地面积",INDIRECT("'"&amp;A7&amp;"'"&amp;"!F:F"))</f>
        <v>45889.5</v>
      </c>
    </row>
    <row r="8" spans="1:6" ht="14.25">
      <c r="A8" s="260"/>
      <c r="B8" s="3108" t="e">
        <f t="shared" ref="B8:B14" ca="1" si="0">SUMIF(INDIRECT("'"&amp;A8&amp;"'"&amp;"!A:A"),"总价",INDIRECT("'"&amp;A8&amp;"'"&amp;"!B:B"))</f>
        <v>#REF!</v>
      </c>
      <c r="C8" s="3104" t="s">
        <v>2951</v>
      </c>
      <c r="D8" s="1880"/>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2951</v>
      </c>
      <c r="D9" s="1880"/>
      <c r="E9" s="3109" t="e">
        <f t="shared" ca="1" si="1"/>
        <v>#REF!</v>
      </c>
      <c r="F9" s="3109" t="e">
        <f t="shared" ca="1" si="2"/>
        <v>#REF!</v>
      </c>
    </row>
    <row r="10" spans="1:6" ht="14.25">
      <c r="A10" s="260"/>
      <c r="B10" s="3108" t="e">
        <f t="shared" ca="1" si="0"/>
        <v>#REF!</v>
      </c>
      <c r="C10" s="3104" t="s">
        <v>2951</v>
      </c>
      <c r="D10" s="1880"/>
      <c r="E10" s="3109" t="e">
        <f t="shared" ca="1" si="1"/>
        <v>#REF!</v>
      </c>
      <c r="F10" s="3109" t="e">
        <f t="shared" ca="1" si="2"/>
        <v>#REF!</v>
      </c>
    </row>
    <row r="11" spans="1:6" ht="14.25">
      <c r="A11" s="260"/>
      <c r="B11" s="3108" t="e">
        <f t="shared" ca="1" si="0"/>
        <v>#REF!</v>
      </c>
      <c r="C11" s="3104" t="s">
        <v>2951</v>
      </c>
      <c r="D11" s="1880"/>
      <c r="E11" s="3109" t="e">
        <f t="shared" ca="1" si="1"/>
        <v>#REF!</v>
      </c>
      <c r="F11" s="3109" t="e">
        <f t="shared" ca="1" si="2"/>
        <v>#REF!</v>
      </c>
    </row>
    <row r="12" spans="1:6" ht="14.25">
      <c r="A12" s="260"/>
      <c r="B12" s="3108" t="e">
        <f t="shared" ca="1" si="0"/>
        <v>#REF!</v>
      </c>
      <c r="C12" s="3104" t="s">
        <v>2951</v>
      </c>
      <c r="D12" s="1880"/>
      <c r="E12" s="3109" t="e">
        <f t="shared" ca="1" si="1"/>
        <v>#REF!</v>
      </c>
      <c r="F12" s="3109" t="e">
        <f t="shared" ca="1" si="2"/>
        <v>#REF!</v>
      </c>
    </row>
    <row r="13" spans="1:6" ht="14.25">
      <c r="A13" s="260"/>
      <c r="B13" s="3108" t="e">
        <f t="shared" ca="1" si="0"/>
        <v>#REF!</v>
      </c>
      <c r="C13" s="3104" t="s">
        <v>2951</v>
      </c>
      <c r="D13" s="1880"/>
      <c r="E13" s="3109" t="e">
        <f t="shared" ca="1" si="1"/>
        <v>#REF!</v>
      </c>
      <c r="F13" s="3109" t="e">
        <f t="shared" ca="1" si="2"/>
        <v>#REF!</v>
      </c>
    </row>
    <row r="14" spans="1:6" ht="14.25">
      <c r="A14" s="3102"/>
      <c r="B14" s="3108" t="e">
        <f t="shared" ca="1" si="0"/>
        <v>#REF!</v>
      </c>
      <c r="C14" s="3104" t="s">
        <v>2951</v>
      </c>
      <c r="D14" s="1880"/>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c r="D1" s="2049"/>
      <c r="E1" s="2386" t="s">
        <v>870</v>
      </c>
      <c r="F1" s="2387">
        <f ca="1">J54</f>
        <v>0</v>
      </c>
      <c r="G1" s="771">
        <f>MATCH(C1,'数据-取费表'!A6:A16,0)+5</f>
        <v>7</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1685</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0</v>
      </c>
      <c r="D7" s="2495" t="s">
        <v>2464</v>
      </c>
      <c r="E7" s="2489"/>
      <c r="F7" s="2490"/>
      <c r="G7" s="1590"/>
      <c r="H7" s="778">
        <v>1</v>
      </c>
      <c r="I7" s="779" t="s">
        <v>2461</v>
      </c>
      <c r="J7" s="53">
        <f ca="1">J8+J12+J14</f>
        <v>0</v>
      </c>
      <c r="K7" s="2495" t="s">
        <v>2464</v>
      </c>
      <c r="L7" s="2489"/>
      <c r="M7" s="2490"/>
    </row>
    <row r="8" spans="1:25" ht="18" customHeight="1">
      <c r="A8" s="1829" t="s">
        <v>1825</v>
      </c>
      <c r="B8" s="3452" t="s">
        <v>2466</v>
      </c>
      <c r="C8" s="1824">
        <f ca="1">ROUND(F8*F10*F9*(1-F11)/10000,0)</f>
        <v>0</v>
      </c>
      <c r="D8" s="1821" t="s">
        <v>2537</v>
      </c>
      <c r="E8" s="61" t="s">
        <v>637</v>
      </c>
      <c r="F8" s="782">
        <f ca="1">INDIRECT("'数据-取费表'!u"&amp;$G$1)</f>
        <v>2</v>
      </c>
      <c r="G8" s="1590"/>
      <c r="H8" s="2503" t="s">
        <v>1825</v>
      </c>
      <c r="I8" s="3452" t="s">
        <v>2466</v>
      </c>
      <c r="J8" s="780">
        <f ca="1">ROUND(M8*M10*M9*(1-M11)/10000,0)</f>
        <v>0</v>
      </c>
      <c r="K8" s="338" t="s">
        <v>2537</v>
      </c>
      <c r="L8" s="781" t="s">
        <v>637</v>
      </c>
      <c r="M8" s="782">
        <f ca="1">INDIRECT("'数据-取费表'!z"&amp;$G$1)</f>
        <v>0</v>
      </c>
    </row>
    <row r="9" spans="1:25" ht="18" customHeight="1">
      <c r="A9" s="2499"/>
      <c r="B9" s="3453"/>
      <c r="C9" s="1825"/>
      <c r="D9" s="1822"/>
      <c r="E9" s="61" t="s">
        <v>638</v>
      </c>
      <c r="F9" s="782">
        <f ca="1">IF(INDIRECT("'数据-取费表'!ah"&amp;$G$1)="",INDIRECT("'数据-取费表'!k"&amp;$G$1),INDIRECT("'数据-取费表'!ah"&amp;$G$1))</f>
        <v>0</v>
      </c>
      <c r="G9" s="1590"/>
      <c r="H9" s="2488"/>
      <c r="I9" s="3453"/>
      <c r="J9" s="785"/>
      <c r="K9" s="786"/>
      <c r="L9" s="781" t="s">
        <v>638</v>
      </c>
      <c r="M9" s="782">
        <f ca="1">F9</f>
        <v>0</v>
      </c>
    </row>
    <row r="10" spans="1:25" ht="18" customHeight="1">
      <c r="A10" s="2492"/>
      <c r="B10" s="3454"/>
      <c r="C10" s="1825"/>
      <c r="D10" s="1822"/>
      <c r="E10" s="61" t="s">
        <v>639</v>
      </c>
      <c r="F10" s="782">
        <f ca="1">INDIRECT("'数据-取费表'!ai"&amp;$G$1)</f>
        <v>365</v>
      </c>
      <c r="G10" s="1590"/>
      <c r="H10" s="2488"/>
      <c r="I10" s="3454"/>
      <c r="J10" s="785"/>
      <c r="K10" s="786"/>
      <c r="L10" s="781" t="s">
        <v>639</v>
      </c>
      <c r="M10" s="782">
        <f ca="1">INDIRECT("'数据-取费表'!ai"&amp;$G$1)</f>
        <v>365</v>
      </c>
    </row>
    <row r="11" spans="1:25" ht="18" customHeight="1">
      <c r="A11" s="783"/>
      <c r="B11" s="3455"/>
      <c r="C11" s="1825"/>
      <c r="D11" s="1822"/>
      <c r="E11" s="61" t="s">
        <v>640</v>
      </c>
      <c r="F11" s="791">
        <f ca="1">INDIRECT("'数据-取费表'!w"&amp;$G$1)</f>
        <v>0.1</v>
      </c>
      <c r="G11" s="1590"/>
      <c r="H11" s="2504"/>
      <c r="I11" s="3454"/>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0</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0</v>
      </c>
      <c r="D16" s="3175" t="s">
        <v>646</v>
      </c>
      <c r="E16" s="3174"/>
      <c r="F16" s="802"/>
      <c r="G16" s="1590"/>
      <c r="H16" s="800" t="s">
        <v>1825</v>
      </c>
      <c r="I16" s="2230" t="s">
        <v>2828</v>
      </c>
      <c r="J16" s="53">
        <f ca="1">C31</f>
        <v>0</v>
      </c>
      <c r="K16" s="26"/>
      <c r="L16" s="798"/>
      <c r="M16" s="799"/>
    </row>
    <row r="17" spans="1:25" s="2063" customFormat="1" ht="18" customHeight="1">
      <c r="A17" s="800" t="s">
        <v>1850</v>
      </c>
      <c r="B17" s="781" t="s">
        <v>647</v>
      </c>
      <c r="C17" s="53">
        <f ca="1">ROUND(C16*F17,0)</f>
        <v>0</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0</v>
      </c>
      <c r="D18" s="781" t="s">
        <v>648</v>
      </c>
      <c r="E18" s="781" t="s">
        <v>649</v>
      </c>
      <c r="F18" s="806">
        <f ca="1">IF(INDIRECT("'数据-取费表'!c"&amp;$G$1)="住宅",'数据-取费表'!B34,0)</f>
        <v>0.05</v>
      </c>
      <c r="G18" s="1590"/>
      <c r="H18" s="794" t="s">
        <v>1828</v>
      </c>
      <c r="I18" s="795" t="s">
        <v>651</v>
      </c>
      <c r="J18" s="796">
        <f ca="1">ROUND(J19+J24+J25+J26,0)</f>
        <v>0</v>
      </c>
      <c r="K18" s="26" t="s">
        <v>652</v>
      </c>
      <c r="L18" s="3183"/>
      <c r="M18" s="56"/>
    </row>
    <row r="19" spans="1:25" s="2063" customFormat="1" ht="18" customHeight="1">
      <c r="A19" s="800" t="s">
        <v>1852</v>
      </c>
      <c r="B19" s="781" t="s">
        <v>653</v>
      </c>
      <c r="C19" s="53">
        <f ca="1">ROUND(F19*(INDIRECT("'数据-取费表'!k"&amp;$G$1)+INDIRECT("'数据-取费表'!S"&amp;$G$1))/10000,0)</f>
        <v>0</v>
      </c>
      <c r="D19" s="781" t="s">
        <v>654</v>
      </c>
      <c r="E19" s="781" t="s">
        <v>655</v>
      </c>
      <c r="F19" s="56">
        <f>'数据-取费表'!B35</f>
        <v>200</v>
      </c>
      <c r="G19" s="1591"/>
      <c r="H19" s="800" t="s">
        <v>1825</v>
      </c>
      <c r="I19" s="781" t="s">
        <v>656</v>
      </c>
      <c r="J19" s="53">
        <f ca="1">ROUND(IF(项目基本情况!B11="自然人",J7*M19,J20+J21+J22),0)</f>
        <v>0</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0</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0</v>
      </c>
      <c r="D21" s="261" t="s">
        <v>663</v>
      </c>
      <c r="E21" s="3183"/>
      <c r="F21" s="56"/>
      <c r="G21" s="1590"/>
      <c r="H21" s="1829" t="s">
        <v>1850</v>
      </c>
      <c r="I21" s="781" t="s">
        <v>664</v>
      </c>
      <c r="J21" s="53">
        <f ca="1">IF(K21="按租金收入计税",ROUND(J7*M21,1),ROUND(C31*F35*0.7,1))</f>
        <v>0</v>
      </c>
      <c r="K21" s="808" t="s">
        <v>665</v>
      </c>
      <c r="L21" s="781" t="s">
        <v>649</v>
      </c>
      <c r="M21" s="806">
        <f>IF(K21="按租金收入计税",'数据-取费表'!B51,'数据-取费表'!B50)</f>
        <v>1.2E-2</v>
      </c>
    </row>
    <row r="22" spans="1:25" s="2063" customFormat="1" ht="18" customHeight="1">
      <c r="A22" s="800" t="s">
        <v>1878</v>
      </c>
      <c r="B22" s="781" t="s">
        <v>666</v>
      </c>
      <c r="C22" s="53">
        <f ca="1">ROUND(C21*F22,0)</f>
        <v>0</v>
      </c>
      <c r="D22" s="809" t="s">
        <v>667</v>
      </c>
      <c r="E22" s="781" t="s">
        <v>649</v>
      </c>
      <c r="F22" s="806">
        <f>'数据-取费表'!B37</f>
        <v>0.02</v>
      </c>
      <c r="G22" s="1591"/>
      <c r="H22" s="1831" t="s">
        <v>1851</v>
      </c>
      <c r="I22" s="1821" t="s">
        <v>668</v>
      </c>
      <c r="J22" s="54">
        <f ca="1">ROUND(M22*M23/10000,0)</f>
        <v>0</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0</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0</v>
      </c>
      <c r="K24" s="3176" t="s">
        <v>677</v>
      </c>
      <c r="L24" s="781" t="s">
        <v>649</v>
      </c>
      <c r="M24" s="814">
        <f ca="1">INDIRECT("'数据-取费表'!Ak"&amp;$G$1)</f>
        <v>0</v>
      </c>
    </row>
    <row r="25" spans="1:25" s="2063" customFormat="1" ht="18" customHeight="1">
      <c r="A25" s="800" t="s">
        <v>1876</v>
      </c>
      <c r="B25" s="781" t="s">
        <v>2440</v>
      </c>
      <c r="C25" s="53">
        <f ca="1">ROUND(IF('数据-取费表'!B22&lt;=1,(C21+C22)*F26*F25/2,(C21+C22)*(POWER((1+F26),F25/2)-1)),0)</f>
        <v>0</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0</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0</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0</v>
      </c>
      <c r="K27" s="3175" t="s">
        <v>700</v>
      </c>
      <c r="L27" s="3173"/>
      <c r="M27" s="817"/>
    </row>
    <row r="28" spans="1:25" ht="18" customHeight="1">
      <c r="A28" s="800" t="s">
        <v>1876</v>
      </c>
      <c r="B28" s="781" t="s">
        <v>2441</v>
      </c>
      <c r="C28" s="53">
        <f ca="1">ROUND((C21+C22)*F28,0)</f>
        <v>0</v>
      </c>
      <c r="D28" s="809" t="s">
        <v>701</v>
      </c>
      <c r="E28" s="792" t="s">
        <v>702</v>
      </c>
      <c r="F28" s="791">
        <f ca="1">INDIRECT("'数据-取费表'!q"&amp;$G$1)</f>
        <v>0.25</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5.0000000000000001E-3</v>
      </c>
      <c r="D29" s="809" t="s">
        <v>706</v>
      </c>
      <c r="E29" s="803"/>
      <c r="F29" s="804"/>
      <c r="G29" s="1590"/>
      <c r="H29" s="783"/>
      <c r="I29" s="784"/>
      <c r="J29" s="785"/>
      <c r="K29" s="818" t="s">
        <v>707</v>
      </c>
      <c r="L29" s="781" t="s">
        <v>708</v>
      </c>
      <c r="M29" s="819">
        <f ca="1">INDIRECT("'数据-取费表'!ag"&amp;$G$1)</f>
        <v>-70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0</v>
      </c>
      <c r="D31" s="2544"/>
      <c r="E31" s="2545"/>
      <c r="F31" s="2546"/>
      <c r="G31" s="1591"/>
      <c r="H31" s="820" t="s">
        <v>1873</v>
      </c>
      <c r="I31" s="3009" t="s">
        <v>2827</v>
      </c>
      <c r="J31" s="822">
        <f ca="1">ROUND(J28/(1+F45)^F46,0)</f>
        <v>0</v>
      </c>
      <c r="K31" s="823" t="s">
        <v>688</v>
      </c>
      <c r="L31" s="824"/>
      <c r="M31" s="825">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0</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0</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0</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1834</v>
      </c>
      <c r="B36" s="338" t="s">
        <v>668</v>
      </c>
      <c r="C36" s="54">
        <f ca="1">ROUND(F36*F37/10000,1)</f>
        <v>0</v>
      </c>
      <c r="D36" s="811" t="s">
        <v>669</v>
      </c>
      <c r="E36" s="781" t="s">
        <v>670</v>
      </c>
      <c r="F36" s="637">
        <f>'数据-取费表'!B52</f>
        <v>1.5</v>
      </c>
      <c r="G36" s="2061"/>
      <c r="H36" s="2064"/>
      <c r="I36" s="3456"/>
      <c r="J36" s="2078"/>
      <c r="K36" s="2079"/>
      <c r="L36" s="2078"/>
      <c r="M36" s="2078"/>
    </row>
    <row r="37" spans="1:18" ht="18" customHeight="1">
      <c r="A37" s="812"/>
      <c r="B37" s="790"/>
      <c r="C37" s="69"/>
      <c r="D37" s="813"/>
      <c r="E37" s="781" t="s">
        <v>674</v>
      </c>
      <c r="F37" s="782">
        <f ca="1">INDIRECT("'数据-取费表'!r"&amp;$G$1)</f>
        <v>0</v>
      </c>
      <c r="G37" s="2061"/>
      <c r="H37" s="2064"/>
      <c r="I37" s="3456"/>
      <c r="J37" s="2076"/>
      <c r="K37" s="2077"/>
      <c r="L37" s="2076"/>
      <c r="M37" s="2076"/>
    </row>
    <row r="38" spans="1:18" ht="18" customHeight="1">
      <c r="A38" s="800" t="s">
        <v>1878</v>
      </c>
      <c r="B38" s="781" t="s">
        <v>676</v>
      </c>
      <c r="C38" s="53">
        <f ca="1">ROUND(C31*F38,1)</f>
        <v>0</v>
      </c>
      <c r="D38" s="3176" t="s">
        <v>691</v>
      </c>
      <c r="E38" s="781" t="s">
        <v>649</v>
      </c>
      <c r="F38" s="814">
        <f ca="1">INDIRECT("'数据-取费表'!Ak"&amp;$G$1)</f>
        <v>0</v>
      </c>
      <c r="G38" s="2061"/>
      <c r="H38" s="2076"/>
      <c r="I38" s="3182"/>
      <c r="J38" s="1987"/>
      <c r="K38" s="2081"/>
      <c r="L38" s="2076"/>
      <c r="M38" s="2076"/>
    </row>
    <row r="39" spans="1:18" ht="18" customHeight="1">
      <c r="A39" s="800" t="s">
        <v>1879</v>
      </c>
      <c r="B39" s="781" t="s">
        <v>679</v>
      </c>
      <c r="C39" s="53">
        <f ca="1">ROUND(C15*F39,1)</f>
        <v>0</v>
      </c>
      <c r="D39" s="3176" t="s">
        <v>680</v>
      </c>
      <c r="E39" s="781" t="s">
        <v>649</v>
      </c>
      <c r="F39" s="815">
        <f ca="1">INDIRECT("'数据-取费表'!Al"&amp;$G$1)</f>
        <v>0</v>
      </c>
      <c r="G39" s="2061"/>
      <c r="H39" s="2076"/>
      <c r="I39" s="3182"/>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0</v>
      </c>
      <c r="D42" s="3175" t="s">
        <v>694</v>
      </c>
      <c r="E42" s="3173"/>
      <c r="F42" s="817"/>
      <c r="G42" s="2061"/>
      <c r="H42" s="2061"/>
      <c r="I42" s="2061"/>
      <c r="J42" s="2061"/>
      <c r="K42" s="2082"/>
      <c r="L42" s="2061"/>
      <c r="M42" s="2061"/>
    </row>
    <row r="43" spans="1:18" ht="18" customHeight="1">
      <c r="A43" s="800" t="s">
        <v>1878</v>
      </c>
      <c r="B43" s="832" t="s">
        <v>711</v>
      </c>
      <c r="C43" s="833">
        <f ca="1">ROUND(C15*F43,0)</f>
        <v>0</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0</v>
      </c>
      <c r="D44" s="460" t="s">
        <v>714</v>
      </c>
      <c r="E44" s="461"/>
      <c r="F44" s="462"/>
      <c r="G44" s="2061"/>
      <c r="H44" s="2061"/>
      <c r="I44" s="2061"/>
      <c r="J44" s="2061"/>
      <c r="K44" s="2082"/>
      <c r="L44" s="2061"/>
      <c r="M44" s="2061"/>
    </row>
    <row r="45" spans="1:18" ht="18" customHeight="1">
      <c r="A45" s="800" t="s">
        <v>1880</v>
      </c>
      <c r="B45" s="1353" t="s">
        <v>715</v>
      </c>
      <c r="C45" s="3035">
        <f ca="1">ROUND(-PV(F45,F46,C44,0),0)</f>
        <v>0</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70</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#DIV/0!</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f ca="1">INDIRECT("'数据-取费表'!f"&amp;$G$1)</f>
        <v>70</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str">
        <f ca="1">J61</f>
        <v>0</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f ca="1">C31</f>
        <v>0</v>
      </c>
      <c r="R51" s="2398" t="s">
        <v>2383</v>
      </c>
    </row>
    <row r="52" spans="1:18" s="2058" customFormat="1" ht="18" customHeight="1" thickBot="1">
      <c r="A52" s="2095"/>
      <c r="F52" s="2084"/>
      <c r="I52" s="3145" t="s">
        <v>2351</v>
      </c>
      <c r="J52" s="3149">
        <f>IF(J50="",J51,J50+J51-YEAR('数据-取费表'!B3))</f>
        <v>0</v>
      </c>
      <c r="K52" s="3122" t="s">
        <v>2357</v>
      </c>
      <c r="L52" s="3156">
        <f ca="1">ROUND(-PV(INDIRECT("'数据-取费表'!h"&amp;$G$1),L49,(C40-C14*J36),0),0)</f>
        <v>0</v>
      </c>
      <c r="O52" s="2400" t="s">
        <v>2387</v>
      </c>
      <c r="P52" s="2398" t="s">
        <v>2388</v>
      </c>
      <c r="Q52" s="2401" t="e">
        <f ca="1">J59</f>
        <v>#VALUE!</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f ca="1">IF(M48="住宅",MAX(J52,L49-'数据-取费表'!B20),MIN(J52,L49-'数据-取费表'!B20))</f>
        <v>0</v>
      </c>
      <c r="K54" s="3457"/>
      <c r="L54" s="3458"/>
      <c r="O54" s="2400" t="s">
        <v>2391</v>
      </c>
      <c r="P54" s="2398" t="s">
        <v>2392</v>
      </c>
      <c r="Q54" s="2399">
        <f ca="1">J54</f>
        <v>0</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7" t="s">
        <v>2394</v>
      </c>
      <c r="P55" s="2398" t="s">
        <v>2411</v>
      </c>
      <c r="Q55" s="2399">
        <f ca="1">Q49+Q50</f>
        <v>0</v>
      </c>
      <c r="R55" s="2402" t="s">
        <v>2395</v>
      </c>
    </row>
    <row r="56" spans="1:18" s="2058" customFormat="1" ht="16.5" thickBot="1">
      <c r="A56" s="2095"/>
      <c r="B56" s="2096"/>
      <c r="C56" s="2096"/>
      <c r="I56" s="3159" t="s">
        <v>2358</v>
      </c>
      <c r="J56" s="3099" t="e">
        <f ca="1">ROUND(IF(J48="钢混",J58/J51,1-(1-2%)*(J51-J58)/J51),3)</f>
        <v>#VALUE!</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f ca="1">IF(L49&lt;J52,"——",L49-J52)</f>
        <v>70</v>
      </c>
      <c r="O57" s="2394" t="s">
        <v>2378</v>
      </c>
      <c r="P57" s="2395" t="s">
        <v>2379</v>
      </c>
      <c r="Q57" s="2396" t="s">
        <v>2380</v>
      </c>
      <c r="R57" s="2395" t="s">
        <v>2381</v>
      </c>
    </row>
    <row r="58" spans="1:18" s="2058" customFormat="1" ht="29.25" thickBot="1">
      <c r="A58" s="2095"/>
      <c r="B58" s="2096"/>
      <c r="C58" s="2096"/>
      <c r="I58" s="3162" t="s">
        <v>2361</v>
      </c>
      <c r="J58" s="3163" t="str">
        <f ca="1">IF(OR(M48="住宅",J52&lt;L49,J57="是"),"——",J52-L49)</f>
        <v>——</v>
      </c>
      <c r="K58" s="3122" t="s">
        <v>2366</v>
      </c>
      <c r="L58" s="1907">
        <f ca="1">IF(L49&lt;J52,"——",IF(L56="比较法",L50,IF(L56="基准地价",L51,L52)))</f>
        <v>0</v>
      </c>
      <c r="O58" s="2397" t="s">
        <v>2382</v>
      </c>
      <c r="P58" s="2398" t="s">
        <v>2408</v>
      </c>
      <c r="Q58" s="2399">
        <f ca="1">C41+J31</f>
        <v>0</v>
      </c>
      <c r="R58" s="2398" t="s">
        <v>2383</v>
      </c>
    </row>
    <row r="59" spans="1:18" s="2058" customFormat="1" ht="29.25" thickBot="1">
      <c r="A59" s="2095"/>
      <c r="B59" s="2096"/>
      <c r="C59" s="2096"/>
      <c r="I59" s="3162" t="s">
        <v>2362</v>
      </c>
      <c r="J59" s="3100" t="e">
        <f ca="1">IF(J56&lt;0.4,0.4,J56)</f>
        <v>#VALUE!</v>
      </c>
      <c r="K59" s="3122" t="s">
        <v>2367</v>
      </c>
      <c r="L59" s="1907">
        <f ca="1">IF(ISERROR(POWER(1+L53,L48-L49)*(POWER(1+L53,L49)-1)/(POWER(1+L53,L48)-1)),0,POWER(1+L53,L48-L49)*(POWER(1+L53,L49)-1)/(POWER(1+L53,L48)-1))</f>
        <v>0</v>
      </c>
      <c r="O59" s="2397" t="s">
        <v>2384</v>
      </c>
      <c r="P59" s="2398" t="s">
        <v>2415</v>
      </c>
      <c r="Q59" s="2399" t="e">
        <f ca="1">L61</f>
        <v>#DIV/0!</v>
      </c>
      <c r="R59" s="2402" t="s">
        <v>2417</v>
      </c>
    </row>
    <row r="60" spans="1:18" s="2058" customFormat="1" ht="29.25" thickBot="1">
      <c r="A60" s="2095"/>
      <c r="B60" s="2096"/>
      <c r="C60" s="2096"/>
      <c r="I60" s="3162" t="s">
        <v>2363</v>
      </c>
      <c r="J60" s="3163" t="str">
        <f ca="1">IF(OR(M48="住宅",J52&lt;L49,J57="是"),"——",ROUND(C30*J59,0))</f>
        <v>——</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str">
        <f ca="1">IF(OR(M48="住宅",J52&lt;L49,J57="是"),"0",ROUND(J60/(1+J53)^J54,0))</f>
        <v>0</v>
      </c>
      <c r="K61" s="3166" t="s">
        <v>2369</v>
      </c>
      <c r="L61" s="3165" t="e">
        <f ca="1">IF(OR(M48="住宅",L49&lt;J52),0,ROUND(L58*(L59/L60-1),0))</f>
        <v>#DIV/0!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#DIV/0!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t="e">
        <f ca="1">L61</f>
        <v>#DIV/0!</v>
      </c>
      <c r="R68" s="2402" t="s">
        <v>2417</v>
      </c>
    </row>
    <row r="69" spans="1:18" s="2058" customFormat="1" ht="21.75" thickBot="1">
      <c r="A69" s="2095"/>
      <c r="B69" s="2096"/>
      <c r="C69" s="2096"/>
      <c r="K69" s="2085"/>
      <c r="O69" s="2400" t="s">
        <v>2386</v>
      </c>
      <c r="P69" s="2398" t="s">
        <v>2416</v>
      </c>
      <c r="Q69" s="2404">
        <f ca="1">L52</f>
        <v>0</v>
      </c>
      <c r="R69" s="2405" t="s">
        <v>2419</v>
      </c>
    </row>
    <row r="70" spans="1:18" s="2058" customFormat="1" ht="20.25" thickBot="1">
      <c r="A70" s="2095"/>
      <c r="B70" s="2096"/>
      <c r="C70" s="2096"/>
      <c r="K70" s="2085"/>
      <c r="O70" s="2400" t="s">
        <v>2387</v>
      </c>
      <c r="P70" s="2406" t="s">
        <v>2401</v>
      </c>
      <c r="Q70" s="2399">
        <f ca="1">ROUND(Q71-Q72*Q73,0)</f>
        <v>0</v>
      </c>
      <c r="R70" s="2402"/>
    </row>
    <row r="71" spans="1:18" s="2058" customFormat="1" ht="15.75" thickBot="1">
      <c r="A71" s="2095"/>
      <c r="B71" s="2096"/>
      <c r="C71" s="2096"/>
      <c r="K71" s="2085"/>
      <c r="O71" s="2400" t="s">
        <v>2402</v>
      </c>
      <c r="P71" s="2406" t="s">
        <v>2403</v>
      </c>
      <c r="Q71" s="2399">
        <f ca="1">C42</f>
        <v>0</v>
      </c>
      <c r="R71" s="2398" t="s">
        <v>2383</v>
      </c>
    </row>
    <row r="72" spans="1:18" s="2058" customFormat="1" ht="15.75" thickBot="1">
      <c r="A72" s="2095"/>
      <c r="B72" s="2096"/>
      <c r="C72" s="2096"/>
      <c r="K72" s="2085"/>
      <c r="O72" s="2400" t="s">
        <v>2404</v>
      </c>
      <c r="P72" s="2406" t="s">
        <v>2405</v>
      </c>
      <c r="Q72" s="2399">
        <f ca="1">C15</f>
        <v>0</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#DIV/0!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K56">
    <cfRule type="expression" dxfId="106" priority="3">
      <formula>$L$48&gt;$J$51</formula>
    </cfRule>
  </conditionalFormatting>
  <conditionalFormatting sqref="I56">
    <cfRule type="expression" dxfId="105" priority="4">
      <formula>$J$51&gt;$L$48</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Normal="100" workbookViewId="0">
      <selection activeCell="D9" sqref="D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t="s">
        <v>3014</v>
      </c>
      <c r="D1" s="2049"/>
      <c r="E1" s="2386" t="s">
        <v>2377</v>
      </c>
      <c r="F1" s="2387" t="e">
        <f ca="1">J54</f>
        <v>#N/A</v>
      </c>
      <c r="G1" s="771" t="e">
        <f>MATCH(C1,'数据-取费表'!A6:A16,0)+5</f>
        <v>#N/A</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1687</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697</v>
      </c>
      <c r="D5" s="2054"/>
      <c r="E5" s="2055"/>
      <c r="F5" s="2055"/>
      <c r="G5" s="1588"/>
      <c r="H5" s="773"/>
      <c r="I5" s="2056"/>
      <c r="J5" s="2056"/>
      <c r="K5" s="2057"/>
      <c r="L5" s="2056"/>
      <c r="M5" s="2056"/>
    </row>
    <row r="6" spans="1:25" ht="18" customHeight="1">
      <c r="A6" s="1827" t="s">
        <v>698</v>
      </c>
      <c r="B6" s="1819" t="s">
        <v>699</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t="e">
        <f ca="1">C8+C12+C14</f>
        <v>#N/A</v>
      </c>
      <c r="D7" s="2495" t="s">
        <v>2464</v>
      </c>
      <c r="E7" s="2489"/>
      <c r="F7" s="2490"/>
      <c r="G7" s="1590"/>
      <c r="H7" s="778">
        <v>1</v>
      </c>
      <c r="I7" s="779" t="s">
        <v>2461</v>
      </c>
      <c r="J7" s="53" t="e">
        <f ca="1">J8+J12+J14</f>
        <v>#N/A</v>
      </c>
      <c r="K7" s="2495" t="s">
        <v>2464</v>
      </c>
      <c r="L7" s="2489"/>
      <c r="M7" s="2490"/>
    </row>
    <row r="8" spans="1:25" ht="18" customHeight="1">
      <c r="A8" s="1829" t="s">
        <v>1825</v>
      </c>
      <c r="B8" s="3452" t="s">
        <v>2466</v>
      </c>
      <c r="C8" s="1824" t="e">
        <f ca="1">ROUND(F8*F10*F9*(1-F11)/10000,0)</f>
        <v>#N/A</v>
      </c>
      <c r="D8" s="1821" t="s">
        <v>2537</v>
      </c>
      <c r="E8" s="61" t="s">
        <v>637</v>
      </c>
      <c r="F8" s="782" t="e">
        <f ca="1">INDIRECT("'数据-取费表'!u"&amp;$G$1)</f>
        <v>#N/A</v>
      </c>
      <c r="G8" s="1590"/>
      <c r="H8" s="2503" t="s">
        <v>1825</v>
      </c>
      <c r="I8" s="3452" t="s">
        <v>2466</v>
      </c>
      <c r="J8" s="780" t="e">
        <f ca="1">ROUND(M8*M10*M9*(1-M11)/10000,0)</f>
        <v>#N/A</v>
      </c>
      <c r="K8" s="338" t="s">
        <v>2537</v>
      </c>
      <c r="L8" s="781" t="s">
        <v>1739</v>
      </c>
      <c r="M8" s="782" t="e">
        <f ca="1">INDIRECT("'数据-取费表'!z"&amp;$G$1)</f>
        <v>#N/A</v>
      </c>
    </row>
    <row r="9" spans="1:25" ht="18" customHeight="1">
      <c r="A9" s="2499"/>
      <c r="B9" s="3453"/>
      <c r="C9" s="1825"/>
      <c r="D9" s="1822"/>
      <c r="E9" s="61" t="s">
        <v>638</v>
      </c>
      <c r="F9" s="782" t="e">
        <f ca="1">IF(INDIRECT("'数据-取费表'!ah"&amp;$G$1)="",INDIRECT("'数据-取费表'!k"&amp;$G$1),INDIRECT("'数据-取费表'!ah"&amp;$G$1))</f>
        <v>#N/A</v>
      </c>
      <c r="G9" s="1590"/>
      <c r="H9" s="2488"/>
      <c r="I9" s="3453"/>
      <c r="J9" s="785"/>
      <c r="K9" s="786"/>
      <c r="L9" s="781" t="s">
        <v>1740</v>
      </c>
      <c r="M9" s="782" t="e">
        <f ca="1">F9</f>
        <v>#N/A</v>
      </c>
    </row>
    <row r="10" spans="1:25" ht="18" customHeight="1">
      <c r="A10" s="2492"/>
      <c r="B10" s="3454"/>
      <c r="C10" s="1825"/>
      <c r="D10" s="1822"/>
      <c r="E10" s="61" t="s">
        <v>639</v>
      </c>
      <c r="F10" s="782" t="e">
        <f ca="1">INDIRECT("'数据-取费表'!ai"&amp;$G$1)</f>
        <v>#N/A</v>
      </c>
      <c r="G10" s="1590"/>
      <c r="H10" s="2488"/>
      <c r="I10" s="3454"/>
      <c r="J10" s="785"/>
      <c r="K10" s="786"/>
      <c r="L10" s="781" t="s">
        <v>1741</v>
      </c>
      <c r="M10" s="782" t="e">
        <f ca="1">INDIRECT("'数据-取费表'!ai"&amp;$G$1)</f>
        <v>#N/A</v>
      </c>
    </row>
    <row r="11" spans="1:25" ht="18" customHeight="1">
      <c r="A11" s="783"/>
      <c r="B11" s="3455"/>
      <c r="C11" s="1825"/>
      <c r="D11" s="1822"/>
      <c r="E11" s="61" t="s">
        <v>640</v>
      </c>
      <c r="F11" s="791" t="e">
        <f ca="1">INDIRECT("'数据-取费表'!w"&amp;$G$1)</f>
        <v>#N/A</v>
      </c>
      <c r="G11" s="1590"/>
      <c r="H11" s="2504"/>
      <c r="I11" s="3454"/>
      <c r="J11" s="785"/>
      <c r="K11" s="786"/>
      <c r="L11" s="792" t="s">
        <v>1742</v>
      </c>
      <c r="M11" s="793" t="e">
        <f ca="1">INDIRECT("'数据-取费表'!ab"&amp;$G$1)</f>
        <v>#N/A</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t="e">
        <f ca="1">ROUND(C31*F15,0)</f>
        <v>#N/A</v>
      </c>
      <c r="D15" s="1833" t="s">
        <v>642</v>
      </c>
      <c r="E15" s="792" t="s">
        <v>643</v>
      </c>
      <c r="F15" s="797" t="e">
        <f ca="1">INDIRECT("'数据-取费表'!y"&amp;$G$1)</f>
        <v>#N/A</v>
      </c>
      <c r="G15" s="1590"/>
      <c r="H15" s="1828" t="s">
        <v>1827</v>
      </c>
      <c r="I15" s="1826" t="s">
        <v>644</v>
      </c>
      <c r="J15" s="1818" t="e">
        <f ca="1">ROUND(J16*J17,0)</f>
        <v>#N/A</v>
      </c>
      <c r="K15" s="1820" t="s">
        <v>642</v>
      </c>
      <c r="L15" s="798"/>
      <c r="M15" s="799"/>
    </row>
    <row r="16" spans="1:25" ht="18" customHeight="1">
      <c r="A16" s="800" t="s">
        <v>1876</v>
      </c>
      <c r="B16" s="781" t="s">
        <v>645</v>
      </c>
      <c r="C16" s="801" t="e">
        <f ca="1">INDIRECT("'数据-取费表'!m"&amp;$G$1)+INDIRECT("'数据-取费表'!t"&amp;$G$1)</f>
        <v>#N/A</v>
      </c>
      <c r="D16" s="1978" t="s">
        <v>646</v>
      </c>
      <c r="E16" s="1979"/>
      <c r="F16" s="802"/>
      <c r="G16" s="1590"/>
      <c r="H16" s="800" t="s">
        <v>2072</v>
      </c>
      <c r="I16" s="2230" t="s">
        <v>2828</v>
      </c>
      <c r="J16" s="53" t="e">
        <f ca="1">C31</f>
        <v>#N/A</v>
      </c>
      <c r="K16" s="26"/>
      <c r="L16" s="798"/>
      <c r="M16" s="799"/>
    </row>
    <row r="17" spans="1:25" s="2063" customFormat="1" ht="18" customHeight="1">
      <c r="A17" s="800" t="s">
        <v>1850</v>
      </c>
      <c r="B17" s="781" t="s">
        <v>647</v>
      </c>
      <c r="C17" s="53" t="e">
        <f ca="1">ROUND(C16*F17,0)</f>
        <v>#N/A</v>
      </c>
      <c r="D17" s="803" t="s">
        <v>648</v>
      </c>
      <c r="E17" s="803" t="s">
        <v>649</v>
      </c>
      <c r="F17" s="804">
        <f>'数据-取费表'!B33</f>
        <v>0.03</v>
      </c>
      <c r="G17" s="1591"/>
      <c r="H17" s="800" t="s">
        <v>2073</v>
      </c>
      <c r="I17" s="781" t="s">
        <v>643</v>
      </c>
      <c r="J17" s="805" t="e">
        <f ca="1">INDIRECT("'数据-取费表'!ad"&amp;$G$1)</f>
        <v>#N/A</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t="e">
        <f ca="1">ROUND(INDIRECT("'数据-取费表'!m"&amp;$G$1)*F18,0)</f>
        <v>#N/A</v>
      </c>
      <c r="D18" s="781" t="s">
        <v>648</v>
      </c>
      <c r="E18" s="781" t="s">
        <v>649</v>
      </c>
      <c r="F18" s="806" t="e">
        <f ca="1">IF(INDIRECT("'数据-取费表'!c"&amp;$G$1)="住宅",'数据-取费表'!B34,0)</f>
        <v>#N/A</v>
      </c>
      <c r="G18" s="1590"/>
      <c r="H18" s="794" t="s">
        <v>1828</v>
      </c>
      <c r="I18" s="795" t="s">
        <v>651</v>
      </c>
      <c r="J18" s="796" t="e">
        <f ca="1">ROUND(J19+J24+J25+J26,0)</f>
        <v>#N/A</v>
      </c>
      <c r="K18" s="26" t="s">
        <v>652</v>
      </c>
      <c r="L18" s="1981"/>
      <c r="M18" s="56"/>
    </row>
    <row r="19" spans="1:25" s="2063" customFormat="1" ht="18" customHeight="1">
      <c r="A19" s="800" t="s">
        <v>1852</v>
      </c>
      <c r="B19" s="781" t="s">
        <v>653</v>
      </c>
      <c r="C19" s="53" t="e">
        <f ca="1">ROUND(F19*(INDIRECT("'数据-取费表'!k"&amp;$G$1)+INDIRECT("'数据-取费表'!S"&amp;$G$1))/10000,0)</f>
        <v>#N/A</v>
      </c>
      <c r="D19" s="781" t="s">
        <v>654</v>
      </c>
      <c r="E19" s="781" t="s">
        <v>655</v>
      </c>
      <c r="F19" s="56">
        <f>'数据-取费表'!B35</f>
        <v>200</v>
      </c>
      <c r="G19" s="1591"/>
      <c r="H19" s="800" t="s">
        <v>2072</v>
      </c>
      <c r="I19" s="781" t="s">
        <v>656</v>
      </c>
      <c r="J19" s="53" t="e">
        <f ca="1">ROUND(IF(项目基本情况!B11="自然人",J7*M19,J20+J21+J22),0)</f>
        <v>#N/A</v>
      </c>
      <c r="K19" s="1978" t="s">
        <v>657</v>
      </c>
      <c r="L19" s="1976" t="s">
        <v>658</v>
      </c>
      <c r="M19" s="807" t="e">
        <f ca="1">IF(项目基本情况!B11="企业","",IF(INDIRECT("'数据-取费表'!c"&amp;$G$1)="住宅",5%,IF(M8*M9*M10/12/(1+'数据-取费表'!C42)&gt;20000,12%,7%)))</f>
        <v>#N/A</v>
      </c>
      <c r="N19" s="2062"/>
      <c r="O19" s="2062"/>
      <c r="P19" s="2062"/>
      <c r="Q19" s="2062"/>
      <c r="R19" s="2062"/>
      <c r="S19" s="2062"/>
      <c r="T19" s="2062"/>
      <c r="U19" s="2062"/>
      <c r="V19" s="2062"/>
      <c r="W19" s="2062"/>
      <c r="X19" s="2062"/>
      <c r="Y19" s="2062"/>
    </row>
    <row r="20" spans="1:25" s="2063" customFormat="1" ht="18" customHeight="1">
      <c r="A20" s="800" t="s">
        <v>1853</v>
      </c>
      <c r="B20" s="781" t="s">
        <v>659</v>
      </c>
      <c r="C20" s="53" t="e">
        <f ca="1">ROUND(C16*F20,0)</f>
        <v>#N/A</v>
      </c>
      <c r="D20" s="781" t="s">
        <v>648</v>
      </c>
      <c r="E20" s="781" t="s">
        <v>649</v>
      </c>
      <c r="F20" s="806">
        <f>'数据-取费表'!B36</f>
        <v>1.4999999999999999E-2</v>
      </c>
      <c r="G20" s="1591"/>
      <c r="H20" s="800" t="s">
        <v>1832</v>
      </c>
      <c r="I20" s="781" t="s">
        <v>660</v>
      </c>
      <c r="J20" s="53" t="e">
        <f ca="1">ROUND(J7*M20/1.05,1)</f>
        <v>#N/A</v>
      </c>
      <c r="K20" s="19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1877</v>
      </c>
      <c r="B21" s="781" t="s">
        <v>662</v>
      </c>
      <c r="C21" s="53" t="e">
        <f ca="1">SUM(C16:C20)</f>
        <v>#N/A</v>
      </c>
      <c r="D21" s="261" t="s">
        <v>663</v>
      </c>
      <c r="E21" s="1981"/>
      <c r="F21" s="56"/>
      <c r="G21" s="1590"/>
      <c r="H21" s="1829" t="s">
        <v>1850</v>
      </c>
      <c r="I21" s="781" t="s">
        <v>664</v>
      </c>
      <c r="J21" s="53" t="e">
        <f ca="1">IF(K21="按租金收入计税",ROUND(J7*M21,1),ROUND(C31*F35*0.7,1))</f>
        <v>#N/A</v>
      </c>
      <c r="K21" s="808" t="s">
        <v>665</v>
      </c>
      <c r="L21" s="781" t="s">
        <v>649</v>
      </c>
      <c r="M21" s="806">
        <f>IF(K21="按租金收入计税",'数据-取费表'!B51,'数据-取费表'!B50)</f>
        <v>1.2E-2</v>
      </c>
    </row>
    <row r="22" spans="1:25" s="2063" customFormat="1" ht="18" customHeight="1">
      <c r="A22" s="800" t="s">
        <v>1878</v>
      </c>
      <c r="B22" s="781" t="s">
        <v>666</v>
      </c>
      <c r="C22" s="53" t="e">
        <f ca="1">ROUND(C21*F22,0)</f>
        <v>#N/A</v>
      </c>
      <c r="D22" s="809" t="s">
        <v>667</v>
      </c>
      <c r="E22" s="781" t="s">
        <v>649</v>
      </c>
      <c r="F22" s="806">
        <f>'数据-取费表'!B37</f>
        <v>0.02</v>
      </c>
      <c r="G22" s="1591"/>
      <c r="H22" s="1831" t="s">
        <v>1851</v>
      </c>
      <c r="I22" s="1821" t="s">
        <v>668</v>
      </c>
      <c r="J22" s="54" t="e">
        <f ca="1">ROUND(M22*M23/10000,0)</f>
        <v>#N/A</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t="e">
        <f ca="1">INDIRECT("'数据-取费表'!r"&amp;$G$1)</f>
        <v>#N/A</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1981"/>
      <c r="F24" s="56"/>
      <c r="G24" s="1590"/>
      <c r="H24" s="1830" t="s">
        <v>2073</v>
      </c>
      <c r="I24" s="781" t="s">
        <v>676</v>
      </c>
      <c r="J24" s="53" t="e">
        <f ca="1">ROUND(J16*M24,0)</f>
        <v>#N/A</v>
      </c>
      <c r="K24" s="1976" t="s">
        <v>677</v>
      </c>
      <c r="L24" s="781" t="s">
        <v>649</v>
      </c>
      <c r="M24" s="814" t="e">
        <f ca="1">INDIRECT("'数据-取费表'!Ak"&amp;$G$1)</f>
        <v>#N/A</v>
      </c>
    </row>
    <row r="25" spans="1:25" s="2063" customFormat="1" ht="18" customHeight="1">
      <c r="A25" s="800" t="s">
        <v>1876</v>
      </c>
      <c r="B25" s="781" t="s">
        <v>2440</v>
      </c>
      <c r="C25" s="53" t="e">
        <f ca="1">ROUND(IF('数据-取费表'!B22&lt;=1,(C21+C22)*F26*F25/2,(C21+C22)*(POWER((1+F26),F25/2)-1)),0)</f>
        <v>#N/A</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t="e">
        <f ca="1">ROUND(J15*M25,0)</f>
        <v>#N/A</v>
      </c>
      <c r="K25" s="1976" t="s">
        <v>680</v>
      </c>
      <c r="L25" s="781" t="s">
        <v>649</v>
      </c>
      <c r="M25" s="815" t="e">
        <f ca="1">INDIRECT("'数据-取费表'!Al"&amp;$G$1)</f>
        <v>#N/A</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t="e">
        <f ca="1">ROUND(J7*M26,0)</f>
        <v>#N/A</v>
      </c>
      <c r="K26" s="1976" t="s">
        <v>683</v>
      </c>
      <c r="L26" s="781" t="s">
        <v>649</v>
      </c>
      <c r="M26" s="791" t="e">
        <f ca="1">INDIRECT("'数据-取费表'!Am"&amp;$G$1)</f>
        <v>#N/A</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1981"/>
      <c r="F27" s="56"/>
      <c r="G27" s="1590"/>
      <c r="H27" s="794" t="s">
        <v>1829</v>
      </c>
      <c r="I27" s="3008" t="s">
        <v>2825</v>
      </c>
      <c r="J27" s="796" t="e">
        <f ca="1">J7-J18</f>
        <v>#N/A</v>
      </c>
      <c r="K27" s="1978" t="s">
        <v>700</v>
      </c>
      <c r="L27" s="1980"/>
      <c r="M27" s="817"/>
    </row>
    <row r="28" spans="1:25" ht="18" customHeight="1">
      <c r="A28" s="800" t="s">
        <v>1876</v>
      </c>
      <c r="B28" s="781" t="s">
        <v>2441</v>
      </c>
      <c r="C28" s="53" t="e">
        <f ca="1">ROUND((C21+C22)*F28,0)</f>
        <v>#N/A</v>
      </c>
      <c r="D28" s="809" t="s">
        <v>701</v>
      </c>
      <c r="E28" s="792" t="s">
        <v>702</v>
      </c>
      <c r="F28" s="791" t="e">
        <f ca="1">INDIRECT("'数据-取费表'!q"&amp;$G$1)</f>
        <v>#N/A</v>
      </c>
      <c r="G28" s="1590"/>
      <c r="H28" s="778" t="s">
        <v>1838</v>
      </c>
      <c r="I28" s="779" t="s">
        <v>703</v>
      </c>
      <c r="J28" s="780" t="e">
        <f ca="1">IF(J7&lt;&gt;0,ROUND(J27*(1-((1+M30)/(1+M28))^M29)/(M28-M30),0),0)</f>
        <v>#N/A</v>
      </c>
      <c r="K28" s="811" t="s">
        <v>704</v>
      </c>
      <c r="L28" s="781" t="s">
        <v>705</v>
      </c>
      <c r="M28" s="791" t="e">
        <f ca="1">INDIRECT("'数据-取费表'!I"&amp;$G$1)</f>
        <v>#N/A</v>
      </c>
    </row>
    <row r="29" spans="1:25" ht="18" customHeight="1">
      <c r="A29" s="800" t="s">
        <v>1850</v>
      </c>
      <c r="B29" s="781" t="s">
        <v>686</v>
      </c>
      <c r="C29" s="53" t="e">
        <f ca="1">ROUND(F23*F28,4)</f>
        <v>#N/A</v>
      </c>
      <c r="D29" s="809" t="s">
        <v>706</v>
      </c>
      <c r="E29" s="803"/>
      <c r="F29" s="804"/>
      <c r="G29" s="1590"/>
      <c r="H29" s="783"/>
      <c r="I29" s="784"/>
      <c r="J29" s="785"/>
      <c r="K29" s="818" t="s">
        <v>707</v>
      </c>
      <c r="L29" s="781" t="s">
        <v>708</v>
      </c>
      <c r="M29" s="819" t="e">
        <f ca="1">INDIRECT("'数据-取费表'!ag"&amp;$G$1)</f>
        <v>#N/A</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t="e">
        <f ca="1">INDIRECT("'数据-取费表'!aa"&amp;$G$1)</f>
        <v>#N/A</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t="e">
        <f ca="1">ROUND((C21+C22+C25+C28)/(1-F23-C26-C29-C30),0)</f>
        <v>#N/A</v>
      </c>
      <c r="D31" s="2544"/>
      <c r="E31" s="2545"/>
      <c r="F31" s="2546"/>
      <c r="G31" s="1591"/>
      <c r="H31" s="820" t="s">
        <v>1873</v>
      </c>
      <c r="I31" s="3009" t="s">
        <v>2827</v>
      </c>
      <c r="J31" s="822" t="e">
        <f ca="1">ROUND(J28/(1+F45)^F46,0)</f>
        <v>#N/A</v>
      </c>
      <c r="K31" s="823" t="s">
        <v>688</v>
      </c>
      <c r="L31" s="824"/>
      <c r="M31" s="825" t="e">
        <f ca="1">INDIRECT("'数据-取费表'!k"&amp;$G$1)</f>
        <v>#N/A</v>
      </c>
      <c r="N31" s="2062"/>
      <c r="O31" s="2062"/>
      <c r="P31" s="2062"/>
      <c r="Q31" s="2062"/>
      <c r="R31" s="2062"/>
      <c r="S31" s="2062"/>
      <c r="T31" s="2062"/>
      <c r="U31" s="2062"/>
      <c r="V31" s="2062"/>
      <c r="W31" s="2062"/>
      <c r="X31" s="2062"/>
      <c r="Y31" s="2062"/>
    </row>
    <row r="32" spans="1:25" ht="18" customHeight="1" thickTop="1">
      <c r="A32" s="1828" t="s">
        <v>7</v>
      </c>
      <c r="B32" s="1826" t="s">
        <v>689</v>
      </c>
      <c r="C32" s="789" t="e">
        <f ca="1">ROUND(C33+C38+C39+C40,0)</f>
        <v>#N/A</v>
      </c>
      <c r="D32" s="1820" t="s">
        <v>652</v>
      </c>
      <c r="E32" s="2486"/>
      <c r="F32" s="2490"/>
      <c r="G32" s="2061"/>
      <c r="H32" s="2064"/>
      <c r="I32" s="2065"/>
      <c r="J32" s="2066"/>
      <c r="K32" s="2067"/>
      <c r="L32" s="2068"/>
      <c r="M32" s="2069"/>
    </row>
    <row r="33" spans="1:18" ht="18" customHeight="1">
      <c r="A33" s="800" t="s">
        <v>1877</v>
      </c>
      <c r="B33" s="781" t="s">
        <v>656</v>
      </c>
      <c r="C33" s="53" t="e">
        <f ca="1">ROUND(IF(项目基本情况!B11="自然人",C7*F33,C34+C35+C36),1)</f>
        <v>#N/A</v>
      </c>
      <c r="D33" s="1978" t="s">
        <v>657</v>
      </c>
      <c r="E33" s="1976" t="s">
        <v>690</v>
      </c>
      <c r="F33" s="807" t="e">
        <f ca="1">IF(项目基本情况!B11="企业","",IF(INDIRECT("'数据-取费表'!c"&amp;$G$1)="住宅",5%,IF(F8*F9*F10/12/(1+'数据-取费表'!C42)&gt;20000,12%,7%)))</f>
        <v>#N/A</v>
      </c>
      <c r="G33" s="2061"/>
      <c r="H33" s="2064"/>
      <c r="I33" s="2065"/>
      <c r="J33" s="2066"/>
      <c r="K33" s="2067"/>
      <c r="L33" s="2068"/>
      <c r="M33" s="2069"/>
    </row>
    <row r="34" spans="1:18" ht="18" customHeight="1">
      <c r="A34" s="800" t="s">
        <v>1876</v>
      </c>
      <c r="B34" s="781" t="s">
        <v>660</v>
      </c>
      <c r="C34" s="53" t="e">
        <f ca="1">ROUND(C7*F34/1.05,1)</f>
        <v>#N/A</v>
      </c>
      <c r="D34" s="19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t="e">
        <f ca="1">IF(D35="按租金收入计税",ROUND(C7*F35,1),IF(D35="按房产原值计税",ROUND(C31*F35*0.7,1),INDIRECT("'数据-取费表'!Aj"&amp;$G$1)))</f>
        <v>#N/A</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1881</v>
      </c>
      <c r="B36" s="338" t="s">
        <v>668</v>
      </c>
      <c r="C36" s="54" t="e">
        <f ca="1">ROUND(F36*F37/10000,1)</f>
        <v>#N/A</v>
      </c>
      <c r="D36" s="811" t="s">
        <v>669</v>
      </c>
      <c r="E36" s="781" t="s">
        <v>670</v>
      </c>
      <c r="F36" s="637">
        <f>'数据-取费表'!B52</f>
        <v>1.5</v>
      </c>
      <c r="G36" s="2061"/>
      <c r="H36" s="2064"/>
      <c r="I36" s="3456"/>
      <c r="J36" s="2078"/>
      <c r="K36" s="2079"/>
      <c r="L36" s="2078"/>
      <c r="M36" s="2078"/>
    </row>
    <row r="37" spans="1:18" ht="18" customHeight="1">
      <c r="A37" s="812"/>
      <c r="B37" s="790"/>
      <c r="C37" s="69"/>
      <c r="D37" s="813"/>
      <c r="E37" s="781" t="s">
        <v>674</v>
      </c>
      <c r="F37" s="782" t="e">
        <f ca="1">INDIRECT("'数据-取费表'!r"&amp;$G$1)</f>
        <v>#N/A</v>
      </c>
      <c r="G37" s="2061"/>
      <c r="H37" s="2064"/>
      <c r="I37" s="3456"/>
      <c r="J37" s="2076"/>
      <c r="K37" s="2077"/>
      <c r="L37" s="2076"/>
      <c r="M37" s="2076"/>
    </row>
    <row r="38" spans="1:18" ht="18" customHeight="1">
      <c r="A38" s="800" t="s">
        <v>1878</v>
      </c>
      <c r="B38" s="781" t="s">
        <v>676</v>
      </c>
      <c r="C38" s="53" t="e">
        <f ca="1">ROUND(C31*F38,1)</f>
        <v>#N/A</v>
      </c>
      <c r="D38" s="1976" t="s">
        <v>691</v>
      </c>
      <c r="E38" s="781" t="s">
        <v>649</v>
      </c>
      <c r="F38" s="814" t="e">
        <f ca="1">INDIRECT("'数据-取费表'!Ak"&amp;$G$1)</f>
        <v>#N/A</v>
      </c>
      <c r="G38" s="2061"/>
      <c r="H38" s="2076"/>
      <c r="I38" s="2080"/>
      <c r="J38" s="1987"/>
      <c r="K38" s="2081"/>
      <c r="L38" s="2076"/>
      <c r="M38" s="2076"/>
    </row>
    <row r="39" spans="1:18" ht="18" customHeight="1">
      <c r="A39" s="800" t="s">
        <v>1879</v>
      </c>
      <c r="B39" s="781" t="s">
        <v>679</v>
      </c>
      <c r="C39" s="53" t="e">
        <f ca="1">ROUND(C15*F39,1)</f>
        <v>#N/A</v>
      </c>
      <c r="D39" s="1976" t="s">
        <v>680</v>
      </c>
      <c r="E39" s="781" t="s">
        <v>649</v>
      </c>
      <c r="F39" s="815" t="e">
        <f ca="1">INDIRECT("'数据-取费表'!Al"&amp;$G$1)</f>
        <v>#N/A</v>
      </c>
      <c r="G39" s="2061"/>
      <c r="H39" s="2076"/>
      <c r="I39" s="2080"/>
      <c r="J39" s="1987"/>
      <c r="K39" s="2081"/>
      <c r="L39" s="2076"/>
      <c r="M39" s="2076"/>
    </row>
    <row r="40" spans="1:18" ht="18" customHeight="1" thickBot="1">
      <c r="A40" s="2559" t="s">
        <v>1880</v>
      </c>
      <c r="B40" s="2545" t="s">
        <v>666</v>
      </c>
      <c r="C40" s="2543" t="e">
        <f ca="1">ROUND(C7*F40,1)</f>
        <v>#N/A</v>
      </c>
      <c r="D40" s="2544" t="s">
        <v>683</v>
      </c>
      <c r="E40" s="2545" t="s">
        <v>649</v>
      </c>
      <c r="F40" s="2541" t="e">
        <f ca="1">INDIRECT("'数据-取费表'!Am"&amp;$G$1)</f>
        <v>#N/A</v>
      </c>
      <c r="G40" s="2061"/>
      <c r="H40" s="2076"/>
      <c r="I40" s="2080"/>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1877</v>
      </c>
      <c r="B42" s="832" t="s">
        <v>693</v>
      </c>
      <c r="C42" s="826" t="e">
        <f ca="1">C7-C32</f>
        <v>#N/A</v>
      </c>
      <c r="D42" s="1978" t="s">
        <v>694</v>
      </c>
      <c r="E42" s="1980"/>
      <c r="F42" s="817"/>
      <c r="G42" s="2061"/>
      <c r="H42" s="2061"/>
      <c r="I42" s="2061"/>
      <c r="J42" s="2061"/>
      <c r="K42" s="2082"/>
      <c r="L42" s="2061"/>
      <c r="M42" s="2061"/>
    </row>
    <row r="43" spans="1:18" ht="18" customHeight="1">
      <c r="A43" s="800" t="s">
        <v>1878</v>
      </c>
      <c r="B43" s="832" t="s">
        <v>711</v>
      </c>
      <c r="C43" s="833" t="e">
        <f ca="1">ROUND(C15*F43,0)</f>
        <v>#N/A</v>
      </c>
      <c r="D43" s="1353" t="s">
        <v>712</v>
      </c>
      <c r="E43" s="3118" t="s">
        <v>2967</v>
      </c>
      <c r="F43" s="3119" t="e">
        <f ca="1">INDIRECT("'数据-取费表'!j"&amp;$G$1)</f>
        <v>#N/A</v>
      </c>
      <c r="G43" s="2061"/>
      <c r="H43" s="2061"/>
      <c r="I43" s="2061"/>
      <c r="J43" s="2061"/>
      <c r="K43" s="2082"/>
      <c r="L43" s="2061"/>
      <c r="M43" s="2061"/>
    </row>
    <row r="44" spans="1:18" ht="18" customHeight="1">
      <c r="A44" s="800" t="s">
        <v>1879</v>
      </c>
      <c r="B44" s="832" t="s">
        <v>713</v>
      </c>
      <c r="C44" s="1354" t="e">
        <f ca="1">C42-C43</f>
        <v>#N/A</v>
      </c>
      <c r="D44" s="460" t="s">
        <v>714</v>
      </c>
      <c r="E44" s="461"/>
      <c r="F44" s="462"/>
      <c r="G44" s="2061"/>
      <c r="H44" s="2061"/>
      <c r="I44" s="2061"/>
      <c r="J44" s="2061"/>
      <c r="K44" s="2082"/>
      <c r="L44" s="2061"/>
      <c r="M44" s="2061"/>
    </row>
    <row r="45" spans="1:18" ht="18" customHeight="1">
      <c r="A45" s="800" t="s">
        <v>1880</v>
      </c>
      <c r="B45" s="1353" t="s">
        <v>715</v>
      </c>
      <c r="C45" s="3035" t="e">
        <f ca="1">ROUND(-PV(F45,F46,C44,0),0)</f>
        <v>#N/A</v>
      </c>
      <c r="D45" s="1355" t="s">
        <v>716</v>
      </c>
      <c r="E45" s="803" t="s">
        <v>717</v>
      </c>
      <c r="F45" s="827" t="e">
        <f ca="1">INDIRECT("'数据-取费表'!h"&amp;$G$1)</f>
        <v>#N/A</v>
      </c>
      <c r="G45" s="2061"/>
      <c r="H45" s="2061"/>
      <c r="I45" s="2061"/>
      <c r="J45" s="2061"/>
      <c r="K45" s="2082"/>
      <c r="L45" s="2061"/>
      <c r="M45" s="2061"/>
    </row>
    <row r="46" spans="1:18" ht="18" customHeight="1" thickBot="1">
      <c r="A46" s="828"/>
      <c r="B46" s="1356"/>
      <c r="C46" s="1357"/>
      <c r="D46" s="1358"/>
      <c r="E46" s="3120" t="s">
        <v>2970</v>
      </c>
      <c r="F46" s="825" t="e">
        <f ca="1">IF(INDIRECT("'数据-取费表'!af"&amp;$G$1)=0,INDIRECT("'数据-取费表'!ae"&amp;$G$1),INDIRECT("'数据-取费表'!af"&amp;$G$1))</f>
        <v>#N/A</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#N/A</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t="e">
        <f ca="1">INDIRECT("'数据-取费表'!d"&amp;$G$1)</f>
        <v>#N/A</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t="e">
        <f ca="1">INDIRECT("'数据-取费表'!f"&amp;$G$1)</f>
        <v>#N/A</v>
      </c>
      <c r="O49" s="2397" t="s">
        <v>2382</v>
      </c>
      <c r="P49" s="2398" t="s">
        <v>2408</v>
      </c>
      <c r="Q49" s="2399" t="e">
        <f ca="1">C41+J31</f>
        <v>#N/A</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e">
        <f ca="1">J61</f>
        <v>#N/A</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t="e">
        <f ca="1">C31</f>
        <v>#N/A</v>
      </c>
      <c r="R51" s="2398" t="s">
        <v>2383</v>
      </c>
    </row>
    <row r="52" spans="1:18" s="2058" customFormat="1" ht="18" customHeight="1" thickBot="1">
      <c r="A52" s="2095"/>
      <c r="F52" s="2084"/>
      <c r="I52" s="3145" t="s">
        <v>2351</v>
      </c>
      <c r="J52" s="3149">
        <f>IF(J50="",J51,J50+J51-YEAR('数据-取费表'!B3))</f>
        <v>0</v>
      </c>
      <c r="K52" s="3122" t="s">
        <v>2357</v>
      </c>
      <c r="L52" s="3156" t="e">
        <f ca="1">ROUND(-PV(INDIRECT("'数据-取费表'!h"&amp;$G$1),L49,(C40-C14*J36),0),0)</f>
        <v>#N/A</v>
      </c>
      <c r="O52" s="2400" t="s">
        <v>2387</v>
      </c>
      <c r="P52" s="2398" t="s">
        <v>2388</v>
      </c>
      <c r="Q52" s="2401" t="e">
        <f ca="1">J59</f>
        <v>#N/A</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t="e">
        <f ca="1">IF(M48="住宅",MAX(J52,L49-'数据-取费表'!B20),MIN(J52,L49-'数据-取费表'!B20))</f>
        <v>#N/A</v>
      </c>
      <c r="K54" s="3457"/>
      <c r="L54" s="3458"/>
      <c r="O54" s="2400" t="s">
        <v>2391</v>
      </c>
      <c r="P54" s="2398" t="s">
        <v>2392</v>
      </c>
      <c r="Q54" s="2399" t="e">
        <f ca="1">J54</f>
        <v>#N/A</v>
      </c>
      <c r="R54" s="2398" t="s">
        <v>2393</v>
      </c>
    </row>
    <row r="55" spans="1:18" s="2058" customFormat="1" ht="18" customHeight="1" thickBot="1">
      <c r="A55" s="2095"/>
      <c r="I55" s="3157"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7"/>
      <c r="K55" s="3158"/>
      <c r="O55" s="2397" t="s">
        <v>2394</v>
      </c>
      <c r="P55" s="2398" t="s">
        <v>2411</v>
      </c>
      <c r="Q55" s="2399" t="e">
        <f ca="1">Q49+Q50</f>
        <v>#N/A</v>
      </c>
      <c r="R55" s="2402" t="s">
        <v>2395</v>
      </c>
    </row>
    <row r="56" spans="1:18" s="2058" customFormat="1" ht="16.5" thickBot="1">
      <c r="A56" s="2095"/>
      <c r="B56" s="2096"/>
      <c r="C56" s="2096"/>
      <c r="I56" s="3159" t="s">
        <v>2358</v>
      </c>
      <c r="J56" s="3099" t="e">
        <f ca="1">ROUND(IF(J48="钢混",J58/J51,1-(1-2%)*(J51-J58)/J51),3)</f>
        <v>#N/A</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t="e">
        <f ca="1">IF(L49&lt;J52,"——",L49-J52)</f>
        <v>#N/A</v>
      </c>
      <c r="O57" s="2394" t="s">
        <v>2378</v>
      </c>
      <c r="P57" s="2395" t="s">
        <v>2379</v>
      </c>
      <c r="Q57" s="2396" t="s">
        <v>2380</v>
      </c>
      <c r="R57" s="2395" t="s">
        <v>2381</v>
      </c>
    </row>
    <row r="58" spans="1:18" s="2058" customFormat="1" ht="29.25" thickBot="1">
      <c r="A58" s="2095"/>
      <c r="B58" s="2096"/>
      <c r="C58" s="2096"/>
      <c r="I58" s="3162" t="s">
        <v>2361</v>
      </c>
      <c r="J58" s="3163" t="e">
        <f ca="1">IF(OR(M48="住宅",J52&lt;L49,J57="是"),"——",J52-L49)</f>
        <v>#N/A</v>
      </c>
      <c r="K58" s="3122" t="s">
        <v>2366</v>
      </c>
      <c r="L58" s="1907" t="e">
        <f ca="1">IF(L49&lt;J52,"——",IF(L56="比较法",L50,IF(L56="基准地价",L51,L52)))</f>
        <v>#N/A</v>
      </c>
      <c r="O58" s="2397" t="s">
        <v>2382</v>
      </c>
      <c r="P58" s="2398" t="s">
        <v>2408</v>
      </c>
      <c r="Q58" s="2399" t="e">
        <f ca="1">C41+J31</f>
        <v>#N/A</v>
      </c>
      <c r="R58" s="2398" t="s">
        <v>2383</v>
      </c>
    </row>
    <row r="59" spans="1:18" s="2058" customFormat="1" ht="29.25" thickBot="1">
      <c r="A59" s="2095"/>
      <c r="B59" s="2096"/>
      <c r="C59" s="2096"/>
      <c r="I59" s="3162" t="s">
        <v>2362</v>
      </c>
      <c r="J59" s="3100" t="e">
        <f ca="1">IF(J56&lt;0.4,0.4,J56)</f>
        <v>#N/A</v>
      </c>
      <c r="K59" s="3122" t="s">
        <v>2367</v>
      </c>
      <c r="L59" s="1907">
        <f ca="1">IF(ISERROR(POWER(1+L53,L48-L49)*(POWER(1+L53,L49)-1)/(POWER(1+L53,L48)-1)),0,POWER(1+L53,L48-L49)*(POWER(1+L53,L49)-1)/(POWER(1+L53,L48)-1))</f>
        <v>0</v>
      </c>
      <c r="O59" s="2397" t="s">
        <v>2384</v>
      </c>
      <c r="P59" s="2398" t="s">
        <v>2415</v>
      </c>
      <c r="Q59" s="2399" t="e">
        <f ca="1">L61</f>
        <v>#N/A</v>
      </c>
      <c r="R59" s="2402" t="s">
        <v>2417</v>
      </c>
    </row>
    <row r="60" spans="1:18" s="2058" customFormat="1" ht="29.25" thickBot="1">
      <c r="A60" s="2095"/>
      <c r="B60" s="2096"/>
      <c r="C60" s="2096"/>
      <c r="I60" s="3162" t="s">
        <v>2363</v>
      </c>
      <c r="J60" s="3163" t="e">
        <f ca="1">IF(OR(M48="住宅",J52&lt;L49,J57="是"),"——",ROUND(C30*J59,0))</f>
        <v>#N/A</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e">
        <f ca="1">IF(OR(M48="住宅",J52&lt;L49,J57="是"),"0",ROUND(J60/(1+J53)^J54,0))</f>
        <v>#N/A</v>
      </c>
      <c r="K61" s="3166" t="s">
        <v>2369</v>
      </c>
      <c r="L61" s="3165" t="e">
        <f ca="1">IF(OR(M48="住宅",L49&lt;J52),0,ROUND(L58*(L59/L60-1),0))</f>
        <v>#N/A</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#N/A</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t="e">
        <f ca="1">C41+J31</f>
        <v>#N/A</v>
      </c>
      <c r="R67" s="2398" t="s">
        <v>2383</v>
      </c>
    </row>
    <row r="68" spans="1:18" s="2058" customFormat="1" ht="20.25" thickBot="1">
      <c r="A68" s="2095"/>
      <c r="B68" s="2096"/>
      <c r="C68" s="2096"/>
      <c r="K68" s="2085"/>
      <c r="O68" s="2397" t="s">
        <v>2384</v>
      </c>
      <c r="P68" s="2398" t="s">
        <v>2415</v>
      </c>
      <c r="Q68" s="2399" t="e">
        <f ca="1">L61</f>
        <v>#N/A</v>
      </c>
      <c r="R68" s="2402" t="s">
        <v>2417</v>
      </c>
    </row>
    <row r="69" spans="1:18" s="2058" customFormat="1" ht="21.75" thickBot="1">
      <c r="A69" s="2095"/>
      <c r="B69" s="2096"/>
      <c r="C69" s="2096"/>
      <c r="K69" s="2085"/>
      <c r="O69" s="2400" t="s">
        <v>2386</v>
      </c>
      <c r="P69" s="2398" t="s">
        <v>2416</v>
      </c>
      <c r="Q69" s="2404" t="e">
        <f ca="1">L52</f>
        <v>#N/A</v>
      </c>
      <c r="R69" s="2405" t="s">
        <v>2419</v>
      </c>
    </row>
    <row r="70" spans="1:18" s="2058" customFormat="1" ht="20.25" thickBot="1">
      <c r="A70" s="2095"/>
      <c r="B70" s="2096"/>
      <c r="C70" s="2096"/>
      <c r="K70" s="2085"/>
      <c r="O70" s="2400" t="s">
        <v>2387</v>
      </c>
      <c r="P70" s="2406" t="s">
        <v>2401</v>
      </c>
      <c r="Q70" s="2399" t="e">
        <f ca="1">ROUND(Q71-Q72*Q73,0)</f>
        <v>#N/A</v>
      </c>
      <c r="R70" s="2402"/>
    </row>
    <row r="71" spans="1:18" s="2058" customFormat="1" ht="15.75" thickBot="1">
      <c r="A71" s="2095"/>
      <c r="B71" s="2096"/>
      <c r="C71" s="2096"/>
      <c r="K71" s="2085"/>
      <c r="O71" s="2400" t="s">
        <v>2402</v>
      </c>
      <c r="P71" s="2406" t="s">
        <v>2403</v>
      </c>
      <c r="Q71" s="2399" t="e">
        <f ca="1">C42</f>
        <v>#N/A</v>
      </c>
      <c r="R71" s="2398" t="s">
        <v>2383</v>
      </c>
    </row>
    <row r="72" spans="1:18" s="2058" customFormat="1" ht="15.75" thickBot="1">
      <c r="A72" s="2095"/>
      <c r="B72" s="2096"/>
      <c r="C72" s="2096"/>
      <c r="K72" s="2085"/>
      <c r="O72" s="2400" t="s">
        <v>2404</v>
      </c>
      <c r="P72" s="2406" t="s">
        <v>2405</v>
      </c>
      <c r="Q72" s="2399" t="e">
        <f ca="1">C15</f>
        <v>#N/A</v>
      </c>
      <c r="R72" s="2398" t="s">
        <v>2383</v>
      </c>
    </row>
    <row r="73" spans="1:18" s="2058" customFormat="1" ht="15.75" thickBot="1">
      <c r="A73" s="2095"/>
      <c r="B73" s="2096"/>
      <c r="C73" s="2096"/>
      <c r="K73" s="2085"/>
      <c r="O73" s="2400" t="s">
        <v>2406</v>
      </c>
      <c r="P73" s="2406" t="s">
        <v>2407</v>
      </c>
      <c r="Q73" s="2401" t="e">
        <f ca="1">F43</f>
        <v>#N/A</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#N/A</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45889.5平方米。根据《建设工程规划许可证》[]、《出让合同》[]，估价对象规划建筑面积为100957平方米。</v>
      </c>
    </row>
    <row r="7" spans="1:4" ht="93.75">
      <c r="A7" s="2870" t="s">
        <v>2751</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2029</v>
      </c>
    </row>
    <row r="11" spans="1:4" ht="18.75">
      <c r="A11" s="1779" t="str">
        <f>TEXT(项目基本情况!D3,"yyyy年m月d日;;")&amp;IF(项目基本情况!B3=项目基本情况!D3,"（评估专业人员勘察现场之日）","")</f>
        <v>2019年7月4日</v>
      </c>
    </row>
    <row r="12" spans="1:4" ht="18.75">
      <c r="A12" s="1796" t="s">
        <v>2028</v>
      </c>
    </row>
    <row r="13" spans="1:4" ht="18.75">
      <c r="A13" s="1790" t="s">
        <v>2074</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2076</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根据《国有土地使用证》[]，估价对象（分摊）出让国有建设用地使用权面积为45889.5平方米。根据《建设工程规划许可证》[]、《出让合同》[]，估价对象规划建筑面积为100957平方米。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2077</v>
      </c>
    </row>
    <row r="23" spans="1:1" ht="18.75">
      <c r="A23" s="2872" t="s">
        <v>2752</v>
      </c>
    </row>
    <row r="24" spans="1:1" ht="18.75">
      <c r="A24" s="1790" t="s">
        <v>2078</v>
      </c>
    </row>
    <row r="25" spans="1:1" ht="75">
      <c r="A25" s="1790"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0"/>
  <sheetViews>
    <sheetView topLeftCell="L1" zoomScale="80" zoomScaleNormal="80" workbookViewId="0">
      <selection activeCell="V13" sqref="V13"/>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ustomWidth="1"/>
    <col min="26" max="27" width="11.625" style="2662" customWidth="1"/>
    <col min="28" max="28" width="9" style="2662" customWidth="1"/>
    <col min="29" max="29" width="2" style="2662" customWidth="1"/>
    <col min="30" max="34" width="9" style="2662" customWidth="1"/>
    <col min="35" max="35" width="9" style="2662"/>
    <col min="36" max="36" width="21.25" style="2662" bestFit="1" customWidth="1"/>
    <col min="37" max="16384" width="9" style="2662"/>
  </cols>
  <sheetData>
    <row r="1" spans="1:36" s="2652" customFormat="1">
      <c r="B1" s="3522" t="s">
        <v>2579</v>
      </c>
      <c r="C1" s="3522"/>
      <c r="D1" s="3522"/>
      <c r="E1" s="3522"/>
      <c r="F1" s="3522"/>
      <c r="G1" s="3521" t="s">
        <v>2580</v>
      </c>
      <c r="H1" s="3521"/>
      <c r="I1" s="3521"/>
      <c r="J1" s="3521"/>
      <c r="K1" s="3521"/>
      <c r="L1" s="3521"/>
      <c r="N1" s="3521" t="s">
        <v>2581</v>
      </c>
      <c r="O1" s="3521"/>
      <c r="P1" s="3521"/>
      <c r="Q1" s="3521"/>
      <c r="R1" s="2653"/>
      <c r="S1" s="3521" t="s">
        <v>2582</v>
      </c>
      <c r="T1" s="3521"/>
      <c r="U1" s="3521"/>
      <c r="V1" s="3521"/>
      <c r="X1" s="3520" t="s">
        <v>2642</v>
      </c>
      <c r="Y1" s="3521"/>
      <c r="Z1" s="3521"/>
      <c r="AA1" s="3521"/>
      <c r="AB1" s="3521"/>
      <c r="AD1" s="3520" t="s">
        <v>2646</v>
      </c>
      <c r="AE1" s="3521"/>
      <c r="AF1" s="3521"/>
      <c r="AG1" s="3521"/>
      <c r="AH1" s="3521"/>
    </row>
    <row r="2" spans="1:36" s="2755" customFormat="1" ht="14.25" thickBot="1">
      <c r="B2" s="2762" t="s">
        <v>2583</v>
      </c>
      <c r="C2" s="2762" t="s">
        <v>2644</v>
      </c>
      <c r="D2" s="2756" t="s">
        <v>1645</v>
      </c>
      <c r="E2" s="2756" t="s">
        <v>1952</v>
      </c>
      <c r="F2" s="2762" t="s">
        <v>2645</v>
      </c>
      <c r="G2" s="2759"/>
      <c r="H2" s="2758"/>
      <c r="I2" s="2762" t="s">
        <v>2961</v>
      </c>
      <c r="J2" s="2756" t="s">
        <v>2963</v>
      </c>
      <c r="K2" s="2756" t="s">
        <v>2964</v>
      </c>
      <c r="L2" s="2762" t="s">
        <v>2965</v>
      </c>
      <c r="N2" s="2762" t="s">
        <v>2583</v>
      </c>
      <c r="O2" s="2756" t="s">
        <v>2962</v>
      </c>
      <c r="P2" s="2756" t="s">
        <v>1952</v>
      </c>
      <c r="Q2" s="2762" t="s">
        <v>2645</v>
      </c>
      <c r="R2" s="2757"/>
      <c r="S2" s="2762" t="s">
        <v>2583</v>
      </c>
      <c r="T2" s="2756" t="s">
        <v>2962</v>
      </c>
      <c r="U2" s="2756" t="s">
        <v>1952</v>
      </c>
      <c r="V2" s="2762" t="s">
        <v>2645</v>
      </c>
      <c r="X2" s="2762" t="s">
        <v>2583</v>
      </c>
      <c r="Y2" s="2762" t="s">
        <v>2644</v>
      </c>
      <c r="Z2" s="2756" t="s">
        <v>1645</v>
      </c>
      <c r="AA2" s="2756" t="s">
        <v>1952</v>
      </c>
      <c r="AB2" s="2762" t="s">
        <v>2645</v>
      </c>
      <c r="AD2" s="2762" t="s">
        <v>2583</v>
      </c>
      <c r="AE2" s="2762" t="s">
        <v>2644</v>
      </c>
      <c r="AF2" s="2756" t="s">
        <v>1645</v>
      </c>
      <c r="AG2" s="2756" t="s">
        <v>1952</v>
      </c>
      <c r="AH2" s="2762" t="s">
        <v>2645</v>
      </c>
    </row>
    <row r="3" spans="1:36" s="3129" customFormat="1" ht="14.25">
      <c r="A3" s="3140" t="s">
        <v>2974</v>
      </c>
      <c r="B3" s="3130"/>
      <c r="C3" s="3130"/>
      <c r="D3" s="3131"/>
      <c r="E3" s="3131"/>
      <c r="F3" s="3130"/>
      <c r="G3" s="3132"/>
      <c r="H3" s="3133"/>
      <c r="I3" s="3139">
        <f>ROUND(AVERAGE($I4:$I27),2)</f>
        <v>2.04</v>
      </c>
      <c r="J3" s="3139">
        <f>ROUND(AVERAGE($J4:$J27),2)</f>
        <v>1.44</v>
      </c>
      <c r="K3" s="3139">
        <f>ROUND(AVERAGE($K4:$K27),2)</f>
        <v>2.23</v>
      </c>
      <c r="L3" s="3139">
        <f>ROUND(AVERAGE($L4:$L27),2)</f>
        <v>1.4</v>
      </c>
      <c r="N3" s="3132"/>
      <c r="O3" s="3134"/>
      <c r="P3" s="3134"/>
      <c r="Q3" s="3134"/>
      <c r="R3" s="3134"/>
      <c r="S3" s="3132"/>
      <c r="T3" s="3134"/>
      <c r="U3" s="3134"/>
      <c r="V3" s="3134"/>
      <c r="W3" s="3137"/>
      <c r="X3" s="3135">
        <f>ROUND(SUMPRODUCT(PRODUCT(1+N3:N$26)),4)</f>
        <v>1.5422</v>
      </c>
      <c r="Y3" s="3135">
        <f>ROUND(SUMPRODUCT(PRODUCT(1+O3:O$26)),4)</f>
        <v>1.3557999999999999</v>
      </c>
      <c r="Z3" s="3135">
        <f t="shared" ref="Z3:Z24" si="0">Y3</f>
        <v>1.3557999999999999</v>
      </c>
      <c r="AA3" s="3135">
        <f>ROUND(SUMPRODUCT(PRODUCT(1+P3:P$26)),4)</f>
        <v>1.6036999999999999</v>
      </c>
      <c r="AB3" s="3135">
        <f>ROUND(SUMPRODUCT(PRODUCT(1+Q3:Q$26)),4)</f>
        <v>1.3573</v>
      </c>
      <c r="AD3" s="3136">
        <f>ROUND(AVERAGE(I3:I$27)/100,4)</f>
        <v>2.0400000000000001E-2</v>
      </c>
      <c r="AE3" s="3136">
        <f>ROUND(AVERAGE(J3:J$27)/100,4)</f>
        <v>1.44E-2</v>
      </c>
      <c r="AF3" s="3136">
        <f t="shared" ref="AF3:AF25" si="1">AE3</f>
        <v>1.44E-2</v>
      </c>
      <c r="AG3" s="3136">
        <f>ROUND(AVERAGE(K3:K$27)/100,4)</f>
        <v>2.23E-2</v>
      </c>
      <c r="AH3" s="3136">
        <f>ROUND(AVERAGE(L3:L$27)/100,4)</f>
        <v>1.4E-2</v>
      </c>
    </row>
    <row r="4" spans="1:36" s="2748" customFormat="1" ht="15" thickBot="1">
      <c r="B4" s="2749"/>
      <c r="C4" s="2749"/>
      <c r="D4" s="2750"/>
      <c r="E4" s="2750"/>
      <c r="F4" s="2749"/>
      <c r="G4" s="2754"/>
      <c r="H4" s="2751"/>
      <c r="I4" s="3123"/>
      <c r="J4" s="3123"/>
      <c r="K4" s="3123"/>
      <c r="L4" s="3123"/>
      <c r="N4" s="2754"/>
      <c r="O4" s="2752"/>
      <c r="P4" s="2752"/>
      <c r="Q4" s="2752"/>
      <c r="R4" s="2752"/>
      <c r="S4" s="2754"/>
      <c r="T4" s="2752"/>
      <c r="U4" s="2752"/>
      <c r="V4" s="2752"/>
      <c r="W4" s="3138"/>
      <c r="X4" s="2753"/>
      <c r="Y4" s="2753"/>
      <c r="Z4" s="2753"/>
      <c r="AA4" s="2753"/>
      <c r="AB4" s="2753"/>
      <c r="AD4" s="2673"/>
      <c r="AE4" s="2673"/>
      <c r="AF4" s="2673"/>
      <c r="AG4" s="2673"/>
      <c r="AH4" s="2673"/>
    </row>
    <row r="5" spans="1:36" s="3111" customFormat="1" ht="13.5" thickBot="1">
      <c r="A5" s="3252" t="s">
        <v>3085</v>
      </c>
      <c r="B5" s="2700">
        <f t="shared" ref="B5:B11" si="2">B6*(1+N5)</f>
        <v>474.30670301923408</v>
      </c>
      <c r="C5" s="2700">
        <f t="shared" ref="C5:F5" si="3">C6*(1+O5)</f>
        <v>349.50705005996491</v>
      </c>
      <c r="D5" s="2700">
        <f t="shared" si="3"/>
        <v>352.52856123841957</v>
      </c>
      <c r="E5" s="2700">
        <f t="shared" si="3"/>
        <v>679.11652099901198</v>
      </c>
      <c r="F5" s="2700">
        <f t="shared" si="3"/>
        <v>304.75936311478398</v>
      </c>
      <c r="G5" s="3113">
        <v>2019</v>
      </c>
      <c r="H5" s="3253">
        <v>3</v>
      </c>
      <c r="I5" s="3255">
        <v>0</v>
      </c>
      <c r="J5" s="3255">
        <v>0</v>
      </c>
      <c r="K5" s="3255">
        <v>0</v>
      </c>
      <c r="L5" s="3255">
        <v>0</v>
      </c>
      <c r="N5" s="3244">
        <f>I5/100</f>
        <v>0</v>
      </c>
      <c r="O5" s="3244">
        <f t="shared" ref="O5:Q5" si="4">J5/100</f>
        <v>0</v>
      </c>
      <c r="P5" s="3244">
        <f t="shared" si="4"/>
        <v>0</v>
      </c>
      <c r="Q5" s="3244">
        <f t="shared" si="4"/>
        <v>0</v>
      </c>
      <c r="R5" s="3112"/>
      <c r="S5" s="3113"/>
      <c r="T5" s="3112"/>
      <c r="U5" s="3112"/>
      <c r="V5" s="3112"/>
      <c r="W5" s="3254"/>
      <c r="X5" s="3114">
        <f>ROUND(SUMPRODUCT(PRODUCT(1+N6:N$27)),4)</f>
        <v>1.5880000000000001</v>
      </c>
      <c r="Y5" s="3114">
        <f>ROUND(SUMPRODUCT(PRODUCT(1+O6:O$27)),4)</f>
        <v>1.3875999999999999</v>
      </c>
      <c r="Z5" s="3114">
        <f>Y5</f>
        <v>1.3875999999999999</v>
      </c>
      <c r="AA5" s="3114">
        <f>ROUND(SUMPRODUCT(PRODUCT(1+P5:P$27)),4)</f>
        <v>1.6563000000000001</v>
      </c>
      <c r="AB5" s="3114">
        <f>ROUND(SUMPRODUCT(PRODUCT(1+Q5:Q$26)),4)</f>
        <v>1.3573</v>
      </c>
      <c r="AD5" s="3115">
        <f>ROUND(AVERAGE(I5:I$27)/100,4)</f>
        <v>2.0400000000000001E-2</v>
      </c>
      <c r="AE5" s="3115">
        <f>ROUND(AVERAGE(J5:J$27)/100,4)</f>
        <v>1.44E-2</v>
      </c>
      <c r="AF5" s="3115">
        <f>AE5</f>
        <v>1.44E-2</v>
      </c>
      <c r="AG5" s="3115">
        <f>ROUND(AVERAGE(K5:K$27)/100,4)</f>
        <v>2.23E-2</v>
      </c>
      <c r="AH5" s="3115">
        <f>ROUND(AVERAGE(L5:L$27)/100,4)</f>
        <v>1.4E-2</v>
      </c>
      <c r="AJ5" s="3256">
        <f>1+P5</f>
        <v>1</v>
      </c>
    </row>
    <row r="6" spans="1:36" s="2748" customFormat="1">
      <c r="A6" s="3241" t="s">
        <v>3086</v>
      </c>
      <c r="B6" s="2668">
        <f t="shared" si="2"/>
        <v>474.30670301923408</v>
      </c>
      <c r="C6" s="2668">
        <f t="shared" ref="C6:F6" si="5">C7*(1+O6)</f>
        <v>349.50705005996491</v>
      </c>
      <c r="D6" s="2668">
        <f t="shared" si="5"/>
        <v>352.52856123841957</v>
      </c>
      <c r="E6" s="2668">
        <f t="shared" si="5"/>
        <v>679.11652099901198</v>
      </c>
      <c r="F6" s="2668">
        <f t="shared" si="5"/>
        <v>304.75936311478398</v>
      </c>
      <c r="G6" s="2754"/>
      <c r="H6" s="3248">
        <v>2</v>
      </c>
      <c r="I6" s="3248">
        <v>1.53</v>
      </c>
      <c r="J6" s="3248">
        <v>1.01</v>
      </c>
      <c r="K6" s="3248">
        <v>1.62</v>
      </c>
      <c r="L6" s="3249">
        <v>1.25</v>
      </c>
      <c r="N6" s="2663">
        <f>I6/100</f>
        <v>1.5300000000000001E-2</v>
      </c>
      <c r="O6" s="2663">
        <f t="shared" ref="O6:Q6" si="6">J6/100</f>
        <v>1.01E-2</v>
      </c>
      <c r="P6" s="2663">
        <f t="shared" si="6"/>
        <v>1.6200000000000003E-2</v>
      </c>
      <c r="Q6" s="2663">
        <f t="shared" si="6"/>
        <v>1.2500000000000001E-2</v>
      </c>
      <c r="R6" s="2752"/>
      <c r="S6" s="2754"/>
      <c r="T6" s="2752"/>
      <c r="U6" s="2752"/>
      <c r="V6" s="2752"/>
      <c r="W6" s="3138"/>
      <c r="X6" s="2753">
        <f>ROUND(SUMPRODUCT(PRODUCT(1+N6:N$26)),4)</f>
        <v>1.5422</v>
      </c>
      <c r="Y6" s="2753">
        <f>ROUND(SUMPRODUCT(PRODUCT(1+O6:O$26)),4)</f>
        <v>1.3557999999999999</v>
      </c>
      <c r="Z6" s="2753">
        <f>Y6</f>
        <v>1.3557999999999999</v>
      </c>
      <c r="AA6" s="2753">
        <f>ROUND(SUMPRODUCT(PRODUCT(1+P6:P$26)),4)</f>
        <v>1.6036999999999999</v>
      </c>
      <c r="AB6" s="2753">
        <f>ROUND(SUMPRODUCT(PRODUCT(1+Q6:Q$26)),4)</f>
        <v>1.3573</v>
      </c>
      <c r="AD6" s="3242">
        <f>ROUND(AVERAGE(I6:I$27)/100,4)</f>
        <v>2.1299999999999999E-2</v>
      </c>
      <c r="AE6" s="3242">
        <f>ROUND(AVERAGE(J6:J$27)/100,4)</f>
        <v>1.4999999999999999E-2</v>
      </c>
      <c r="AF6" s="3242">
        <f t="shared" ref="AF6:AF7" si="7">AE6</f>
        <v>1.4999999999999999E-2</v>
      </c>
      <c r="AG6" s="3242">
        <f>ROUND(AVERAGE(K6:K$27)/100,4)</f>
        <v>2.3300000000000001E-2</v>
      </c>
      <c r="AH6" s="3242">
        <f>ROUND(AVERAGE(L6:L$27)/100,4)</f>
        <v>1.46E-2</v>
      </c>
      <c r="AI6" s="3243"/>
      <c r="AJ6" s="3256">
        <f t="shared" ref="AJ6:AJ27" si="8">1+P6</f>
        <v>1.0162</v>
      </c>
    </row>
    <row r="7" spans="1:36" s="2748" customFormat="1" ht="13.5" thickBot="1">
      <c r="A7" s="3241" t="s">
        <v>3087</v>
      </c>
      <c r="B7" s="2668">
        <f t="shared" si="2"/>
        <v>467.15916775261894</v>
      </c>
      <c r="C7" s="2668">
        <f t="shared" ref="C7:F7" si="9">C8*(1+O7)</f>
        <v>346.01232557169084</v>
      </c>
      <c r="D7" s="2668">
        <f t="shared" si="9"/>
        <v>346.90864125016685</v>
      </c>
      <c r="E7" s="2668">
        <f t="shared" si="9"/>
        <v>670.73236641877725</v>
      </c>
      <c r="F7" s="2668">
        <f t="shared" si="9"/>
        <v>304.75936311478398</v>
      </c>
      <c r="G7" s="2754"/>
      <c r="H7" s="3250">
        <v>1</v>
      </c>
      <c r="I7" s="3250">
        <v>0.6</v>
      </c>
      <c r="J7" s="3250">
        <v>0.37</v>
      </c>
      <c r="K7" s="3250">
        <v>0.63</v>
      </c>
      <c r="L7" s="3251">
        <v>1.1299999999999999</v>
      </c>
      <c r="N7" s="2663">
        <f>I7/100</f>
        <v>6.0000000000000001E-3</v>
      </c>
      <c r="O7" s="2663">
        <f t="shared" ref="O7:Q7" si="10">J7/100</f>
        <v>3.7000000000000002E-3</v>
      </c>
      <c r="P7" s="2663">
        <f t="shared" si="10"/>
        <v>6.3E-3</v>
      </c>
      <c r="Q7" s="2663">
        <f t="shared" si="10"/>
        <v>1.1299999999999999E-2</v>
      </c>
      <c r="R7" s="2752"/>
      <c r="S7" s="2671">
        <f>B7/B8-1</f>
        <v>6.0000000000000053E-3</v>
      </c>
      <c r="T7" s="2671">
        <f t="shared" ref="T7:V7" si="11">C7/C8-1</f>
        <v>3.7000000000000366E-3</v>
      </c>
      <c r="U7" s="2671">
        <f t="shared" si="11"/>
        <v>6.2999999999999723E-3</v>
      </c>
      <c r="V7" s="2671">
        <f t="shared" si="11"/>
        <v>1.1300000000000088E-2</v>
      </c>
      <c r="W7" s="3138"/>
      <c r="X7" s="2753">
        <f>ROUND(SUMPRODUCT(PRODUCT(1+N7:N$26)),4)</f>
        <v>1.5189999999999999</v>
      </c>
      <c r="Y7" s="2753">
        <f>ROUND(SUMPRODUCT(PRODUCT(1+O7:O$26)),4)</f>
        <v>1.3423</v>
      </c>
      <c r="Z7" s="2753">
        <f>Y7</f>
        <v>1.3423</v>
      </c>
      <c r="AA7" s="2753">
        <f>ROUND(SUMPRODUCT(PRODUCT(1+P7:P$26)),4)</f>
        <v>1.5782</v>
      </c>
      <c r="AB7" s="2753">
        <f>ROUND(SUMPRODUCT(PRODUCT(1+Q7:Q$26)),4)</f>
        <v>1.3405</v>
      </c>
      <c r="AD7" s="3242">
        <f>ROUND(AVERAGE(I7:I$27)/100,4)</f>
        <v>2.1600000000000001E-2</v>
      </c>
      <c r="AE7" s="3242">
        <f>ROUND(AVERAGE(J7:J$27)/100,4)</f>
        <v>1.5299999999999999E-2</v>
      </c>
      <c r="AF7" s="3242">
        <f t="shared" si="7"/>
        <v>1.5299999999999999E-2</v>
      </c>
      <c r="AG7" s="3242">
        <f>ROUND(AVERAGE(K7:K$27)/100,4)</f>
        <v>2.3699999999999999E-2</v>
      </c>
      <c r="AH7" s="3242">
        <f>ROUND(AVERAGE(L7:L$27)/100,4)</f>
        <v>1.47E-2</v>
      </c>
      <c r="AI7" s="3243"/>
      <c r="AJ7" s="3256">
        <f t="shared" si="8"/>
        <v>1.0063</v>
      </c>
    </row>
    <row r="8" spans="1:36" s="2760" customFormat="1" ht="13.5" thickBot="1">
      <c r="A8" s="2654" t="s">
        <v>3088</v>
      </c>
      <c r="B8" s="2668">
        <f t="shared" si="2"/>
        <v>464.37293017158942</v>
      </c>
      <c r="C8" s="2668">
        <f t="shared" ref="C8" si="12">C9*(1+O8)</f>
        <v>344.73679941385956</v>
      </c>
      <c r="D8" s="2668">
        <f t="shared" ref="D8" si="13">C8</f>
        <v>344.73679941385956</v>
      </c>
      <c r="E8" s="2668">
        <f t="shared" ref="E8" si="14">E9*(1+P8)</f>
        <v>663.2377795103107</v>
      </c>
      <c r="F8" s="2668">
        <f t="shared" ref="F8" si="15">F9*(1+Q8)</f>
        <v>304.75936311478398</v>
      </c>
      <c r="G8" s="3128">
        <v>2018</v>
      </c>
      <c r="H8" s="2658">
        <v>4</v>
      </c>
      <c r="I8" s="3246">
        <v>0.96</v>
      </c>
      <c r="J8" s="3246">
        <v>1.03</v>
      </c>
      <c r="K8" s="3246">
        <v>0.92</v>
      </c>
      <c r="L8" s="3247">
        <v>1.29</v>
      </c>
      <c r="M8" s="2662"/>
      <c r="N8" s="2663">
        <f>I8/100</f>
        <v>9.5999999999999992E-3</v>
      </c>
      <c r="O8" s="2664">
        <f t="shared" ref="O8" si="16">J8/100</f>
        <v>1.03E-2</v>
      </c>
      <c r="P8" s="2664">
        <f t="shared" ref="P8" si="17">K8/100</f>
        <v>9.1999999999999998E-3</v>
      </c>
      <c r="Q8" s="2664">
        <f t="shared" ref="Q8" si="18">L8/100</f>
        <v>1.29E-2</v>
      </c>
      <c r="R8" s="2665"/>
      <c r="S8" s="2671"/>
      <c r="T8" s="2672"/>
      <c r="U8" s="2672"/>
      <c r="V8" s="2672"/>
      <c r="W8" s="2662" t="s">
        <v>2975</v>
      </c>
      <c r="X8" s="2753">
        <f>ROUND(SUMPRODUCT(PRODUCT(1+N8:N$26)),4)</f>
        <v>1.5099</v>
      </c>
      <c r="Y8" s="2753">
        <f>ROUND(SUMPRODUCT(PRODUCT(1+O8:O$26)),4)</f>
        <v>1.3372999999999999</v>
      </c>
      <c r="Z8" s="2753">
        <f t="shared" ref="Z8" si="19">Y8</f>
        <v>1.3372999999999999</v>
      </c>
      <c r="AA8" s="2753">
        <f>ROUND(SUMPRODUCT(PRODUCT(1+P8:P$26)),4)</f>
        <v>1.5683</v>
      </c>
      <c r="AB8" s="2753">
        <f>ROUND(SUMPRODUCT(PRODUCT(1+Q8:Q$26)),4)</f>
        <v>1.3255999999999999</v>
      </c>
      <c r="AC8" s="2662"/>
      <c r="AD8" s="3242">
        <f>ROUND(AVERAGE(I8:I$27)/100,4)</f>
        <v>2.24E-2</v>
      </c>
      <c r="AE8" s="3242">
        <f>ROUND(AVERAGE(J8:J$27)/100,4)</f>
        <v>1.5800000000000002E-2</v>
      </c>
      <c r="AF8" s="3242">
        <f t="shared" ref="AF8" si="20">AE8</f>
        <v>1.5800000000000002E-2</v>
      </c>
      <c r="AG8" s="3242">
        <f>ROUND(AVERAGE(K8:K$27)/100,4)</f>
        <v>2.4500000000000001E-2</v>
      </c>
      <c r="AH8" s="3242">
        <f>ROUND(AVERAGE(L8:L$27)/100,4)</f>
        <v>1.49E-2</v>
      </c>
      <c r="AI8" s="3245"/>
      <c r="AJ8" s="3256">
        <f t="shared" si="8"/>
        <v>1.0092000000000001</v>
      </c>
    </row>
    <row r="9" spans="1:36" s="2760" customFormat="1" ht="13.5" thickBot="1">
      <c r="A9" s="2654" t="s">
        <v>2985</v>
      </c>
      <c r="B9" s="2668">
        <f t="shared" si="2"/>
        <v>459.95733971036987</v>
      </c>
      <c r="C9" s="2668">
        <f t="shared" ref="C9" si="21">C10*(1+O9)</f>
        <v>341.22221064422405</v>
      </c>
      <c r="D9" s="2668">
        <f t="shared" ref="D9" si="22">C9</f>
        <v>341.22221064422405</v>
      </c>
      <c r="E9" s="2668">
        <f t="shared" ref="E9" si="23">E10*(1+P9)</f>
        <v>657.19161663724799</v>
      </c>
      <c r="F9" s="2668">
        <f t="shared" ref="F9" si="24">F10*(1+Q9)</f>
        <v>300.87803644464805</v>
      </c>
      <c r="G9" s="3128"/>
      <c r="H9" s="2658">
        <v>3</v>
      </c>
      <c r="I9" s="2658">
        <v>1.51</v>
      </c>
      <c r="J9" s="2658">
        <v>1.41</v>
      </c>
      <c r="K9" s="2658">
        <v>1.52</v>
      </c>
      <c r="L9" s="2669">
        <v>1.74</v>
      </c>
      <c r="M9" s="2662"/>
      <c r="N9" s="2663">
        <f t="shared" ref="N9" si="25">I9/100</f>
        <v>1.5100000000000001E-2</v>
      </c>
      <c r="O9" s="2664">
        <f t="shared" ref="O9" si="26">J9/100</f>
        <v>1.41E-2</v>
      </c>
      <c r="P9" s="2664">
        <f t="shared" ref="P9" si="27">K9/100</f>
        <v>1.52E-2</v>
      </c>
      <c r="Q9" s="2664">
        <f t="shared" ref="Q9" si="28">L9/100</f>
        <v>1.7399999999999999E-2</v>
      </c>
      <c r="R9" s="2665"/>
      <c r="S9" s="2671"/>
      <c r="T9" s="2672"/>
      <c r="U9" s="2672"/>
      <c r="V9" s="2672"/>
      <c r="W9" s="2662"/>
      <c r="X9" s="2753">
        <f>ROUND(SUMPRODUCT(PRODUCT(1+N9:N$26)),4)</f>
        <v>1.4956</v>
      </c>
      <c r="Y9" s="2753">
        <f>ROUND(SUMPRODUCT(PRODUCT(1+O9:O$26)),4)</f>
        <v>1.3237000000000001</v>
      </c>
      <c r="Z9" s="2753">
        <f t="shared" ref="Z9" si="29">Y9</f>
        <v>1.3237000000000001</v>
      </c>
      <c r="AA9" s="2753">
        <f>ROUND(SUMPRODUCT(PRODUCT(1+P9:P$26)),4)</f>
        <v>1.554</v>
      </c>
      <c r="AB9" s="2753">
        <f>ROUND(SUMPRODUCT(PRODUCT(1+Q9:Q$26)),4)</f>
        <v>1.3087</v>
      </c>
      <c r="AC9" s="2662"/>
      <c r="AD9" s="2673">
        <f>ROUND(AVERAGE(I9:I$27)/100,4)</f>
        <v>2.3099999999999999E-2</v>
      </c>
      <c r="AE9" s="2673">
        <f>ROUND(AVERAGE(J9:J$27)/100,4)</f>
        <v>1.61E-2</v>
      </c>
      <c r="AF9" s="2673">
        <f t="shared" ref="AF9" si="30">AE9</f>
        <v>1.61E-2</v>
      </c>
      <c r="AG9" s="2673">
        <f>ROUND(AVERAGE(K9:K$27)/100,4)</f>
        <v>2.53E-2</v>
      </c>
      <c r="AH9" s="2673">
        <f>ROUND(AVERAGE(L9:L$27)/100,4)</f>
        <v>1.4999999999999999E-2</v>
      </c>
      <c r="AJ9" s="3256">
        <f t="shared" si="8"/>
        <v>1.0152000000000001</v>
      </c>
    </row>
    <row r="10" spans="1:36" s="2760" customFormat="1" ht="13.5" thickBot="1">
      <c r="A10" s="2654" t="s">
        <v>2986</v>
      </c>
      <c r="B10" s="2668">
        <f t="shared" si="2"/>
        <v>453.11529869999993</v>
      </c>
      <c r="C10" s="2668">
        <f t="shared" ref="C10" si="31">C11*(1+O10)</f>
        <v>336.47787264000004</v>
      </c>
      <c r="D10" s="2668">
        <f t="shared" ref="D10" si="32">C10</f>
        <v>336.47787264000004</v>
      </c>
      <c r="E10" s="2668">
        <f t="shared" ref="E10" si="33">E11*(1+P10)</f>
        <v>647.35186823999993</v>
      </c>
      <c r="F10" s="2668">
        <f t="shared" ref="F10" si="34">F11*(1+Q10)</f>
        <v>295.73229452000004</v>
      </c>
      <c r="G10" s="3128"/>
      <c r="H10" s="2658">
        <v>2</v>
      </c>
      <c r="I10" s="2658">
        <v>1.49</v>
      </c>
      <c r="J10" s="2658">
        <v>0.96</v>
      </c>
      <c r="K10" s="2658">
        <v>1.58</v>
      </c>
      <c r="L10" s="2669">
        <v>2.44</v>
      </c>
      <c r="M10" s="2662"/>
      <c r="N10" s="2663">
        <f t="shared" ref="N10" si="35">I10/100</f>
        <v>1.49E-2</v>
      </c>
      <c r="O10" s="2664">
        <f t="shared" ref="O10" si="36">J10/100</f>
        <v>9.5999999999999992E-3</v>
      </c>
      <c r="P10" s="2664">
        <f t="shared" ref="P10" si="37">K10/100</f>
        <v>1.5800000000000002E-2</v>
      </c>
      <c r="Q10" s="2664">
        <f t="shared" ref="Q10" si="38">L10/100</f>
        <v>2.4399999999999998E-2</v>
      </c>
      <c r="R10" s="2665"/>
      <c r="S10" s="2671"/>
      <c r="T10" s="2672"/>
      <c r="U10" s="2672"/>
      <c r="V10" s="2672"/>
      <c r="W10" s="2662"/>
      <c r="X10" s="2753">
        <f>ROUND(SUMPRODUCT(PRODUCT(1+N10:N$26)),4)</f>
        <v>1.4733000000000001</v>
      </c>
      <c r="Y10" s="2753">
        <f>ROUND(SUMPRODUCT(PRODUCT(1+O10:O$26)),4)</f>
        <v>1.3052999999999999</v>
      </c>
      <c r="Z10" s="2753">
        <f t="shared" ref="Z10" si="39">Y10</f>
        <v>1.3052999999999999</v>
      </c>
      <c r="AA10" s="2753">
        <f>ROUND(SUMPRODUCT(PRODUCT(1+P10:P$26)),4)</f>
        <v>1.5306999999999999</v>
      </c>
      <c r="AB10" s="2753">
        <f>ROUND(SUMPRODUCT(PRODUCT(1+Q10:Q$26)),4)</f>
        <v>1.2863</v>
      </c>
      <c r="AC10" s="2662"/>
      <c r="AD10" s="2673">
        <f>ROUND(AVERAGE(I10:I$27)/100,4)</f>
        <v>2.35E-2</v>
      </c>
      <c r="AE10" s="2673">
        <f>ROUND(AVERAGE(J10:J$27)/100,4)</f>
        <v>1.6199999999999999E-2</v>
      </c>
      <c r="AF10" s="2673">
        <f t="shared" ref="AF10" si="40">AE10</f>
        <v>1.6199999999999999E-2</v>
      </c>
      <c r="AG10" s="2673">
        <f>ROUND(AVERAGE(K10:K$27)/100,4)</f>
        <v>2.5899999999999999E-2</v>
      </c>
      <c r="AH10" s="2673">
        <f>ROUND(AVERAGE(L10:L$27)/100,4)</f>
        <v>1.49E-2</v>
      </c>
      <c r="AJ10" s="3256">
        <f t="shared" si="8"/>
        <v>1.0158</v>
      </c>
    </row>
    <row r="11" spans="1:36" s="2760" customFormat="1" ht="13.5" thickBot="1">
      <c r="A11" s="2654" t="s">
        <v>2981</v>
      </c>
      <c r="B11" s="2668">
        <f t="shared" si="2"/>
        <v>446.46299999999997</v>
      </c>
      <c r="C11" s="2668">
        <f t="shared" ref="C11" si="41">C12*(1+O11)</f>
        <v>333.27840000000003</v>
      </c>
      <c r="D11" s="2668">
        <f t="shared" ref="D11:D16" si="42">C11</f>
        <v>333.27840000000003</v>
      </c>
      <c r="E11" s="2668">
        <f t="shared" ref="E11" si="43">E12*(1+P11)</f>
        <v>637.28279999999995</v>
      </c>
      <c r="F11" s="2668">
        <f t="shared" ref="F11" si="44">F12*(1+Q11)</f>
        <v>288.68830000000003</v>
      </c>
      <c r="G11" s="3128"/>
      <c r="H11" s="2658">
        <v>1</v>
      </c>
      <c r="I11" s="2658">
        <v>1.7</v>
      </c>
      <c r="J11" s="2658">
        <v>1.92</v>
      </c>
      <c r="K11" s="2658">
        <v>1.64</v>
      </c>
      <c r="L11" s="2669">
        <v>2.0099999999999998</v>
      </c>
      <c r="M11" s="2662"/>
      <c r="N11" s="2663">
        <f t="shared" ref="N11:N16" si="45">I11/100</f>
        <v>1.7000000000000001E-2</v>
      </c>
      <c r="O11" s="2664">
        <f t="shared" ref="O11" si="46">J11/100</f>
        <v>1.9199999999999998E-2</v>
      </c>
      <c r="P11" s="2664">
        <f t="shared" ref="P11" si="47">K11/100</f>
        <v>1.6399999999999998E-2</v>
      </c>
      <c r="Q11" s="2664">
        <f t="shared" ref="Q11" si="48">L11/100</f>
        <v>2.0099999999999996E-2</v>
      </c>
      <c r="R11" s="2665"/>
      <c r="S11" s="2671">
        <f>B11/B12-1</f>
        <v>1.6999999999999904E-2</v>
      </c>
      <c r="T11" s="2672">
        <f>C11/C12-1</f>
        <v>1.9200000000000106E-2</v>
      </c>
      <c r="U11" s="2672">
        <f>E11/E12-1</f>
        <v>1.639999999999997E-2</v>
      </c>
      <c r="V11" s="2672">
        <f>F11/F12-1</f>
        <v>2.0100000000000007E-2</v>
      </c>
      <c r="W11" s="2662"/>
      <c r="X11" s="2753">
        <f>ROUND(SUMPRODUCT(PRODUCT(1+N11:N$26)),4)</f>
        <v>1.4517</v>
      </c>
      <c r="Y11" s="2753">
        <f>ROUND(SUMPRODUCT(PRODUCT(1+O11:O$26)),4)</f>
        <v>1.2928999999999999</v>
      </c>
      <c r="Z11" s="2753">
        <f t="shared" ref="Z11" si="49">Y11</f>
        <v>1.2928999999999999</v>
      </c>
      <c r="AA11" s="2753">
        <f>ROUND(SUMPRODUCT(PRODUCT(1+P11:P$26)),4)</f>
        <v>1.5068999999999999</v>
      </c>
      <c r="AB11" s="2753">
        <f>ROUND(SUMPRODUCT(PRODUCT(1+Q11:Q$26)),4)</f>
        <v>1.2557</v>
      </c>
      <c r="AC11" s="2662"/>
      <c r="AD11" s="2673">
        <f>ROUND(AVERAGE(I11:I$27)/100,4)</f>
        <v>2.4E-2</v>
      </c>
      <c r="AE11" s="2673">
        <f>ROUND(AVERAGE(J11:J$27)/100,4)</f>
        <v>1.66E-2</v>
      </c>
      <c r="AF11" s="2673">
        <f t="shared" ref="AF11" si="50">AE11</f>
        <v>1.66E-2</v>
      </c>
      <c r="AG11" s="2673">
        <f>ROUND(AVERAGE(K11:K$27)/100,4)</f>
        <v>2.6499999999999999E-2</v>
      </c>
      <c r="AH11" s="2673">
        <f>ROUND(AVERAGE(L11:L$27)/100,4)</f>
        <v>1.43E-2</v>
      </c>
      <c r="AJ11" s="3256">
        <f t="shared" si="8"/>
        <v>1.0164</v>
      </c>
    </row>
    <row r="12" spans="1:36">
      <c r="A12" s="2654" t="s">
        <v>2972</v>
      </c>
      <c r="B12" s="3142">
        <v>439</v>
      </c>
      <c r="C12" s="3142">
        <v>327</v>
      </c>
      <c r="D12" s="3142">
        <f t="shared" si="42"/>
        <v>327</v>
      </c>
      <c r="E12" s="3142">
        <v>627</v>
      </c>
      <c r="F12" s="3143">
        <v>283</v>
      </c>
      <c r="G12" s="3126">
        <v>2017</v>
      </c>
      <c r="H12" s="2655">
        <v>4</v>
      </c>
      <c r="I12" s="2655">
        <v>1.71</v>
      </c>
      <c r="J12" s="2655">
        <v>1.78</v>
      </c>
      <c r="K12" s="2655">
        <v>1.71</v>
      </c>
      <c r="L12" s="2656">
        <v>1.43</v>
      </c>
      <c r="N12" s="2676">
        <f t="shared" si="45"/>
        <v>1.7100000000000001E-2</v>
      </c>
      <c r="O12" s="2677">
        <f t="shared" ref="O12" si="51">J12/100</f>
        <v>1.78E-2</v>
      </c>
      <c r="P12" s="2677">
        <f t="shared" ref="P12" si="52">K12/100</f>
        <v>1.7100000000000001E-2</v>
      </c>
      <c r="Q12" s="2677">
        <f t="shared" ref="Q12" si="53">L12/100</f>
        <v>1.43E-2</v>
      </c>
      <c r="R12" s="2665"/>
      <c r="S12" s="2666"/>
      <c r="T12" s="2667"/>
      <c r="U12" s="2667"/>
      <c r="V12" s="2667"/>
      <c r="X12" s="2753">
        <f>ROUND(SUMPRODUCT(PRODUCT(1+N12:N$26)),4)</f>
        <v>1.4274</v>
      </c>
      <c r="Y12" s="2753">
        <f>ROUND(SUMPRODUCT(PRODUCT(1+O12:O$26)),4)</f>
        <v>1.2685</v>
      </c>
      <c r="Z12" s="2753">
        <f t="shared" si="0"/>
        <v>1.2685</v>
      </c>
      <c r="AA12" s="2753">
        <f>ROUND(SUMPRODUCT(PRODUCT(1+P12:P$26)),4)</f>
        <v>1.4825999999999999</v>
      </c>
      <c r="AB12" s="2753">
        <f>ROUND(SUMPRODUCT(PRODUCT(1+Q12:Q$26)),4)</f>
        <v>1.2309000000000001</v>
      </c>
      <c r="AD12" s="2673">
        <f>ROUND(AVERAGE(I12:I$27)/100,4)</f>
        <v>2.4500000000000001E-2</v>
      </c>
      <c r="AE12" s="2673">
        <f>ROUND(AVERAGE(J12:J$27)/100,4)</f>
        <v>1.6500000000000001E-2</v>
      </c>
      <c r="AF12" s="2673">
        <f t="shared" si="1"/>
        <v>1.6500000000000001E-2</v>
      </c>
      <c r="AG12" s="2673">
        <f>ROUND(AVERAGE(K12:K$27)/100,4)</f>
        <v>2.7099999999999999E-2</v>
      </c>
      <c r="AH12" s="2673">
        <f>ROUND(AVERAGE(L12:L$27)/100,4)</f>
        <v>1.3899999999999999E-2</v>
      </c>
      <c r="AJ12" s="3256">
        <f t="shared" si="8"/>
        <v>1.0170999999999999</v>
      </c>
    </row>
    <row r="13" spans="1:36" s="2760" customFormat="1" ht="13.5" thickBot="1">
      <c r="A13" s="2654" t="s">
        <v>2976</v>
      </c>
      <c r="B13" s="2668">
        <f t="shared" ref="B13:C15" si="54">B14*(1+N13)</f>
        <v>431.80730811680002</v>
      </c>
      <c r="C13" s="2668">
        <f t="shared" si="54"/>
        <v>320.57880516480003</v>
      </c>
      <c r="D13" s="2668">
        <f t="shared" si="42"/>
        <v>320.57880516480003</v>
      </c>
      <c r="E13" s="2668">
        <f t="shared" ref="E13:F15" si="55">E14*(1+P13)</f>
        <v>615.96110553196797</v>
      </c>
      <c r="F13" s="2668">
        <f t="shared" si="55"/>
        <v>279.46777300108801</v>
      </c>
      <c r="G13" s="3128"/>
      <c r="H13" s="2658">
        <v>3</v>
      </c>
      <c r="I13" s="2658">
        <v>2.98</v>
      </c>
      <c r="J13" s="2658">
        <v>2.11</v>
      </c>
      <c r="K13" s="2658">
        <v>3.24</v>
      </c>
      <c r="L13" s="2669">
        <v>1.72</v>
      </c>
      <c r="M13" s="2662"/>
      <c r="N13" s="2663">
        <f t="shared" si="45"/>
        <v>2.98E-2</v>
      </c>
      <c r="O13" s="2681">
        <f t="shared" ref="O13:O14" si="56">J13/100</f>
        <v>2.1099999999999997E-2</v>
      </c>
      <c r="P13" s="2681">
        <f t="shared" ref="P13:P14" si="57">K13/100</f>
        <v>3.2400000000000005E-2</v>
      </c>
      <c r="Q13" s="2681">
        <f t="shared" ref="Q13:Q14" si="58">L13/100</f>
        <v>1.72E-2</v>
      </c>
      <c r="R13" s="2665"/>
      <c r="S13" s="2671"/>
      <c r="T13" s="2672"/>
      <c r="U13" s="2672"/>
      <c r="V13" s="2672"/>
      <c r="W13" s="2662"/>
      <c r="X13" s="2753">
        <f>ROUND(SUMPRODUCT(PRODUCT(1+N13:N$26)),4)</f>
        <v>1.4034</v>
      </c>
      <c r="Y13" s="2753">
        <f>ROUND(SUMPRODUCT(PRODUCT(1+O13:O$26)),4)</f>
        <v>1.2463</v>
      </c>
      <c r="Z13" s="2753">
        <f t="shared" si="0"/>
        <v>1.2463</v>
      </c>
      <c r="AA13" s="2753">
        <f>ROUND(SUMPRODUCT(PRODUCT(1+P13:P$26)),4)</f>
        <v>1.4577</v>
      </c>
      <c r="AB13" s="2753">
        <f>ROUND(SUMPRODUCT(PRODUCT(1+Q13:Q$26)),4)</f>
        <v>1.2136</v>
      </c>
      <c r="AC13" s="2662"/>
      <c r="AD13" s="2673">
        <f>ROUND(AVERAGE(I13:I$27)/100,4)</f>
        <v>2.4899999999999999E-2</v>
      </c>
      <c r="AE13" s="2673">
        <f>ROUND(AVERAGE(J13:J$27)/100,4)</f>
        <v>1.6400000000000001E-2</v>
      </c>
      <c r="AF13" s="2673">
        <f t="shared" si="1"/>
        <v>1.6400000000000001E-2</v>
      </c>
      <c r="AG13" s="2673">
        <f>ROUND(AVERAGE(K13:K$27)/100,4)</f>
        <v>2.7799999999999998E-2</v>
      </c>
      <c r="AH13" s="2673">
        <f>ROUND(AVERAGE(L13:L$27)/100,4)</f>
        <v>1.3899999999999999E-2</v>
      </c>
      <c r="AJ13" s="3256">
        <f t="shared" si="8"/>
        <v>1.0324</v>
      </c>
    </row>
    <row r="14" spans="1:36" s="2652" customFormat="1">
      <c r="A14" s="2654" t="s">
        <v>2584</v>
      </c>
      <c r="B14" s="2668">
        <f t="shared" si="54"/>
        <v>419.31181600000002</v>
      </c>
      <c r="C14" s="2668">
        <f t="shared" si="54"/>
        <v>313.95436800000004</v>
      </c>
      <c r="D14" s="2668">
        <f t="shared" si="42"/>
        <v>313.95436800000004</v>
      </c>
      <c r="E14" s="2668">
        <f t="shared" si="55"/>
        <v>596.63028431999999</v>
      </c>
      <c r="F14" s="2668">
        <f t="shared" si="55"/>
        <v>274.74220703999998</v>
      </c>
      <c r="G14" s="3127"/>
      <c r="H14" s="2659">
        <v>2</v>
      </c>
      <c r="I14" s="2659">
        <v>3.4</v>
      </c>
      <c r="J14" s="2659">
        <v>2</v>
      </c>
      <c r="K14" s="2659">
        <v>3.82</v>
      </c>
      <c r="L14" s="2670">
        <v>1.68</v>
      </c>
      <c r="N14" s="2663">
        <f t="shared" si="45"/>
        <v>3.4000000000000002E-2</v>
      </c>
      <c r="O14" s="2681">
        <f t="shared" si="56"/>
        <v>0.02</v>
      </c>
      <c r="P14" s="2681">
        <f t="shared" si="57"/>
        <v>3.8199999999999998E-2</v>
      </c>
      <c r="Q14" s="2681">
        <f t="shared" si="58"/>
        <v>1.6799999999999999E-2</v>
      </c>
      <c r="R14" s="2653"/>
      <c r="S14" s="2657"/>
      <c r="T14" s="2653"/>
      <c r="U14" s="2653"/>
      <c r="V14" s="2653"/>
      <c r="X14" s="2753">
        <f>ROUND(SUMPRODUCT(PRODUCT(1+N14:N$26)),4)</f>
        <v>1.3628</v>
      </c>
      <c r="Y14" s="2753">
        <f>ROUND(SUMPRODUCT(PRODUCT(1+O14:O$26)),4)</f>
        <v>1.2205999999999999</v>
      </c>
      <c r="Z14" s="2753">
        <f t="shared" si="0"/>
        <v>1.2205999999999999</v>
      </c>
      <c r="AA14" s="2753">
        <f>ROUND(SUMPRODUCT(PRODUCT(1+P14:P$26)),4)</f>
        <v>1.4118999999999999</v>
      </c>
      <c r="AB14" s="2753">
        <f>ROUND(SUMPRODUCT(PRODUCT(1+Q14:Q$26)),4)</f>
        <v>1.1930000000000001</v>
      </c>
      <c r="AD14" s="2673">
        <f>ROUND(AVERAGE(I14:I$27)/100,4)</f>
        <v>2.46E-2</v>
      </c>
      <c r="AE14" s="2673">
        <f>ROUND(AVERAGE(J14:J$27)/100,4)</f>
        <v>1.6E-2</v>
      </c>
      <c r="AF14" s="2673">
        <f t="shared" si="1"/>
        <v>1.6E-2</v>
      </c>
      <c r="AG14" s="2673">
        <f>ROUND(AVERAGE(K14:K$27)/100,4)</f>
        <v>2.75E-2</v>
      </c>
      <c r="AH14" s="2673">
        <f>ROUND(AVERAGE(L14:L$27)/100,4)</f>
        <v>1.37E-2</v>
      </c>
      <c r="AJ14" s="3256">
        <f t="shared" si="8"/>
        <v>1.0382</v>
      </c>
    </row>
    <row r="15" spans="1:36" s="2760" customFormat="1" ht="13.5" thickBot="1">
      <c r="A15" s="2654" t="s">
        <v>2585</v>
      </c>
      <c r="B15" s="2668">
        <f t="shared" si="54"/>
        <v>405.524</v>
      </c>
      <c r="C15" s="2668">
        <f t="shared" si="54"/>
        <v>307.79840000000002</v>
      </c>
      <c r="D15" s="2668">
        <f t="shared" si="42"/>
        <v>307.79840000000002</v>
      </c>
      <c r="E15" s="2668">
        <f t="shared" si="55"/>
        <v>574.67759999999998</v>
      </c>
      <c r="F15" s="2668">
        <f t="shared" si="55"/>
        <v>270.20280000000002</v>
      </c>
      <c r="G15" s="3128"/>
      <c r="H15" s="2658">
        <v>1</v>
      </c>
      <c r="I15" s="2658">
        <v>3.45</v>
      </c>
      <c r="J15" s="2658">
        <v>1.92</v>
      </c>
      <c r="K15" s="2658">
        <v>3.92</v>
      </c>
      <c r="L15" s="2669">
        <v>1.58</v>
      </c>
      <c r="M15" s="2662"/>
      <c r="N15" s="2671">
        <f t="shared" si="45"/>
        <v>3.4500000000000003E-2</v>
      </c>
      <c r="O15" s="2672">
        <f t="shared" ref="O15" si="59">J15/100</f>
        <v>1.9199999999999998E-2</v>
      </c>
      <c r="P15" s="2672">
        <f t="shared" ref="P15" si="60">K15/100</f>
        <v>3.9199999999999999E-2</v>
      </c>
      <c r="Q15" s="2672">
        <f t="shared" ref="Q15" si="61">L15/100</f>
        <v>1.5800000000000002E-2</v>
      </c>
      <c r="R15" s="2665"/>
      <c r="S15" s="2671">
        <f>B15/B16-1</f>
        <v>3.4499999999999975E-2</v>
      </c>
      <c r="T15" s="2672">
        <f>C15/C16-1</f>
        <v>1.9200000000000106E-2</v>
      </c>
      <c r="U15" s="2672">
        <f>E15/E16-1</f>
        <v>3.9199999999999902E-2</v>
      </c>
      <c r="V15" s="2672">
        <f>F15/F16-1</f>
        <v>1.5800000000000036E-2</v>
      </c>
      <c r="W15" s="2662"/>
      <c r="X15" s="2753">
        <f>ROUND(SUMPRODUCT(PRODUCT(1+N15:N$26)),4)</f>
        <v>1.3180000000000001</v>
      </c>
      <c r="Y15" s="2753">
        <f>ROUND(SUMPRODUCT(PRODUCT(1+O15:O$26)),4)</f>
        <v>1.1966000000000001</v>
      </c>
      <c r="Z15" s="2753">
        <f t="shared" si="0"/>
        <v>1.1966000000000001</v>
      </c>
      <c r="AA15" s="2753">
        <f>ROUND(SUMPRODUCT(PRODUCT(1+P15:P$26)),4)</f>
        <v>1.36</v>
      </c>
      <c r="AB15" s="2753">
        <f>ROUND(SUMPRODUCT(PRODUCT(1+Q15:Q$26)),4)</f>
        <v>1.1733</v>
      </c>
      <c r="AC15" s="2662"/>
      <c r="AD15" s="2673">
        <f>ROUND(AVERAGE(I15:I$27)/100,4)</f>
        <v>2.3900000000000001E-2</v>
      </c>
      <c r="AE15" s="2673">
        <f>ROUND(AVERAGE(J15:J$27)/100,4)</f>
        <v>1.5699999999999999E-2</v>
      </c>
      <c r="AF15" s="2673">
        <f t="shared" si="1"/>
        <v>1.5699999999999999E-2</v>
      </c>
      <c r="AG15" s="2673">
        <f>ROUND(AVERAGE(K15:K$27)/100,4)</f>
        <v>2.6599999999999999E-2</v>
      </c>
      <c r="AH15" s="2673">
        <f>ROUND(AVERAGE(L15:L$27)/100,4)</f>
        <v>1.34E-2</v>
      </c>
      <c r="AJ15" s="3256">
        <f t="shared" si="8"/>
        <v>1.0391999999999999</v>
      </c>
    </row>
    <row r="16" spans="1:36">
      <c r="A16" s="2654" t="s">
        <v>971</v>
      </c>
      <c r="B16" s="2660">
        <v>392</v>
      </c>
      <c r="C16" s="2660">
        <v>302</v>
      </c>
      <c r="D16" s="2660">
        <f t="shared" si="42"/>
        <v>302</v>
      </c>
      <c r="E16" s="2660">
        <v>553</v>
      </c>
      <c r="F16" s="2661">
        <v>266</v>
      </c>
      <c r="G16" s="3519">
        <v>2016</v>
      </c>
      <c r="H16" s="2655">
        <v>4</v>
      </c>
      <c r="I16" s="2655">
        <v>4.5599999999999996</v>
      </c>
      <c r="J16" s="2655">
        <v>2.15</v>
      </c>
      <c r="K16" s="2655">
        <v>5.32</v>
      </c>
      <c r="L16" s="2656">
        <v>1.57</v>
      </c>
      <c r="N16" s="2663">
        <f t="shared" si="45"/>
        <v>4.5599999999999995E-2</v>
      </c>
      <c r="O16" s="2664">
        <f t="shared" ref="O16:Q31" si="62">J16/100</f>
        <v>2.1499999999999998E-2</v>
      </c>
      <c r="P16" s="2664">
        <f t="shared" si="62"/>
        <v>5.3200000000000004E-2</v>
      </c>
      <c r="Q16" s="2664">
        <f t="shared" si="62"/>
        <v>1.5700000000000002E-2</v>
      </c>
      <c r="R16" s="2665"/>
      <c r="S16" s="2666"/>
      <c r="T16" s="2667"/>
      <c r="U16" s="2667"/>
      <c r="V16" s="2667"/>
      <c r="X16" s="2753">
        <f>ROUND(SUMPRODUCT(PRODUCT(1+N16:N$26)),4)</f>
        <v>1.274</v>
      </c>
      <c r="Y16" s="2753">
        <f>ROUND(SUMPRODUCT(PRODUCT(1+O16:O$26)),4)</f>
        <v>1.1740999999999999</v>
      </c>
      <c r="Z16" s="2753">
        <f t="shared" si="0"/>
        <v>1.1740999999999999</v>
      </c>
      <c r="AA16" s="2753">
        <f>ROUND(SUMPRODUCT(PRODUCT(1+P16:P$26)),4)</f>
        <v>1.3087</v>
      </c>
      <c r="AB16" s="2753">
        <f>ROUND(SUMPRODUCT(PRODUCT(1+Q16:Q$26)),4)</f>
        <v>1.1551</v>
      </c>
      <c r="AD16" s="2673">
        <f>ROUND(AVERAGE(I16:I$27)/100,4)</f>
        <v>2.3E-2</v>
      </c>
      <c r="AE16" s="2673">
        <f>ROUND(AVERAGE(J16:J$27)/100,4)</f>
        <v>1.55E-2</v>
      </c>
      <c r="AF16" s="2673">
        <f t="shared" si="1"/>
        <v>1.55E-2</v>
      </c>
      <c r="AG16" s="2673">
        <f>ROUND(AVERAGE(K16:K$27)/100,4)</f>
        <v>2.5600000000000001E-2</v>
      </c>
      <c r="AH16" s="2673">
        <f>ROUND(AVERAGE(L16:L$27)/100,4)</f>
        <v>1.32E-2</v>
      </c>
      <c r="AJ16" s="3256">
        <f t="shared" si="8"/>
        <v>1.0531999999999999</v>
      </c>
    </row>
    <row r="17" spans="1:36">
      <c r="A17" s="2654" t="s">
        <v>970</v>
      </c>
      <c r="B17" s="2668">
        <f t="shared" ref="B17:C19" si="63">B16/(1+N16)</f>
        <v>374.90436113236416</v>
      </c>
      <c r="C17" s="2668">
        <f t="shared" si="63"/>
        <v>295.64366128242779</v>
      </c>
      <c r="D17" s="2668">
        <f t="shared" ref="D17:D76" si="64">C17</f>
        <v>295.64366128242779</v>
      </c>
      <c r="E17" s="2668">
        <f t="shared" ref="E17:F19" si="65">E16/(1+P16)</f>
        <v>525.06646410938095</v>
      </c>
      <c r="F17" s="2668">
        <f t="shared" si="65"/>
        <v>261.88835286009646</v>
      </c>
      <c r="G17" s="3517"/>
      <c r="H17" s="2658">
        <v>3</v>
      </c>
      <c r="I17" s="2658">
        <v>4.12</v>
      </c>
      <c r="J17" s="2658">
        <v>2</v>
      </c>
      <c r="K17" s="2658">
        <v>4.79</v>
      </c>
      <c r="L17" s="2669">
        <v>1.97</v>
      </c>
      <c r="N17" s="2663">
        <f t="shared" ref="N17:Q51" si="66">I17/100</f>
        <v>4.1200000000000001E-2</v>
      </c>
      <c r="O17" s="2664">
        <f t="shared" si="62"/>
        <v>0.02</v>
      </c>
      <c r="P17" s="2664">
        <f t="shared" si="62"/>
        <v>4.7899999999999998E-2</v>
      </c>
      <c r="Q17" s="2664">
        <f t="shared" si="62"/>
        <v>1.9699999999999999E-2</v>
      </c>
      <c r="R17" s="2665"/>
      <c r="S17" s="2663"/>
      <c r="T17" s="2664"/>
      <c r="U17" s="2664"/>
      <c r="V17" s="2664"/>
      <c r="X17" s="2753">
        <f>ROUND(SUMPRODUCT(PRODUCT(1+N17:N$26)),4)</f>
        <v>1.2184999999999999</v>
      </c>
      <c r="Y17" s="2753">
        <f>ROUND(SUMPRODUCT(PRODUCT(1+O17:O$26)),4)</f>
        <v>1.1494</v>
      </c>
      <c r="Z17" s="2753">
        <f t="shared" si="0"/>
        <v>1.1494</v>
      </c>
      <c r="AA17" s="2753">
        <f>ROUND(SUMPRODUCT(PRODUCT(1+P17:P$26)),4)</f>
        <v>1.2425999999999999</v>
      </c>
      <c r="AB17" s="2753">
        <f>ROUND(SUMPRODUCT(PRODUCT(1+Q17:Q$26)),4)</f>
        <v>1.1372</v>
      </c>
      <c r="AD17" s="2673">
        <f>ROUND(AVERAGE(I17:I$27)/100,4)</f>
        <v>2.0899999999999998E-2</v>
      </c>
      <c r="AE17" s="2673">
        <f>ROUND(AVERAGE(J17:J$27)/100,4)</f>
        <v>1.49E-2</v>
      </c>
      <c r="AF17" s="2673">
        <f t="shared" si="1"/>
        <v>1.49E-2</v>
      </c>
      <c r="AG17" s="2673">
        <f>ROUND(AVERAGE(K17:K$27)/100,4)</f>
        <v>2.3099999999999999E-2</v>
      </c>
      <c r="AH17" s="2673">
        <f>ROUND(AVERAGE(L17:L$27)/100,4)</f>
        <v>1.2999999999999999E-2</v>
      </c>
      <c r="AJ17" s="3256">
        <f t="shared" si="8"/>
        <v>1.0479000000000001</v>
      </c>
    </row>
    <row r="18" spans="1:36">
      <c r="A18" s="2654" t="s">
        <v>960</v>
      </c>
      <c r="B18" s="2668">
        <f t="shared" si="63"/>
        <v>360.06949782209392</v>
      </c>
      <c r="C18" s="2668">
        <f t="shared" si="63"/>
        <v>289.84672674747821</v>
      </c>
      <c r="D18" s="2668">
        <f t="shared" si="64"/>
        <v>289.84672674747821</v>
      </c>
      <c r="E18" s="2668">
        <f t="shared" si="65"/>
        <v>501.06543001181495</v>
      </c>
      <c r="F18" s="2668">
        <f t="shared" si="65"/>
        <v>256.82882500744967</v>
      </c>
      <c r="G18" s="3517"/>
      <c r="H18" s="2659">
        <v>2</v>
      </c>
      <c r="I18" s="2659">
        <v>3.85</v>
      </c>
      <c r="J18" s="2659">
        <v>1.95</v>
      </c>
      <c r="K18" s="2659">
        <v>4.4800000000000004</v>
      </c>
      <c r="L18" s="2670">
        <v>1.41</v>
      </c>
      <c r="N18" s="2663">
        <f t="shared" si="66"/>
        <v>3.85E-2</v>
      </c>
      <c r="O18" s="2664">
        <f t="shared" si="62"/>
        <v>1.95E-2</v>
      </c>
      <c r="P18" s="2664">
        <f t="shared" si="62"/>
        <v>4.4800000000000006E-2</v>
      </c>
      <c r="Q18" s="2664">
        <f t="shared" si="62"/>
        <v>1.41E-2</v>
      </c>
      <c r="R18" s="2665"/>
      <c r="S18" s="2663"/>
      <c r="T18" s="2664"/>
      <c r="U18" s="2664"/>
      <c r="V18" s="2664"/>
      <c r="X18" s="2753">
        <f>ROUND(SUMPRODUCT(PRODUCT(1+N18:N$26)),4)</f>
        <v>1.1702999999999999</v>
      </c>
      <c r="Y18" s="2753">
        <f>ROUND(SUMPRODUCT(PRODUCT(1+O18:O$26)),4)</f>
        <v>1.1269</v>
      </c>
      <c r="Z18" s="2753">
        <f t="shared" si="0"/>
        <v>1.1269</v>
      </c>
      <c r="AA18" s="2753">
        <f>ROUND(SUMPRODUCT(PRODUCT(1+P18:P$26)),4)</f>
        <v>1.1858</v>
      </c>
      <c r="AB18" s="2753">
        <f>ROUND(SUMPRODUCT(PRODUCT(1+Q18:Q$26)),4)</f>
        <v>1.1152</v>
      </c>
      <c r="AD18" s="2673">
        <f>ROUND(AVERAGE(I18:I$27)/100,4)</f>
        <v>1.89E-2</v>
      </c>
      <c r="AE18" s="2673">
        <f>ROUND(AVERAGE(J18:J$27)/100,4)</f>
        <v>1.44E-2</v>
      </c>
      <c r="AF18" s="2673">
        <f t="shared" si="1"/>
        <v>1.44E-2</v>
      </c>
      <c r="AG18" s="2673">
        <f>ROUND(AVERAGE(K18:K$27)/100,4)</f>
        <v>2.06E-2</v>
      </c>
      <c r="AH18" s="2673">
        <f>ROUND(AVERAGE(L18:L$27)/100,4)</f>
        <v>1.23E-2</v>
      </c>
      <c r="AJ18" s="3256">
        <f t="shared" si="8"/>
        <v>1.0448</v>
      </c>
    </row>
    <row r="19" spans="1:36" ht="13.5" thickBot="1">
      <c r="A19" s="2654" t="s">
        <v>969</v>
      </c>
      <c r="B19" s="2668">
        <f t="shared" si="63"/>
        <v>346.720748986128</v>
      </c>
      <c r="C19" s="2668">
        <f t="shared" si="63"/>
        <v>284.30282172386285</v>
      </c>
      <c r="D19" s="2668">
        <f t="shared" si="64"/>
        <v>284.30282172386285</v>
      </c>
      <c r="E19" s="2668">
        <f t="shared" si="65"/>
        <v>479.58023546306947</v>
      </c>
      <c r="F19" s="2668">
        <f t="shared" si="65"/>
        <v>253.25788877571213</v>
      </c>
      <c r="G19" s="3518"/>
      <c r="H19" s="2658">
        <v>1</v>
      </c>
      <c r="I19" s="2658">
        <v>4.09</v>
      </c>
      <c r="J19" s="2658">
        <v>2.93</v>
      </c>
      <c r="K19" s="2658">
        <v>4.54</v>
      </c>
      <c r="L19" s="2669">
        <v>1.48</v>
      </c>
      <c r="N19" s="2663">
        <f t="shared" si="66"/>
        <v>4.0899999999999999E-2</v>
      </c>
      <c r="O19" s="2664">
        <f t="shared" si="62"/>
        <v>2.9300000000000003E-2</v>
      </c>
      <c r="P19" s="2664">
        <f t="shared" si="62"/>
        <v>4.5400000000000003E-2</v>
      </c>
      <c r="Q19" s="2664">
        <f t="shared" si="62"/>
        <v>1.4800000000000001E-2</v>
      </c>
      <c r="R19" s="2665"/>
      <c r="S19" s="2671">
        <f>B19/B20-1</f>
        <v>4.1203450408792808E-2</v>
      </c>
      <c r="T19" s="2672">
        <f>C19/C20-1</f>
        <v>2.6363977342465095E-2</v>
      </c>
      <c r="U19" s="2672">
        <f>E19/E20-1</f>
        <v>4.4837114298626357E-2</v>
      </c>
      <c r="V19" s="2672">
        <f>F19/F20-1</f>
        <v>1.7099954922538574E-2</v>
      </c>
      <c r="X19" s="2753">
        <f>ROUND(SUMPRODUCT(PRODUCT(1+N19:N$26)),4)</f>
        <v>1.1269</v>
      </c>
      <c r="Y19" s="2753">
        <f>ROUND(SUMPRODUCT(PRODUCT(1+O19:O$26)),4)</f>
        <v>1.1052999999999999</v>
      </c>
      <c r="Z19" s="2753">
        <f t="shared" si="0"/>
        <v>1.1052999999999999</v>
      </c>
      <c r="AA19" s="2753">
        <f>ROUND(SUMPRODUCT(PRODUCT(1+P19:P$26)),4)</f>
        <v>1.1349</v>
      </c>
      <c r="AB19" s="2753">
        <f>ROUND(SUMPRODUCT(PRODUCT(1+Q19:Q$26)),4)</f>
        <v>1.0996999999999999</v>
      </c>
      <c r="AD19" s="2673">
        <f>ROUND(AVERAGE(I19:I$27)/100,4)</f>
        <v>1.67E-2</v>
      </c>
      <c r="AE19" s="2673">
        <f>ROUND(AVERAGE(J19:J$27)/100,4)</f>
        <v>1.38E-2</v>
      </c>
      <c r="AF19" s="2673">
        <f t="shared" si="1"/>
        <v>1.38E-2</v>
      </c>
      <c r="AG19" s="2673">
        <f>ROUND(AVERAGE(K19:K$27)/100,4)</f>
        <v>1.7899999999999999E-2</v>
      </c>
      <c r="AH19" s="2673">
        <f>ROUND(AVERAGE(L19:L$27)/100,4)</f>
        <v>1.21E-2</v>
      </c>
      <c r="AJ19" s="3256">
        <f t="shared" si="8"/>
        <v>1.0454000000000001</v>
      </c>
    </row>
    <row r="20" spans="1:36" ht="13.5" thickBot="1">
      <c r="A20" s="2654" t="s">
        <v>968</v>
      </c>
      <c r="B20" s="2660">
        <v>333</v>
      </c>
      <c r="C20" s="2660">
        <v>277</v>
      </c>
      <c r="D20" s="2660">
        <f t="shared" si="64"/>
        <v>277</v>
      </c>
      <c r="E20" s="2660">
        <v>459</v>
      </c>
      <c r="F20" s="2661">
        <v>249</v>
      </c>
      <c r="G20" s="3516">
        <v>2015</v>
      </c>
      <c r="H20" s="2674">
        <v>4</v>
      </c>
      <c r="I20" s="2674">
        <v>1.63</v>
      </c>
      <c r="J20" s="2674">
        <v>1.1100000000000001</v>
      </c>
      <c r="K20" s="2674">
        <v>1.77</v>
      </c>
      <c r="L20" s="2675">
        <v>1.89</v>
      </c>
      <c r="N20" s="2676">
        <f t="shared" si="66"/>
        <v>1.6299999999999999E-2</v>
      </c>
      <c r="O20" s="2677">
        <f t="shared" si="62"/>
        <v>1.11E-2</v>
      </c>
      <c r="P20" s="2677">
        <f t="shared" si="62"/>
        <v>1.77E-2</v>
      </c>
      <c r="Q20" s="2677">
        <f t="shared" si="62"/>
        <v>1.89E-2</v>
      </c>
      <c r="R20" s="2665"/>
      <c r="X20" s="2753">
        <f>ROUND(SUMPRODUCT(PRODUCT(1+N20:N$26)),4)</f>
        <v>1.0826</v>
      </c>
      <c r="Y20" s="2753">
        <f>ROUND(SUMPRODUCT(PRODUCT(1+O20:O$26)),4)</f>
        <v>1.0738000000000001</v>
      </c>
      <c r="Z20" s="2753">
        <f t="shared" si="0"/>
        <v>1.0738000000000001</v>
      </c>
      <c r="AA20" s="2753">
        <f>ROUND(SUMPRODUCT(PRODUCT(1+P20:P$26)),4)</f>
        <v>1.0855999999999999</v>
      </c>
      <c r="AB20" s="2753">
        <f>ROUND(SUMPRODUCT(PRODUCT(1+Q20:Q$26)),4)</f>
        <v>1.0837000000000001</v>
      </c>
      <c r="AD20" s="2673">
        <f>ROUND(AVERAGE(I20:I$27)/100,4)</f>
        <v>1.37E-2</v>
      </c>
      <c r="AE20" s="2673">
        <f>ROUND(AVERAGE(J20:J$27)/100,4)</f>
        <v>1.1900000000000001E-2</v>
      </c>
      <c r="AF20" s="2673">
        <f t="shared" si="1"/>
        <v>1.1900000000000001E-2</v>
      </c>
      <c r="AG20" s="2673">
        <f>ROUND(AVERAGE(K20:K$27)/100,4)</f>
        <v>1.4500000000000001E-2</v>
      </c>
      <c r="AH20" s="2673">
        <f>ROUND(AVERAGE(L20:L$27)/100,4)</f>
        <v>1.18E-2</v>
      </c>
      <c r="AJ20" s="3256">
        <f t="shared" si="8"/>
        <v>1.0177</v>
      </c>
    </row>
    <row r="21" spans="1:36">
      <c r="A21" s="2654" t="s">
        <v>967</v>
      </c>
      <c r="B21" s="2668">
        <f t="shared" ref="B21:C23" si="67">B20/(1+N20)</f>
        <v>327.65915576109415</v>
      </c>
      <c r="C21" s="2668">
        <f t="shared" si="67"/>
        <v>273.95905449510434</v>
      </c>
      <c r="D21" s="2668">
        <f t="shared" si="64"/>
        <v>273.95905449510434</v>
      </c>
      <c r="E21" s="2668">
        <f t="shared" ref="E21:F23" si="68">E20/(1+P20)</f>
        <v>451.01699911565294</v>
      </c>
      <c r="F21" s="2668">
        <f t="shared" si="68"/>
        <v>244.38119540681129</v>
      </c>
      <c r="G21" s="3517"/>
      <c r="H21" s="2679">
        <v>3</v>
      </c>
      <c r="I21" s="2679">
        <v>1.65</v>
      </c>
      <c r="J21" s="2679">
        <v>0.92</v>
      </c>
      <c r="K21" s="2679">
        <v>1.88</v>
      </c>
      <c r="L21" s="2680">
        <v>1.26</v>
      </c>
      <c r="N21" s="2663">
        <f t="shared" si="66"/>
        <v>1.6500000000000001E-2</v>
      </c>
      <c r="O21" s="2681">
        <f t="shared" si="62"/>
        <v>9.1999999999999998E-3</v>
      </c>
      <c r="P21" s="2681">
        <f t="shared" si="62"/>
        <v>1.8799999999999997E-2</v>
      </c>
      <c r="Q21" s="2681">
        <f t="shared" si="62"/>
        <v>1.26E-2</v>
      </c>
      <c r="R21" s="2665"/>
      <c r="S21" s="2663"/>
      <c r="T21" s="2664"/>
      <c r="U21" s="2664"/>
      <c r="V21" s="2664"/>
      <c r="X21" s="2753">
        <f>ROUND(SUMPRODUCT(PRODUCT(1+N21:N$26)),4)</f>
        <v>1.0651999999999999</v>
      </c>
      <c r="Y21" s="2753">
        <f>ROUND(SUMPRODUCT(PRODUCT(1+O21:O$26)),4)</f>
        <v>1.0621</v>
      </c>
      <c r="Z21" s="2753">
        <f t="shared" si="0"/>
        <v>1.0621</v>
      </c>
      <c r="AA21" s="2753">
        <f>ROUND(SUMPRODUCT(PRODUCT(1+P21:P$26)),4)</f>
        <v>1.0668</v>
      </c>
      <c r="AB21" s="2753">
        <f>ROUND(SUMPRODUCT(PRODUCT(1+Q21:Q$26)),4)</f>
        <v>1.0636000000000001</v>
      </c>
      <c r="AD21" s="2673">
        <f>ROUND(AVERAGE(I21:I$27)/100,4)</f>
        <v>1.3299999999999999E-2</v>
      </c>
      <c r="AE21" s="2673">
        <f>ROUND(AVERAGE(J21:J$27)/100,4)</f>
        <v>1.2E-2</v>
      </c>
      <c r="AF21" s="2673">
        <f t="shared" si="1"/>
        <v>1.2E-2</v>
      </c>
      <c r="AG21" s="2673">
        <f>ROUND(AVERAGE(K21:K$27)/100,4)</f>
        <v>1.4E-2</v>
      </c>
      <c r="AH21" s="2673">
        <f>ROUND(AVERAGE(L21:L$27)/100,4)</f>
        <v>1.0800000000000001E-2</v>
      </c>
      <c r="AJ21" s="3256">
        <f t="shared" si="8"/>
        <v>1.0187999999999999</v>
      </c>
    </row>
    <row r="22" spans="1:36">
      <c r="A22" s="2654" t="s">
        <v>966</v>
      </c>
      <c r="B22" s="2668">
        <f t="shared" si="67"/>
        <v>322.34053690220776</v>
      </c>
      <c r="C22" s="2668">
        <f t="shared" si="67"/>
        <v>271.46160770422546</v>
      </c>
      <c r="D22" s="2668">
        <f t="shared" si="64"/>
        <v>271.46160770422546</v>
      </c>
      <c r="E22" s="2668">
        <f t="shared" si="68"/>
        <v>442.69434542172456</v>
      </c>
      <c r="F22" s="2668">
        <f t="shared" si="68"/>
        <v>241.34030753190925</v>
      </c>
      <c r="G22" s="3517"/>
      <c r="H22" s="2659">
        <v>2</v>
      </c>
      <c r="I22" s="2659">
        <v>0.77</v>
      </c>
      <c r="J22" s="2659">
        <v>0.69</v>
      </c>
      <c r="K22" s="2659">
        <v>0.8</v>
      </c>
      <c r="L22" s="2670">
        <v>0.88</v>
      </c>
      <c r="N22" s="2663">
        <f t="shared" si="66"/>
        <v>7.7000000000000002E-3</v>
      </c>
      <c r="O22" s="2681">
        <f t="shared" si="62"/>
        <v>6.8999999999999999E-3</v>
      </c>
      <c r="P22" s="2681">
        <f t="shared" si="62"/>
        <v>8.0000000000000002E-3</v>
      </c>
      <c r="Q22" s="2681">
        <f t="shared" si="62"/>
        <v>8.8000000000000005E-3</v>
      </c>
      <c r="R22" s="2665"/>
      <c r="S22" s="2663"/>
      <c r="T22" s="2664"/>
      <c r="U22" s="2664"/>
      <c r="V22" s="2664"/>
      <c r="X22" s="2753">
        <f>ROUND(SUMPRODUCT(PRODUCT(1+N22:N$26)),4)</f>
        <v>1.048</v>
      </c>
      <c r="Y22" s="2753">
        <f>ROUND(SUMPRODUCT(PRODUCT(1+O22:O$26)),4)</f>
        <v>1.0524</v>
      </c>
      <c r="Z22" s="2753">
        <f t="shared" si="0"/>
        <v>1.0524</v>
      </c>
      <c r="AA22" s="2753">
        <f>ROUND(SUMPRODUCT(PRODUCT(1+P22:P$26)),4)</f>
        <v>1.0470999999999999</v>
      </c>
      <c r="AB22" s="2753">
        <f>ROUND(SUMPRODUCT(PRODUCT(1+Q22:Q$26)),4)</f>
        <v>1.0504</v>
      </c>
      <c r="AD22" s="2673">
        <f>ROUND(AVERAGE(I22:I$27)/100,4)</f>
        <v>1.2800000000000001E-2</v>
      </c>
      <c r="AE22" s="2673">
        <f>ROUND(AVERAGE(J22:J$27)/100,4)</f>
        <v>1.2500000000000001E-2</v>
      </c>
      <c r="AF22" s="2673">
        <f t="shared" si="1"/>
        <v>1.2500000000000001E-2</v>
      </c>
      <c r="AG22" s="2673">
        <f>ROUND(AVERAGE(K22:K$27)/100,4)</f>
        <v>1.32E-2</v>
      </c>
      <c r="AH22" s="2673">
        <f>ROUND(AVERAGE(L22:L$27)/100,4)</f>
        <v>1.0500000000000001E-2</v>
      </c>
      <c r="AJ22" s="3256">
        <f t="shared" si="8"/>
        <v>1.008</v>
      </c>
    </row>
    <row r="23" spans="1:36">
      <c r="A23" s="2654" t="s">
        <v>965</v>
      </c>
      <c r="B23" s="2668">
        <f t="shared" si="67"/>
        <v>319.87748030386797</v>
      </c>
      <c r="C23" s="2668">
        <f t="shared" si="67"/>
        <v>269.60135833173649</v>
      </c>
      <c r="D23" s="2668">
        <f t="shared" si="64"/>
        <v>269.60135833173649</v>
      </c>
      <c r="E23" s="2668">
        <f t="shared" si="68"/>
        <v>439.18089823583784</v>
      </c>
      <c r="F23" s="2668">
        <f t="shared" si="68"/>
        <v>239.23503918706311</v>
      </c>
      <c r="G23" s="3518"/>
      <c r="H23" s="2658">
        <v>1</v>
      </c>
      <c r="I23" s="2658">
        <v>0.51</v>
      </c>
      <c r="J23" s="2658">
        <v>0.54</v>
      </c>
      <c r="K23" s="2658">
        <v>0.48</v>
      </c>
      <c r="L23" s="2669">
        <v>0.93</v>
      </c>
      <c r="N23" s="2671">
        <f t="shared" si="66"/>
        <v>5.1000000000000004E-3</v>
      </c>
      <c r="O23" s="2672">
        <f t="shared" si="62"/>
        <v>5.4000000000000003E-3</v>
      </c>
      <c r="P23" s="2672">
        <f t="shared" si="62"/>
        <v>4.7999999999999996E-3</v>
      </c>
      <c r="Q23" s="2672">
        <f t="shared" si="62"/>
        <v>9.300000000000001E-3</v>
      </c>
      <c r="R23" s="2665"/>
      <c r="S23" s="2671">
        <f>B23/B24-1</f>
        <v>5.9040261127922822E-3</v>
      </c>
      <c r="T23" s="2672">
        <f>C23/C24-1</f>
        <v>5.9752176557332781E-3</v>
      </c>
      <c r="U23" s="2672">
        <f>E23/E24-1</f>
        <v>4.9906138119859556E-3</v>
      </c>
      <c r="V23" s="2672">
        <f>F23/F24-1</f>
        <v>9.4305450930933787E-3</v>
      </c>
      <c r="X23" s="2753">
        <f>ROUND(SUMPRODUCT(PRODUCT(1+N23:N$26)),4)</f>
        <v>1.0399</v>
      </c>
      <c r="Y23" s="2753">
        <f>ROUND(SUMPRODUCT(PRODUCT(1+O23:O$26)),4)</f>
        <v>1.0451999999999999</v>
      </c>
      <c r="Z23" s="2753">
        <f t="shared" si="0"/>
        <v>1.0451999999999999</v>
      </c>
      <c r="AA23" s="2753">
        <f>ROUND(SUMPRODUCT(PRODUCT(1+P23:P$26)),4)</f>
        <v>1.0387999999999999</v>
      </c>
      <c r="AB23" s="2753">
        <f>ROUND(SUMPRODUCT(PRODUCT(1+Q23:Q$26)),4)</f>
        <v>1.0411999999999999</v>
      </c>
      <c r="AD23" s="2673">
        <f>ROUND(AVERAGE(I23:I$27)/100,4)</f>
        <v>1.38E-2</v>
      </c>
      <c r="AE23" s="2673">
        <f>ROUND(AVERAGE(J23:J$27)/100,4)</f>
        <v>1.3599999999999999E-2</v>
      </c>
      <c r="AF23" s="2673">
        <f t="shared" si="1"/>
        <v>1.3599999999999999E-2</v>
      </c>
      <c r="AG23" s="2673">
        <f>ROUND(AVERAGE(K23:K$27)/100,4)</f>
        <v>1.4200000000000001E-2</v>
      </c>
      <c r="AH23" s="2673">
        <f>ROUND(AVERAGE(L23:L$27)/100,4)</f>
        <v>1.0800000000000001E-2</v>
      </c>
      <c r="AJ23" s="3256">
        <f t="shared" si="8"/>
        <v>1.0047999999999999</v>
      </c>
    </row>
    <row r="24" spans="1:36" ht="13.5" thickBot="1">
      <c r="A24" s="2654" t="s">
        <v>964</v>
      </c>
      <c r="B24" s="2682">
        <v>318</v>
      </c>
      <c r="C24" s="2682">
        <v>268</v>
      </c>
      <c r="D24" s="2682">
        <f t="shared" si="64"/>
        <v>268</v>
      </c>
      <c r="E24" s="2682">
        <v>437</v>
      </c>
      <c r="F24" s="2683">
        <v>237</v>
      </c>
      <c r="G24" s="3516">
        <v>2014</v>
      </c>
      <c r="H24" s="2674">
        <v>4</v>
      </c>
      <c r="I24" s="2674">
        <v>0.21</v>
      </c>
      <c r="J24" s="2674">
        <v>0.41</v>
      </c>
      <c r="K24" s="2674">
        <v>0.12</v>
      </c>
      <c r="L24" s="2675">
        <v>0.89</v>
      </c>
      <c r="N24" s="2663">
        <f t="shared" si="66"/>
        <v>2.0999999999999999E-3</v>
      </c>
      <c r="O24" s="2664">
        <f t="shared" si="62"/>
        <v>4.0999999999999995E-3</v>
      </c>
      <c r="P24" s="2664">
        <f t="shared" si="62"/>
        <v>1.1999999999999999E-3</v>
      </c>
      <c r="Q24" s="2664">
        <f t="shared" si="62"/>
        <v>8.8999999999999999E-3</v>
      </c>
      <c r="R24" s="2665"/>
      <c r="S24" s="2666"/>
      <c r="T24" s="2667"/>
      <c r="U24" s="2667"/>
      <c r="V24" s="2667"/>
      <c r="X24" s="2753">
        <f>ROUND(SUMPRODUCT(PRODUCT(1+N24:N$26)),4)</f>
        <v>1.0347</v>
      </c>
      <c r="Y24" s="2753">
        <f>ROUND(SUMPRODUCT(PRODUCT(1+O24:O$26)),4)</f>
        <v>1.0395000000000001</v>
      </c>
      <c r="Z24" s="2753">
        <f t="shared" si="0"/>
        <v>1.0395000000000001</v>
      </c>
      <c r="AA24" s="2753">
        <f>ROUND(SUMPRODUCT(PRODUCT(1+P24:P$26)),4)</f>
        <v>1.0338000000000001</v>
      </c>
      <c r="AB24" s="2753">
        <f>ROUND(SUMPRODUCT(PRODUCT(1+Q24:Q$26)),4)</f>
        <v>1.0316000000000001</v>
      </c>
      <c r="AD24" s="2673">
        <f>ROUND(AVERAGE(I24:I$27)/100,4)</f>
        <v>1.6E-2</v>
      </c>
      <c r="AE24" s="2673">
        <f>ROUND(AVERAGE(J24:J$27)/100,4)</f>
        <v>1.5599999999999999E-2</v>
      </c>
      <c r="AF24" s="2673">
        <f t="shared" si="1"/>
        <v>1.5599999999999999E-2</v>
      </c>
      <c r="AG24" s="2673">
        <f>ROUND(AVERAGE(K24:K$27)/100,4)</f>
        <v>1.66E-2</v>
      </c>
      <c r="AH24" s="2673">
        <f>ROUND(AVERAGE(L24:L$27)/100,4)</f>
        <v>1.12E-2</v>
      </c>
      <c r="AJ24" s="3256">
        <f t="shared" si="8"/>
        <v>1.0012000000000001</v>
      </c>
    </row>
    <row r="25" spans="1:36">
      <c r="A25" s="2654" t="s">
        <v>963</v>
      </c>
      <c r="B25" s="2668">
        <f t="shared" ref="B25:C27" si="69">B24/(1+N24)</f>
        <v>317.33359944117353</v>
      </c>
      <c r="C25" s="2668">
        <f t="shared" si="69"/>
        <v>266.90568668459315</v>
      </c>
      <c r="D25" s="2668">
        <f t="shared" si="64"/>
        <v>266.90568668459315</v>
      </c>
      <c r="E25" s="2668">
        <f t="shared" ref="E25:F27" si="70">E24/(1+P24)</f>
        <v>436.47622852576905</v>
      </c>
      <c r="F25" s="2668">
        <f t="shared" si="70"/>
        <v>234.90930716622066</v>
      </c>
      <c r="G25" s="3517"/>
      <c r="H25" s="2684">
        <v>3</v>
      </c>
      <c r="I25" s="2684">
        <v>0.83</v>
      </c>
      <c r="J25" s="2684">
        <v>1.47</v>
      </c>
      <c r="K25" s="2684">
        <v>0.65</v>
      </c>
      <c r="L25" s="2685">
        <v>0.72</v>
      </c>
      <c r="N25" s="2663">
        <f t="shared" si="66"/>
        <v>8.3000000000000001E-3</v>
      </c>
      <c r="O25" s="2664">
        <f t="shared" si="62"/>
        <v>1.47E-2</v>
      </c>
      <c r="P25" s="2664">
        <f t="shared" si="62"/>
        <v>6.5000000000000006E-3</v>
      </c>
      <c r="Q25" s="2664">
        <f t="shared" si="62"/>
        <v>7.1999999999999998E-3</v>
      </c>
      <c r="R25" s="2665"/>
      <c r="S25" s="2663"/>
      <c r="T25" s="2664"/>
      <c r="U25" s="2664"/>
      <c r="V25" s="2664"/>
      <c r="X25" s="2753">
        <f>ROUND(SUMPRODUCT(PRODUCT(1+N25:N$26)),4)</f>
        <v>1.0325</v>
      </c>
      <c r="Y25" s="2753">
        <f>ROUND(SUMPRODUCT(PRODUCT(1+O25:O$26)),4)</f>
        <v>1.0353000000000001</v>
      </c>
      <c r="Z25" s="2753">
        <f t="shared" ref="Z25:Z26" si="71">Y25</f>
        <v>1.0353000000000001</v>
      </c>
      <c r="AA25" s="2753">
        <f>ROUND(SUMPRODUCT(PRODUCT(1+P25:P$26)),4)</f>
        <v>1.0326</v>
      </c>
      <c r="AB25" s="2753">
        <f>ROUND(SUMPRODUCT(PRODUCT(1+Q25:Q$26)),4)</f>
        <v>1.0225</v>
      </c>
      <c r="AD25" s="2673">
        <f>ROUND(AVERAGE(I25:I$27)/100,4)</f>
        <v>2.07E-2</v>
      </c>
      <c r="AE25" s="2673">
        <f>ROUND(AVERAGE(J25:J$27)/100,4)</f>
        <v>1.95E-2</v>
      </c>
      <c r="AF25" s="2673">
        <f t="shared" si="1"/>
        <v>1.95E-2</v>
      </c>
      <c r="AG25" s="2673">
        <f>ROUND(AVERAGE(K25:K$27)/100,4)</f>
        <v>2.1700000000000001E-2</v>
      </c>
      <c r="AH25" s="2673">
        <f>ROUND(AVERAGE(L25:L$27)/100,4)</f>
        <v>1.2E-2</v>
      </c>
      <c r="AJ25" s="3256">
        <f t="shared" si="8"/>
        <v>1.0065</v>
      </c>
    </row>
    <row r="26" spans="1:36" ht="13.5" thickBot="1">
      <c r="A26" s="2654" t="s">
        <v>962</v>
      </c>
      <c r="B26" s="2668">
        <f t="shared" si="69"/>
        <v>314.72141172386546</v>
      </c>
      <c r="C26" s="2668">
        <f t="shared" si="69"/>
        <v>263.03901319069001</v>
      </c>
      <c r="D26" s="2668">
        <f t="shared" si="64"/>
        <v>263.03901319069001</v>
      </c>
      <c r="E26" s="2668">
        <f t="shared" si="70"/>
        <v>433.65745506782821</v>
      </c>
      <c r="F26" s="2668">
        <f t="shared" si="70"/>
        <v>233.23005080045735</v>
      </c>
      <c r="G26" s="3517"/>
      <c r="H26" s="2674">
        <v>2</v>
      </c>
      <c r="I26" s="2674">
        <v>2.4</v>
      </c>
      <c r="J26" s="2674">
        <v>2.0299999999999998</v>
      </c>
      <c r="K26" s="2674">
        <v>2.59</v>
      </c>
      <c r="L26" s="2675">
        <v>1.52</v>
      </c>
      <c r="N26" s="2663">
        <f t="shared" si="66"/>
        <v>2.4E-2</v>
      </c>
      <c r="O26" s="2664">
        <f t="shared" si="62"/>
        <v>2.0299999999999999E-2</v>
      </c>
      <c r="P26" s="2664">
        <f t="shared" si="62"/>
        <v>2.5899999999999999E-2</v>
      </c>
      <c r="Q26" s="2664">
        <f t="shared" si="62"/>
        <v>1.52E-2</v>
      </c>
      <c r="R26" s="2665"/>
      <c r="S26" s="2663"/>
      <c r="T26" s="2664"/>
      <c r="U26" s="2664"/>
      <c r="V26" s="2664"/>
      <c r="X26" s="2753">
        <f>1+N26</f>
        <v>1.024</v>
      </c>
      <c r="Y26" s="2753">
        <f>1+O26</f>
        <v>1.0203</v>
      </c>
      <c r="Z26" s="2753">
        <f t="shared" si="71"/>
        <v>1.0203</v>
      </c>
      <c r="AA26" s="2753">
        <f>1+P26</f>
        <v>1.0259</v>
      </c>
      <c r="AB26" s="2753">
        <f>1+Q26</f>
        <v>1.0152000000000001</v>
      </c>
      <c r="AD26" s="2673">
        <f>ROUND(AVERAGE(I26:I$27)/100,4)</f>
        <v>2.69E-2</v>
      </c>
      <c r="AE26" s="2673">
        <f>ROUND(AVERAGE(J26:J$27)/100,4)</f>
        <v>2.1899999999999999E-2</v>
      </c>
      <c r="AF26" s="2673">
        <f t="shared" ref="AF26" si="72">AE26</f>
        <v>2.1899999999999999E-2</v>
      </c>
      <c r="AG26" s="2673">
        <f>ROUND(AVERAGE(K26:K$27)/100,4)</f>
        <v>2.9399999999999999E-2</v>
      </c>
      <c r="AH26" s="2673">
        <f>ROUND(AVERAGE(L26:L$27)/100,4)</f>
        <v>1.44E-2</v>
      </c>
      <c r="AJ26" s="3256">
        <f t="shared" si="8"/>
        <v>1.0259</v>
      </c>
    </row>
    <row r="27" spans="1:36" s="2690" customFormat="1" ht="13.5" thickBot="1">
      <c r="A27" s="2686" t="s">
        <v>961</v>
      </c>
      <c r="B27" s="2687">
        <f t="shared" si="69"/>
        <v>307.34512863658733</v>
      </c>
      <c r="C27" s="2687">
        <f t="shared" si="69"/>
        <v>257.80556031626975</v>
      </c>
      <c r="D27" s="2687">
        <f t="shared" si="64"/>
        <v>257.80556031626975</v>
      </c>
      <c r="E27" s="2687">
        <f t="shared" si="70"/>
        <v>422.70928459677179</v>
      </c>
      <c r="F27" s="2687">
        <f t="shared" si="70"/>
        <v>229.73803270336617</v>
      </c>
      <c r="G27" s="3518"/>
      <c r="H27" s="2688">
        <v>1</v>
      </c>
      <c r="I27" s="2688">
        <v>2.97</v>
      </c>
      <c r="J27" s="2688">
        <v>2.34</v>
      </c>
      <c r="K27" s="2688">
        <v>3.28</v>
      </c>
      <c r="L27" s="2689">
        <v>1.36</v>
      </c>
      <c r="N27" s="2691">
        <f t="shared" si="66"/>
        <v>2.9700000000000001E-2</v>
      </c>
      <c r="O27" s="2692">
        <f t="shared" si="62"/>
        <v>2.3399999999999997E-2</v>
      </c>
      <c r="P27" s="2692">
        <f t="shared" si="62"/>
        <v>3.2799999999999996E-2</v>
      </c>
      <c r="Q27" s="2692">
        <f t="shared" si="62"/>
        <v>1.3600000000000001E-2</v>
      </c>
      <c r="R27" s="2693"/>
      <c r="S27" s="2694">
        <f>B27/B28-1</f>
        <v>2.7910129219355539E-2</v>
      </c>
      <c r="T27" s="2695">
        <f>C27/C28-1</f>
        <v>2.3037937762975247E-2</v>
      </c>
      <c r="U27" s="2695">
        <f>E27/E28-1</f>
        <v>3.3519033243940788E-2</v>
      </c>
      <c r="V27" s="2695">
        <f>F27/F28-1</f>
        <v>1.2061818076502862E-2</v>
      </c>
      <c r="W27" s="2761" t="s">
        <v>2643</v>
      </c>
      <c r="X27" s="2763">
        <v>1</v>
      </c>
      <c r="Y27" s="2763">
        <v>1</v>
      </c>
      <c r="Z27" s="2763">
        <v>1</v>
      </c>
      <c r="AA27" s="2763">
        <v>1</v>
      </c>
      <c r="AB27" s="2763">
        <v>1</v>
      </c>
      <c r="AD27" s="3006">
        <f>I27/100</f>
        <v>2.9700000000000001E-2</v>
      </c>
      <c r="AE27" s="3006">
        <f>J27/100</f>
        <v>2.3399999999999997E-2</v>
      </c>
      <c r="AF27" s="3006">
        <f>AE27</f>
        <v>2.3399999999999997E-2</v>
      </c>
      <c r="AG27" s="3006">
        <f>K27/100</f>
        <v>3.2799999999999996E-2</v>
      </c>
      <c r="AH27" s="3006">
        <f>L27/100</f>
        <v>1.3600000000000001E-2</v>
      </c>
      <c r="AJ27" s="3256">
        <f t="shared" si="8"/>
        <v>1.0327999999999999</v>
      </c>
    </row>
    <row r="28" spans="1:36" ht="13.5" thickBot="1">
      <c r="A28" s="2654" t="s">
        <v>2586</v>
      </c>
      <c r="B28" s="2660">
        <v>299</v>
      </c>
      <c r="C28" s="2660">
        <v>252</v>
      </c>
      <c r="D28" s="2660">
        <f t="shared" si="64"/>
        <v>252</v>
      </c>
      <c r="E28" s="2660">
        <v>409</v>
      </c>
      <c r="F28" s="2661">
        <v>227</v>
      </c>
      <c r="G28" s="3523">
        <v>2013</v>
      </c>
      <c r="H28" s="2696">
        <v>4</v>
      </c>
      <c r="I28" s="2696">
        <v>1.83</v>
      </c>
      <c r="J28" s="2696">
        <v>1.68</v>
      </c>
      <c r="K28" s="2696">
        <v>1.97</v>
      </c>
      <c r="L28" s="2697">
        <v>0.87</v>
      </c>
      <c r="N28" s="2676">
        <f t="shared" si="66"/>
        <v>1.83E-2</v>
      </c>
      <c r="O28" s="2677">
        <f t="shared" si="62"/>
        <v>1.6799999999999999E-2</v>
      </c>
      <c r="P28" s="2677">
        <f t="shared" si="62"/>
        <v>1.9699999999999999E-2</v>
      </c>
      <c r="Q28" s="2677">
        <f t="shared" si="62"/>
        <v>8.6999999999999994E-3</v>
      </c>
      <c r="R28" s="2665"/>
      <c r="S28" s="2666"/>
      <c r="T28" s="2667"/>
      <c r="U28" s="2667"/>
      <c r="V28" s="2667"/>
      <c r="X28" s="2667"/>
      <c r="Y28" s="2667"/>
      <c r="Z28" s="2667"/>
    </row>
    <row r="29" spans="1:36">
      <c r="A29" s="2654" t="s">
        <v>2587</v>
      </c>
      <c r="B29" s="2668">
        <f t="shared" ref="B29:C31" si="73">B28/(1+N28)</f>
        <v>293.62663262299913</v>
      </c>
      <c r="C29" s="2668">
        <f t="shared" si="73"/>
        <v>247.83634933123525</v>
      </c>
      <c r="D29" s="2668">
        <f t="shared" si="64"/>
        <v>247.83634933123525</v>
      </c>
      <c r="E29" s="2668">
        <f t="shared" ref="E29:F31" si="74">E28/(1+P28)</f>
        <v>401.09836226341076</v>
      </c>
      <c r="F29" s="2668">
        <f t="shared" si="74"/>
        <v>225.04213343908003</v>
      </c>
      <c r="G29" s="3524"/>
      <c r="H29" s="2679">
        <v>3</v>
      </c>
      <c r="I29" s="2679">
        <v>1.86</v>
      </c>
      <c r="J29" s="2679">
        <v>1.72</v>
      </c>
      <c r="K29" s="2679">
        <v>1.98</v>
      </c>
      <c r="L29" s="2680">
        <v>0.88</v>
      </c>
      <c r="N29" s="2663">
        <f t="shared" si="66"/>
        <v>1.8600000000000002E-2</v>
      </c>
      <c r="O29" s="2681">
        <f t="shared" si="62"/>
        <v>1.72E-2</v>
      </c>
      <c r="P29" s="2681">
        <f t="shared" si="62"/>
        <v>1.9799999999999998E-2</v>
      </c>
      <c r="Q29" s="2681">
        <f t="shared" si="62"/>
        <v>8.8000000000000005E-3</v>
      </c>
      <c r="R29" s="2665"/>
      <c r="S29" s="2663"/>
      <c r="T29" s="2664"/>
      <c r="U29" s="2664"/>
      <c r="V29" s="2664"/>
      <c r="AJ29" s="3257">
        <f>AJ27*AJ26*AJ25*AJ24*AJ23*AJ22*AJ21*AJ20*AJ19*AJ18*AJ17*AJ16*AJ15*AJ14*AJ13*AJ12*AJ11*AJ10*AJ9*AJ8*AJ7*AJ6</f>
        <v>1.6563468682185492</v>
      </c>
    </row>
    <row r="30" spans="1:36">
      <c r="A30" s="2654" t="s">
        <v>2588</v>
      </c>
      <c r="B30" s="2668">
        <f t="shared" si="73"/>
        <v>288.2649053828776</v>
      </c>
      <c r="C30" s="2668">
        <f t="shared" si="73"/>
        <v>243.64564425013293</v>
      </c>
      <c r="D30" s="2668">
        <f t="shared" si="64"/>
        <v>243.64564425013293</v>
      </c>
      <c r="E30" s="2668">
        <f t="shared" si="74"/>
        <v>393.31080825986544</v>
      </c>
      <c r="F30" s="2668">
        <f t="shared" si="74"/>
        <v>223.07903790551154</v>
      </c>
      <c r="G30" s="3524"/>
      <c r="H30" s="2659">
        <v>2</v>
      </c>
      <c r="I30" s="2659">
        <v>2.04</v>
      </c>
      <c r="J30" s="2659">
        <v>2.33</v>
      </c>
      <c r="K30" s="2659">
        <v>2.0699999999999998</v>
      </c>
      <c r="L30" s="2670">
        <v>0.69</v>
      </c>
      <c r="N30" s="2663">
        <f t="shared" si="66"/>
        <v>2.0400000000000001E-2</v>
      </c>
      <c r="O30" s="2681">
        <f t="shared" si="62"/>
        <v>2.3300000000000001E-2</v>
      </c>
      <c r="P30" s="2681">
        <f t="shared" si="62"/>
        <v>2.07E-2</v>
      </c>
      <c r="Q30" s="2681">
        <f t="shared" si="62"/>
        <v>6.8999999999999999E-3</v>
      </c>
      <c r="R30" s="2665"/>
      <c r="S30" s="2663"/>
      <c r="T30" s="2664"/>
      <c r="U30" s="2664"/>
      <c r="V30" s="2664"/>
      <c r="X30" s="2764"/>
      <c r="Y30" s="2766"/>
    </row>
    <row r="31" spans="1:36">
      <c r="A31" s="2654" t="s">
        <v>2589</v>
      </c>
      <c r="B31" s="2668">
        <f t="shared" si="73"/>
        <v>282.50186729015837</v>
      </c>
      <c r="C31" s="2668">
        <f t="shared" si="73"/>
        <v>238.09796174155468</v>
      </c>
      <c r="D31" s="2668">
        <f t="shared" si="64"/>
        <v>238.09796174155468</v>
      </c>
      <c r="E31" s="2668">
        <f t="shared" si="74"/>
        <v>385.33438646014054</v>
      </c>
      <c r="F31" s="2668">
        <f t="shared" si="74"/>
        <v>221.55034055567739</v>
      </c>
      <c r="G31" s="3525"/>
      <c r="H31" s="2658">
        <v>1</v>
      </c>
      <c r="I31" s="2658">
        <v>1.67</v>
      </c>
      <c r="J31" s="2658">
        <v>1.31</v>
      </c>
      <c r="K31" s="2658">
        <v>1.85</v>
      </c>
      <c r="L31" s="2669">
        <v>0.96</v>
      </c>
      <c r="N31" s="2671">
        <f t="shared" si="66"/>
        <v>1.67E-2</v>
      </c>
      <c r="O31" s="2672">
        <f t="shared" si="62"/>
        <v>1.3100000000000001E-2</v>
      </c>
      <c r="P31" s="2672">
        <f t="shared" si="62"/>
        <v>1.8500000000000003E-2</v>
      </c>
      <c r="Q31" s="2672">
        <f t="shared" si="62"/>
        <v>9.5999999999999992E-3</v>
      </c>
      <c r="R31" s="2665"/>
      <c r="S31" s="2671">
        <f>B31/B32-1</f>
        <v>1.6193767230785472E-2</v>
      </c>
      <c r="T31" s="2672">
        <f>C31/C32-1</f>
        <v>1.7512657015190891E-2</v>
      </c>
      <c r="U31" s="2672">
        <f>E31/E32-1</f>
        <v>1.6713420739157048E-2</v>
      </c>
      <c r="V31" s="2672">
        <f>F31/F32-1</f>
        <v>7.0470025258062563E-3</v>
      </c>
      <c r="X31" s="2765"/>
      <c r="Y31" s="2673"/>
      <c r="Z31" s="2673"/>
    </row>
    <row r="32" spans="1:36" ht="13.5" thickBot="1">
      <c r="A32" s="2654" t="s">
        <v>2590</v>
      </c>
      <c r="B32" s="2698">
        <v>278</v>
      </c>
      <c r="C32" s="2698">
        <v>234</v>
      </c>
      <c r="D32" s="2698">
        <f t="shared" si="64"/>
        <v>234</v>
      </c>
      <c r="E32" s="2698">
        <v>379</v>
      </c>
      <c r="F32" s="2699">
        <v>220</v>
      </c>
      <c r="G32" s="3516">
        <v>2012</v>
      </c>
      <c r="H32" s="2674">
        <v>4</v>
      </c>
      <c r="I32" s="2674">
        <v>0.91</v>
      </c>
      <c r="J32" s="2674">
        <v>0.68</v>
      </c>
      <c r="K32" s="2674">
        <v>0.98</v>
      </c>
      <c r="L32" s="2675">
        <v>0.9</v>
      </c>
      <c r="N32" s="2663">
        <f t="shared" si="66"/>
        <v>9.1000000000000004E-3</v>
      </c>
      <c r="O32" s="2664">
        <f t="shared" si="66"/>
        <v>6.8000000000000005E-3</v>
      </c>
      <c r="P32" s="2664">
        <f t="shared" si="66"/>
        <v>9.7999999999999997E-3</v>
      </c>
      <c r="Q32" s="2664">
        <f t="shared" si="66"/>
        <v>9.0000000000000011E-3</v>
      </c>
      <c r="R32" s="2665"/>
      <c r="S32" s="2666"/>
      <c r="T32" s="2667"/>
      <c r="U32" s="2667"/>
      <c r="V32" s="2667"/>
      <c r="X32" s="2667"/>
      <c r="Y32" s="2667"/>
      <c r="Z32" s="2667"/>
    </row>
    <row r="33" spans="1:26">
      <c r="A33" s="2654" t="s">
        <v>2591</v>
      </c>
      <c r="B33" s="2668">
        <f>B32/(1+N32)</f>
        <v>275.49301357645425</v>
      </c>
      <c r="C33" s="2668">
        <f>C32/(1+O32)</f>
        <v>232.41954707985698</v>
      </c>
      <c r="D33" s="2668">
        <f t="shared" si="64"/>
        <v>232.41954707985698</v>
      </c>
      <c r="E33" s="2668">
        <f t="shared" ref="E33:F35" si="75">E32/(1+P32)</f>
        <v>375.32184591008121</v>
      </c>
      <c r="F33" s="2668">
        <f t="shared" si="75"/>
        <v>218.03766105054513</v>
      </c>
      <c r="G33" s="3517"/>
      <c r="H33" s="2679">
        <v>3</v>
      </c>
      <c r="I33" s="2679">
        <v>0.09</v>
      </c>
      <c r="J33" s="2679">
        <v>0.28999999999999998</v>
      </c>
      <c r="K33" s="2679">
        <v>-0.01</v>
      </c>
      <c r="L33" s="2680">
        <v>0.57999999999999996</v>
      </c>
      <c r="N33" s="2663">
        <f t="shared" si="66"/>
        <v>8.9999999999999998E-4</v>
      </c>
      <c r="O33" s="2664">
        <f t="shared" si="66"/>
        <v>2.8999999999999998E-3</v>
      </c>
      <c r="P33" s="2664">
        <f t="shared" si="66"/>
        <v>-1E-4</v>
      </c>
      <c r="Q33" s="2664">
        <f t="shared" si="66"/>
        <v>5.7999999999999996E-3</v>
      </c>
      <c r="R33" s="2665"/>
      <c r="S33" s="2663"/>
      <c r="T33" s="2664"/>
      <c r="U33" s="2664"/>
      <c r="V33" s="2664"/>
    </row>
    <row r="34" spans="1:26">
      <c r="A34" s="2654" t="s">
        <v>2592</v>
      </c>
      <c r="B34" s="2668">
        <f>B33/(1+N33)</f>
        <v>275.24529281292263</v>
      </c>
      <c r="C34" s="2668">
        <f>C33/(1+O33)</f>
        <v>231.74747938962707</v>
      </c>
      <c r="D34" s="2668">
        <f t="shared" si="64"/>
        <v>231.74747938962707</v>
      </c>
      <c r="E34" s="2668">
        <f t="shared" si="75"/>
        <v>375.35938184826603</v>
      </c>
      <c r="F34" s="2668">
        <f t="shared" si="75"/>
        <v>216.78033510692495</v>
      </c>
      <c r="G34" s="3517"/>
      <c r="H34" s="2659">
        <v>2</v>
      </c>
      <c r="I34" s="2659">
        <v>0.02</v>
      </c>
      <c r="J34" s="2659">
        <v>0.12</v>
      </c>
      <c r="K34" s="2659">
        <v>-0.08</v>
      </c>
      <c r="L34" s="2670">
        <v>1.24</v>
      </c>
      <c r="N34" s="2663">
        <f t="shared" si="66"/>
        <v>2.0000000000000001E-4</v>
      </c>
      <c r="O34" s="2664">
        <f t="shared" si="66"/>
        <v>1.1999999999999999E-3</v>
      </c>
      <c r="P34" s="2664">
        <f t="shared" si="66"/>
        <v>-8.0000000000000004E-4</v>
      </c>
      <c r="Q34" s="2664">
        <f t="shared" si="66"/>
        <v>1.24E-2</v>
      </c>
      <c r="R34" s="2665"/>
      <c r="S34" s="2663"/>
      <c r="T34" s="2664"/>
      <c r="U34" s="2664"/>
      <c r="V34" s="2664"/>
    </row>
    <row r="35" spans="1:26" ht="13.5" thickBot="1">
      <c r="A35" s="2654" t="s">
        <v>2593</v>
      </c>
      <c r="B35" s="2668">
        <f>B34/(1+N34)</f>
        <v>275.19025476197027</v>
      </c>
      <c r="C35" s="2700">
        <v>232</v>
      </c>
      <c r="D35" s="2700">
        <f t="shared" si="64"/>
        <v>232</v>
      </c>
      <c r="E35" s="2668">
        <f t="shared" si="75"/>
        <v>375.65990977608692</v>
      </c>
      <c r="F35" s="2668">
        <f t="shared" si="75"/>
        <v>214.12518283971252</v>
      </c>
      <c r="G35" s="3518"/>
      <c r="H35" s="2658">
        <v>1</v>
      </c>
      <c r="I35" s="2658">
        <v>0.02</v>
      </c>
      <c r="J35" s="2658">
        <v>0.13</v>
      </c>
      <c r="K35" s="2658">
        <v>-0.04</v>
      </c>
      <c r="L35" s="2669">
        <v>0.46</v>
      </c>
      <c r="N35" s="2663">
        <f t="shared" si="66"/>
        <v>2.0000000000000001E-4</v>
      </c>
      <c r="O35" s="2664">
        <f t="shared" si="66"/>
        <v>1.2999999999999999E-3</v>
      </c>
      <c r="P35" s="2664">
        <f t="shared" si="66"/>
        <v>-4.0000000000000002E-4</v>
      </c>
      <c r="Q35" s="2664">
        <f t="shared" si="66"/>
        <v>4.5999999999999999E-3</v>
      </c>
      <c r="R35" s="2665"/>
      <c r="S35" s="2671">
        <f>B35/B36-1</f>
        <v>6.9183549807361189E-4</v>
      </c>
      <c r="T35" s="2672">
        <f>C35/C36-1</f>
        <v>0</v>
      </c>
      <c r="U35" s="2672">
        <f>E35/E36-1</f>
        <v>-9.0449527636460303E-4</v>
      </c>
      <c r="V35" s="2672">
        <f>F35/F36-1</f>
        <v>5.2825485432512753E-3</v>
      </c>
      <c r="X35" s="2673"/>
      <c r="Y35" s="2673"/>
      <c r="Z35" s="2673"/>
    </row>
    <row r="36" spans="1:26" ht="13.5" thickBot="1">
      <c r="A36" s="2654" t="s">
        <v>2594</v>
      </c>
      <c r="B36" s="2660">
        <v>275</v>
      </c>
      <c r="C36" s="2660">
        <v>232</v>
      </c>
      <c r="D36" s="2660">
        <f t="shared" si="64"/>
        <v>232</v>
      </c>
      <c r="E36" s="2660">
        <v>376</v>
      </c>
      <c r="F36" s="2661">
        <v>213</v>
      </c>
      <c r="G36" s="3516">
        <v>2011</v>
      </c>
      <c r="H36" s="2674">
        <v>4</v>
      </c>
      <c r="I36" s="2674">
        <v>-0.2</v>
      </c>
      <c r="J36" s="2674">
        <v>0.04</v>
      </c>
      <c r="K36" s="2674">
        <v>-0.34</v>
      </c>
      <c r="L36" s="2675">
        <v>0.46</v>
      </c>
      <c r="N36" s="2676">
        <f t="shared" si="66"/>
        <v>-2E-3</v>
      </c>
      <c r="O36" s="2677">
        <f t="shared" si="66"/>
        <v>4.0000000000000002E-4</v>
      </c>
      <c r="P36" s="2677">
        <f t="shared" si="66"/>
        <v>-3.4000000000000002E-3</v>
      </c>
      <c r="Q36" s="2677">
        <f t="shared" si="66"/>
        <v>4.5999999999999999E-3</v>
      </c>
      <c r="R36" s="2665"/>
      <c r="S36" s="2666"/>
      <c r="T36" s="2667"/>
      <c r="U36" s="2667"/>
      <c r="V36" s="2667"/>
      <c r="X36" s="2667"/>
      <c r="Y36" s="2667"/>
      <c r="Z36" s="2667"/>
    </row>
    <row r="37" spans="1:26">
      <c r="A37" s="2654" t="s">
        <v>2595</v>
      </c>
      <c r="B37" s="2668">
        <f t="shared" ref="B37:C39" si="76">B36/(1+N36)</f>
        <v>275.55110220440883</v>
      </c>
      <c r="C37" s="2668">
        <f t="shared" si="76"/>
        <v>231.90723710515795</v>
      </c>
      <c r="D37" s="2668">
        <f t="shared" si="64"/>
        <v>231.90723710515795</v>
      </c>
      <c r="E37" s="2668">
        <f t="shared" ref="E37:F39" si="77">E36/(1+P36)</f>
        <v>377.28276138872161</v>
      </c>
      <c r="F37" s="2668">
        <f t="shared" si="77"/>
        <v>212.02468644236512</v>
      </c>
      <c r="G37" s="3517">
        <v>2011</v>
      </c>
      <c r="H37" s="2679">
        <v>3</v>
      </c>
      <c r="I37" s="2679">
        <v>0.13</v>
      </c>
      <c r="J37" s="2679">
        <v>0.75</v>
      </c>
      <c r="K37" s="2679">
        <v>-0.08</v>
      </c>
      <c r="L37" s="2680">
        <v>0.53</v>
      </c>
      <c r="N37" s="2663">
        <f t="shared" si="66"/>
        <v>1.2999999999999999E-3</v>
      </c>
      <c r="O37" s="2681">
        <f t="shared" si="66"/>
        <v>7.4999999999999997E-3</v>
      </c>
      <c r="P37" s="2681">
        <f t="shared" si="66"/>
        <v>-8.0000000000000004E-4</v>
      </c>
      <c r="Q37" s="2681">
        <f t="shared" si="66"/>
        <v>5.3E-3</v>
      </c>
      <c r="R37" s="2665"/>
      <c r="S37" s="2663"/>
      <c r="T37" s="2664"/>
      <c r="U37" s="2664"/>
      <c r="V37" s="2664"/>
    </row>
    <row r="38" spans="1:26">
      <c r="A38" s="2654" t="s">
        <v>2596</v>
      </c>
      <c r="B38" s="2668">
        <f t="shared" si="76"/>
        <v>275.19335084830601</v>
      </c>
      <c r="C38" s="2668">
        <f t="shared" si="76"/>
        <v>230.18088050139744</v>
      </c>
      <c r="D38" s="2668">
        <f t="shared" si="64"/>
        <v>230.18088050139744</v>
      </c>
      <c r="E38" s="2668">
        <f t="shared" si="77"/>
        <v>377.58482925212331</v>
      </c>
      <c r="F38" s="2668">
        <f t="shared" si="77"/>
        <v>210.90687997847917</v>
      </c>
      <c r="G38" s="3517">
        <v>2011</v>
      </c>
      <c r="H38" s="2659">
        <v>2</v>
      </c>
      <c r="I38" s="2659">
        <v>-0.4</v>
      </c>
      <c r="J38" s="2659">
        <v>0.17</v>
      </c>
      <c r="K38" s="2659">
        <v>-0.57999999999999996</v>
      </c>
      <c r="L38" s="2670">
        <v>-0.2</v>
      </c>
      <c r="N38" s="2663">
        <f t="shared" si="66"/>
        <v>-4.0000000000000001E-3</v>
      </c>
      <c r="O38" s="2681">
        <f t="shared" si="66"/>
        <v>1.7000000000000001E-3</v>
      </c>
      <c r="P38" s="2681">
        <f t="shared" si="66"/>
        <v>-5.7999999999999996E-3</v>
      </c>
      <c r="Q38" s="2681">
        <f t="shared" si="66"/>
        <v>-2E-3</v>
      </c>
      <c r="R38" s="2665"/>
      <c r="S38" s="2663"/>
      <c r="T38" s="2664"/>
      <c r="U38" s="2664"/>
      <c r="V38" s="2664"/>
    </row>
    <row r="39" spans="1:26" ht="13.5" thickBot="1">
      <c r="A39" s="2654" t="s">
        <v>2597</v>
      </c>
      <c r="B39" s="2668">
        <f t="shared" si="76"/>
        <v>276.29854502841971</v>
      </c>
      <c r="C39" s="2668">
        <f t="shared" si="76"/>
        <v>229.79023709833027</v>
      </c>
      <c r="D39" s="2668">
        <f t="shared" si="64"/>
        <v>229.79023709833027</v>
      </c>
      <c r="E39" s="2668">
        <f t="shared" si="77"/>
        <v>379.78759731655936</v>
      </c>
      <c r="F39" s="2668">
        <f t="shared" si="77"/>
        <v>211.32953905659235</v>
      </c>
      <c r="G39" s="3518">
        <v>2011</v>
      </c>
      <c r="H39" s="2658">
        <v>1</v>
      </c>
      <c r="I39" s="2658">
        <v>2.65</v>
      </c>
      <c r="J39" s="2658">
        <v>3.76</v>
      </c>
      <c r="K39" s="2658">
        <v>1.89</v>
      </c>
      <c r="L39" s="2669">
        <v>7.95</v>
      </c>
      <c r="N39" s="2671">
        <f t="shared" si="66"/>
        <v>2.6499999999999999E-2</v>
      </c>
      <c r="O39" s="2672">
        <f t="shared" si="66"/>
        <v>3.7599999999999995E-2</v>
      </c>
      <c r="P39" s="2672">
        <f t="shared" si="66"/>
        <v>1.89E-2</v>
      </c>
      <c r="Q39" s="2672">
        <f t="shared" si="66"/>
        <v>7.9500000000000001E-2</v>
      </c>
      <c r="R39" s="2665"/>
      <c r="S39" s="2671">
        <f>B39/B40-1</f>
        <v>2.713213765211786E-2</v>
      </c>
      <c r="T39" s="2672">
        <f>C39/C40-1</f>
        <v>3.9774828499231862E-2</v>
      </c>
      <c r="U39" s="2672">
        <f>E39/E40-1</f>
        <v>1.8197311840641772E-2</v>
      </c>
      <c r="V39" s="2672">
        <f>F39/F40-1</f>
        <v>7.8211933962205826E-2</v>
      </c>
      <c r="X39" s="2673"/>
      <c r="Y39" s="2673"/>
      <c r="Z39" s="2673"/>
    </row>
    <row r="40" spans="1:26" ht="13.5" thickBot="1">
      <c r="A40" s="2654" t="s">
        <v>2598</v>
      </c>
      <c r="B40" s="2660">
        <v>269</v>
      </c>
      <c r="C40" s="2660">
        <v>221</v>
      </c>
      <c r="D40" s="2660">
        <f t="shared" si="64"/>
        <v>221</v>
      </c>
      <c r="E40" s="2660">
        <v>373</v>
      </c>
      <c r="F40" s="2661">
        <v>196</v>
      </c>
      <c r="G40" s="3516">
        <v>2010</v>
      </c>
      <c r="H40" s="2674">
        <v>4</v>
      </c>
      <c r="I40" s="2674">
        <v>5.72</v>
      </c>
      <c r="J40" s="2674">
        <v>6.57</v>
      </c>
      <c r="K40" s="2674">
        <v>5.72</v>
      </c>
      <c r="L40" s="2675">
        <v>2.72</v>
      </c>
      <c r="N40" s="2663">
        <f t="shared" si="66"/>
        <v>5.7200000000000001E-2</v>
      </c>
      <c r="O40" s="2664">
        <f t="shared" si="66"/>
        <v>6.5700000000000008E-2</v>
      </c>
      <c r="P40" s="2664">
        <f t="shared" si="66"/>
        <v>5.7200000000000001E-2</v>
      </c>
      <c r="Q40" s="2664">
        <f t="shared" si="66"/>
        <v>2.7200000000000002E-2</v>
      </c>
      <c r="R40" s="2665"/>
      <c r="S40" s="2666"/>
      <c r="T40" s="2667"/>
      <c r="U40" s="2667"/>
      <c r="V40" s="2667"/>
      <c r="X40" s="2667"/>
      <c r="Y40" s="2667"/>
      <c r="Z40" s="2667"/>
    </row>
    <row r="41" spans="1:26">
      <c r="A41" s="2654" t="s">
        <v>2599</v>
      </c>
      <c r="B41" s="2668">
        <f t="shared" ref="B41:C43" si="78">B40/(1+N40)</f>
        <v>254.44570563753314</v>
      </c>
      <c r="C41" s="2668">
        <f t="shared" si="78"/>
        <v>207.37543398705074</v>
      </c>
      <c r="D41" s="2668">
        <f t="shared" si="64"/>
        <v>207.37543398705074</v>
      </c>
      <c r="E41" s="2668">
        <f t="shared" ref="E41:F43" si="79">E40/(1+P40)</f>
        <v>352.81876655315932</v>
      </c>
      <c r="F41" s="2668">
        <f t="shared" si="79"/>
        <v>190.809968847352</v>
      </c>
      <c r="G41" s="3517">
        <v>2010</v>
      </c>
      <c r="H41" s="2679">
        <v>3</v>
      </c>
      <c r="I41" s="2679">
        <v>4.7300000000000004</v>
      </c>
      <c r="J41" s="2679">
        <v>3.9</v>
      </c>
      <c r="K41" s="2679">
        <v>5.03</v>
      </c>
      <c r="L41" s="2680">
        <v>4.21</v>
      </c>
      <c r="N41" s="2663">
        <f t="shared" si="66"/>
        <v>4.7300000000000002E-2</v>
      </c>
      <c r="O41" s="2664">
        <f t="shared" si="66"/>
        <v>3.9E-2</v>
      </c>
      <c r="P41" s="2664">
        <f t="shared" si="66"/>
        <v>5.0300000000000004E-2</v>
      </c>
      <c r="Q41" s="2664">
        <f t="shared" si="66"/>
        <v>4.2099999999999999E-2</v>
      </c>
      <c r="R41" s="2665"/>
      <c r="S41" s="2663"/>
      <c r="T41" s="2664"/>
      <c r="U41" s="2664"/>
      <c r="V41" s="2664"/>
    </row>
    <row r="42" spans="1:26">
      <c r="A42" s="2654" t="s">
        <v>2600</v>
      </c>
      <c r="B42" s="2668">
        <f t="shared" si="78"/>
        <v>242.95398227588385</v>
      </c>
      <c r="C42" s="2668">
        <f t="shared" si="78"/>
        <v>199.59137053614126</v>
      </c>
      <c r="D42" s="2668">
        <f t="shared" si="64"/>
        <v>199.59137053614126</v>
      </c>
      <c r="E42" s="2668">
        <f t="shared" si="79"/>
        <v>335.92189522342125</v>
      </c>
      <c r="F42" s="2668">
        <f t="shared" si="79"/>
        <v>183.10139991109489</v>
      </c>
      <c r="G42" s="3517">
        <v>2010</v>
      </c>
      <c r="H42" s="2659">
        <v>2</v>
      </c>
      <c r="I42" s="2659">
        <v>4.6900000000000004</v>
      </c>
      <c r="J42" s="2659">
        <v>3.55</v>
      </c>
      <c r="K42" s="2659">
        <v>5.07</v>
      </c>
      <c r="L42" s="2670">
        <v>4.2300000000000004</v>
      </c>
      <c r="N42" s="2663">
        <f t="shared" si="66"/>
        <v>4.6900000000000004E-2</v>
      </c>
      <c r="O42" s="2664">
        <f t="shared" si="66"/>
        <v>3.5499999999999997E-2</v>
      </c>
      <c r="P42" s="2664">
        <f t="shared" si="66"/>
        <v>5.0700000000000002E-2</v>
      </c>
      <c r="Q42" s="2664">
        <f t="shared" si="66"/>
        <v>4.2300000000000004E-2</v>
      </c>
      <c r="R42" s="2665"/>
      <c r="S42" s="2663"/>
      <c r="T42" s="2664"/>
      <c r="U42" s="2664"/>
      <c r="V42" s="2664"/>
    </row>
    <row r="43" spans="1:26" ht="13.5" thickBot="1">
      <c r="A43" s="2654" t="s">
        <v>2601</v>
      </c>
      <c r="B43" s="2668">
        <f t="shared" si="78"/>
        <v>232.06990378821649</v>
      </c>
      <c r="C43" s="2668">
        <f t="shared" si="78"/>
        <v>192.74878854286936</v>
      </c>
      <c r="D43" s="2668">
        <f t="shared" si="64"/>
        <v>192.74878854286936</v>
      </c>
      <c r="E43" s="2668">
        <f t="shared" si="79"/>
        <v>319.71247284992984</v>
      </c>
      <c r="F43" s="2668">
        <f t="shared" si="79"/>
        <v>175.67053622862409</v>
      </c>
      <c r="G43" s="3518">
        <v>2010</v>
      </c>
      <c r="H43" s="2658">
        <v>1</v>
      </c>
      <c r="I43" s="2658">
        <v>5.4</v>
      </c>
      <c r="J43" s="2658">
        <v>3.2</v>
      </c>
      <c r="K43" s="2658">
        <v>6.16</v>
      </c>
      <c r="L43" s="2669">
        <v>4.51</v>
      </c>
      <c r="N43" s="2663">
        <f t="shared" si="66"/>
        <v>5.4000000000000006E-2</v>
      </c>
      <c r="O43" s="2664">
        <f t="shared" si="66"/>
        <v>3.2000000000000001E-2</v>
      </c>
      <c r="P43" s="2664">
        <f t="shared" si="66"/>
        <v>6.1600000000000002E-2</v>
      </c>
      <c r="Q43" s="2664">
        <f t="shared" si="66"/>
        <v>4.5100000000000001E-2</v>
      </c>
      <c r="R43" s="2665"/>
      <c r="S43" s="2671">
        <f>B43/B44-1</f>
        <v>5.4863199037347599E-2</v>
      </c>
      <c r="T43" s="2672">
        <f>C43/C44-1</f>
        <v>3.0742184721226584E-2</v>
      </c>
      <c r="U43" s="2672">
        <f>E43/E44-1</f>
        <v>6.2167683886810154E-2</v>
      </c>
      <c r="V43" s="2672">
        <f>F43/F44-1</f>
        <v>4.5657953741810031E-2</v>
      </c>
      <c r="X43" s="2673"/>
      <c r="Y43" s="2673"/>
      <c r="Z43" s="2673"/>
    </row>
    <row r="44" spans="1:26" ht="13.5" thickBot="1">
      <c r="A44" s="2654" t="s">
        <v>2602</v>
      </c>
      <c r="B44" s="2660">
        <v>220</v>
      </c>
      <c r="C44" s="2660">
        <v>187</v>
      </c>
      <c r="D44" s="2660">
        <f t="shared" si="64"/>
        <v>187</v>
      </c>
      <c r="E44" s="2660">
        <v>301</v>
      </c>
      <c r="F44" s="2661">
        <v>168</v>
      </c>
      <c r="G44" s="3516">
        <v>2009</v>
      </c>
      <c r="H44" s="2674">
        <v>4</v>
      </c>
      <c r="I44" s="2674">
        <v>2.2999999999999998</v>
      </c>
      <c r="J44" s="2674">
        <v>1.04</v>
      </c>
      <c r="K44" s="2674">
        <v>2.84</v>
      </c>
      <c r="L44" s="2675">
        <v>0.67</v>
      </c>
      <c r="N44" s="2676">
        <f t="shared" si="66"/>
        <v>2.3E-2</v>
      </c>
      <c r="O44" s="2677">
        <f t="shared" si="66"/>
        <v>1.04E-2</v>
      </c>
      <c r="P44" s="2677">
        <f t="shared" si="66"/>
        <v>2.8399999999999998E-2</v>
      </c>
      <c r="Q44" s="2677">
        <f t="shared" si="66"/>
        <v>6.7000000000000002E-3</v>
      </c>
      <c r="R44" s="2665"/>
      <c r="S44" s="2666"/>
      <c r="T44" s="2667"/>
      <c r="U44" s="2667"/>
      <c r="V44" s="2667"/>
      <c r="X44" s="2667"/>
      <c r="Y44" s="2667"/>
      <c r="Z44" s="2667"/>
    </row>
    <row r="45" spans="1:26">
      <c r="A45" s="2654" t="s">
        <v>2603</v>
      </c>
      <c r="B45" s="2668">
        <f t="shared" ref="B45:C47" si="80">B44/(1+N44)</f>
        <v>215.05376344086022</v>
      </c>
      <c r="C45" s="2668">
        <f t="shared" si="80"/>
        <v>185.0752177355503</v>
      </c>
      <c r="D45" s="2668">
        <f t="shared" si="64"/>
        <v>185.0752177355503</v>
      </c>
      <c r="E45" s="2668">
        <f t="shared" ref="E45:F47" si="81">E44/(1+P44)</f>
        <v>292.68767016725008</v>
      </c>
      <c r="F45" s="2668">
        <f t="shared" si="81"/>
        <v>166.88189132810174</v>
      </c>
      <c r="G45" s="3517">
        <v>2009</v>
      </c>
      <c r="H45" s="2679">
        <v>3</v>
      </c>
      <c r="I45" s="2679">
        <v>2.1</v>
      </c>
      <c r="J45" s="2679">
        <v>1.86</v>
      </c>
      <c r="K45" s="2679">
        <v>2.29</v>
      </c>
      <c r="L45" s="2680">
        <v>0.85</v>
      </c>
      <c r="N45" s="2663">
        <f t="shared" si="66"/>
        <v>2.1000000000000001E-2</v>
      </c>
      <c r="O45" s="2681">
        <f t="shared" si="66"/>
        <v>1.8600000000000002E-2</v>
      </c>
      <c r="P45" s="2681">
        <f t="shared" si="66"/>
        <v>2.29E-2</v>
      </c>
      <c r="Q45" s="2681">
        <f t="shared" si="66"/>
        <v>8.5000000000000006E-3</v>
      </c>
      <c r="R45" s="2665"/>
      <c r="S45" s="2663"/>
      <c r="T45" s="2664"/>
      <c r="U45" s="2664"/>
      <c r="V45" s="2664"/>
    </row>
    <row r="46" spans="1:26">
      <c r="A46" s="2654" t="s">
        <v>2604</v>
      </c>
      <c r="B46" s="2668">
        <f t="shared" si="80"/>
        <v>210.630522469011</v>
      </c>
      <c r="C46" s="2668">
        <f t="shared" si="80"/>
        <v>181.69567812247232</v>
      </c>
      <c r="D46" s="2668">
        <f t="shared" si="64"/>
        <v>181.69567812247232</v>
      </c>
      <c r="E46" s="2668">
        <f t="shared" si="81"/>
        <v>286.13517466736738</v>
      </c>
      <c r="F46" s="2668">
        <f t="shared" si="81"/>
        <v>165.47535084591149</v>
      </c>
      <c r="G46" s="3517">
        <v>2009</v>
      </c>
      <c r="H46" s="2659">
        <v>2</v>
      </c>
      <c r="I46" s="2659">
        <v>0.86</v>
      </c>
      <c r="J46" s="2659">
        <v>-1.1299999999999999</v>
      </c>
      <c r="K46" s="2659">
        <v>1.79</v>
      </c>
      <c r="L46" s="2670">
        <v>-2.0699999999999998</v>
      </c>
      <c r="N46" s="2663">
        <f t="shared" si="66"/>
        <v>8.6E-3</v>
      </c>
      <c r="O46" s="2681">
        <f t="shared" si="66"/>
        <v>-1.1299999999999999E-2</v>
      </c>
      <c r="P46" s="2681">
        <f t="shared" si="66"/>
        <v>1.7899999999999999E-2</v>
      </c>
      <c r="Q46" s="2681">
        <f t="shared" si="66"/>
        <v>-2.07E-2</v>
      </c>
      <c r="R46" s="2665"/>
      <c r="S46" s="2663"/>
      <c r="T46" s="2664"/>
      <c r="U46" s="2664"/>
      <c r="V46" s="2664"/>
    </row>
    <row r="47" spans="1:26">
      <c r="A47" s="2654" t="s">
        <v>2605</v>
      </c>
      <c r="B47" s="2668">
        <f t="shared" si="80"/>
        <v>208.83454537875372</v>
      </c>
      <c r="C47" s="2668">
        <f t="shared" si="80"/>
        <v>183.77230517090351</v>
      </c>
      <c r="D47" s="2668">
        <f t="shared" si="64"/>
        <v>183.77230517090351</v>
      </c>
      <c r="E47" s="2668">
        <f t="shared" si="81"/>
        <v>281.10342338870947</v>
      </c>
      <c r="F47" s="2668">
        <f t="shared" si="81"/>
        <v>168.97309388942256</v>
      </c>
      <c r="G47" s="3518">
        <v>2009</v>
      </c>
      <c r="H47" s="2658">
        <v>1</v>
      </c>
      <c r="I47" s="2658">
        <v>-2.64</v>
      </c>
      <c r="J47" s="2658">
        <v>-2.5299999999999998</v>
      </c>
      <c r="K47" s="2658">
        <v>-3.02</v>
      </c>
      <c r="L47" s="2669">
        <v>1.52</v>
      </c>
      <c r="N47" s="2671">
        <f t="shared" si="66"/>
        <v>-2.64E-2</v>
      </c>
      <c r="O47" s="2672">
        <f t="shared" si="66"/>
        <v>-2.53E-2</v>
      </c>
      <c r="P47" s="2672">
        <f t="shared" si="66"/>
        <v>-3.0200000000000001E-2</v>
      </c>
      <c r="Q47" s="2672">
        <f t="shared" si="66"/>
        <v>1.52E-2</v>
      </c>
      <c r="R47" s="2665"/>
      <c r="S47" s="2671">
        <f>B47/B48-1</f>
        <v>-2.4137638417038754E-2</v>
      </c>
      <c r="T47" s="2672">
        <f>C47/C48-1</f>
        <v>-2.248773845264096E-2</v>
      </c>
      <c r="U47" s="2672">
        <f>E47/E48-1</f>
        <v>-2.7323794502735366E-2</v>
      </c>
      <c r="V47" s="2672">
        <f>F47/F48-1</f>
        <v>1.7910204153148035E-2</v>
      </c>
      <c r="X47" s="2673"/>
      <c r="Y47" s="2673"/>
      <c r="Z47" s="2673"/>
    </row>
    <row r="48" spans="1:26" ht="13.5" thickBot="1">
      <c r="A48" s="2654" t="s">
        <v>2606</v>
      </c>
      <c r="B48" s="2698">
        <v>214</v>
      </c>
      <c r="C48" s="2698">
        <v>188</v>
      </c>
      <c r="D48" s="2698">
        <f t="shared" si="64"/>
        <v>188</v>
      </c>
      <c r="E48" s="2698">
        <v>289</v>
      </c>
      <c r="F48" s="2699">
        <v>166</v>
      </c>
      <c r="G48" s="3516">
        <v>2008</v>
      </c>
      <c r="H48" s="2674">
        <v>4</v>
      </c>
      <c r="I48" s="2674">
        <v>1.73</v>
      </c>
      <c r="J48" s="2674">
        <v>0.03</v>
      </c>
      <c r="K48" s="2674">
        <v>2.59</v>
      </c>
      <c r="L48" s="2675">
        <v>-1.66</v>
      </c>
      <c r="N48" s="2663">
        <f t="shared" si="66"/>
        <v>1.7299999999999999E-2</v>
      </c>
      <c r="O48" s="2664">
        <f t="shared" si="66"/>
        <v>2.9999999999999997E-4</v>
      </c>
      <c r="P48" s="2664">
        <f t="shared" si="66"/>
        <v>2.5899999999999999E-2</v>
      </c>
      <c r="Q48" s="2664">
        <f t="shared" si="66"/>
        <v>-1.66E-2</v>
      </c>
      <c r="R48" s="2665"/>
      <c r="S48" s="2666"/>
      <c r="T48" s="2667"/>
      <c r="U48" s="2667"/>
      <c r="V48" s="2667"/>
      <c r="X48" s="2667"/>
      <c r="Y48" s="2667"/>
      <c r="Z48" s="2667"/>
    </row>
    <row r="49" spans="1:26">
      <c r="A49" s="2654" t="s">
        <v>2607</v>
      </c>
      <c r="B49" s="2668">
        <f t="shared" ref="B49:C51" si="82">B48/(1+N48)</f>
        <v>210.36075887152265</v>
      </c>
      <c r="C49" s="2668">
        <f t="shared" si="82"/>
        <v>187.94361691492554</v>
      </c>
      <c r="D49" s="2668">
        <f t="shared" si="64"/>
        <v>187.94361691492554</v>
      </c>
      <c r="E49" s="2668">
        <f t="shared" ref="E49:F51" si="83">E48/(1+P48)</f>
        <v>281.70386977288234</v>
      </c>
      <c r="F49" s="2668">
        <f t="shared" si="83"/>
        <v>168.80211511083994</v>
      </c>
      <c r="G49" s="3517">
        <v>2008</v>
      </c>
      <c r="H49" s="2679">
        <v>3</v>
      </c>
      <c r="I49" s="2679">
        <v>1.96</v>
      </c>
      <c r="J49" s="2679">
        <v>2.36</v>
      </c>
      <c r="K49" s="2679">
        <v>1.82</v>
      </c>
      <c r="L49" s="2680">
        <v>2.2200000000000002</v>
      </c>
      <c r="N49" s="2663">
        <f t="shared" si="66"/>
        <v>1.9599999999999999E-2</v>
      </c>
      <c r="O49" s="2664">
        <f t="shared" si="66"/>
        <v>2.3599999999999999E-2</v>
      </c>
      <c r="P49" s="2664">
        <f t="shared" si="66"/>
        <v>1.8200000000000001E-2</v>
      </c>
      <c r="Q49" s="2664">
        <f t="shared" si="66"/>
        <v>2.2200000000000001E-2</v>
      </c>
      <c r="R49" s="2665"/>
      <c r="S49" s="2663"/>
      <c r="T49" s="2664"/>
      <c r="U49" s="2664"/>
      <c r="V49" s="2664"/>
    </row>
    <row r="50" spans="1:26">
      <c r="A50" s="2654" t="s">
        <v>2608</v>
      </c>
      <c r="B50" s="2668">
        <f t="shared" si="82"/>
        <v>206.31694671589116</v>
      </c>
      <c r="C50" s="2668">
        <f t="shared" si="82"/>
        <v>183.61041121036101</v>
      </c>
      <c r="D50" s="2668">
        <f t="shared" si="64"/>
        <v>183.61041121036101</v>
      </c>
      <c r="E50" s="2668">
        <f t="shared" si="83"/>
        <v>276.66850301795557</v>
      </c>
      <c r="F50" s="2668">
        <f t="shared" si="83"/>
        <v>165.1360938278614</v>
      </c>
      <c r="G50" s="3517">
        <v>2008</v>
      </c>
      <c r="H50" s="2659">
        <v>2</v>
      </c>
      <c r="I50" s="2659">
        <v>4.93</v>
      </c>
      <c r="J50" s="2659">
        <v>7.38</v>
      </c>
      <c r="K50" s="2659">
        <v>3.98</v>
      </c>
      <c r="L50" s="2670">
        <v>6.86</v>
      </c>
      <c r="N50" s="2663">
        <f t="shared" si="66"/>
        <v>4.9299999999999997E-2</v>
      </c>
      <c r="O50" s="2664">
        <f t="shared" si="66"/>
        <v>7.3800000000000004E-2</v>
      </c>
      <c r="P50" s="2664">
        <f t="shared" si="66"/>
        <v>3.9800000000000002E-2</v>
      </c>
      <c r="Q50" s="2664">
        <f t="shared" si="66"/>
        <v>6.8600000000000008E-2</v>
      </c>
      <c r="R50" s="2665"/>
      <c r="S50" s="2663"/>
      <c r="T50" s="2664"/>
      <c r="U50" s="2664"/>
      <c r="V50" s="2664"/>
    </row>
    <row r="51" spans="1:26" s="2704" customFormat="1" ht="13.5" thickBot="1">
      <c r="A51" s="2654" t="s">
        <v>2609</v>
      </c>
      <c r="B51" s="2701">
        <f t="shared" si="82"/>
        <v>196.62341248059772</v>
      </c>
      <c r="C51" s="2701">
        <f t="shared" si="82"/>
        <v>170.99125648199012</v>
      </c>
      <c r="D51" s="2701">
        <f t="shared" si="64"/>
        <v>170.99125648199012</v>
      </c>
      <c r="E51" s="2701">
        <f t="shared" si="83"/>
        <v>266.07857570490052</v>
      </c>
      <c r="F51" s="2701">
        <f t="shared" si="83"/>
        <v>154.53499328828505</v>
      </c>
      <c r="G51" s="3518">
        <v>2008</v>
      </c>
      <c r="H51" s="2702">
        <v>1</v>
      </c>
      <c r="I51" s="2702">
        <v>4.1399999999999997</v>
      </c>
      <c r="J51" s="2702">
        <v>3.45</v>
      </c>
      <c r="K51" s="2702">
        <v>4.95</v>
      </c>
      <c r="L51" s="2703">
        <v>4.82</v>
      </c>
      <c r="N51" s="2705">
        <f t="shared" si="66"/>
        <v>4.1399999999999999E-2</v>
      </c>
      <c r="O51" s="2706">
        <f t="shared" si="66"/>
        <v>3.4500000000000003E-2</v>
      </c>
      <c r="P51" s="2706">
        <f t="shared" si="66"/>
        <v>4.9500000000000002E-2</v>
      </c>
      <c r="Q51" s="2706">
        <f t="shared" si="66"/>
        <v>4.82E-2</v>
      </c>
      <c r="R51" s="2707"/>
      <c r="S51" s="2705">
        <f>B51/B52-1</f>
        <v>4.5869215322328349E-2</v>
      </c>
      <c r="T51" s="2706">
        <f>C51/C52-1</f>
        <v>3.6310645345394743E-2</v>
      </c>
      <c r="U51" s="2706">
        <f>E51/E52-1</f>
        <v>4.7553447657088688E-2</v>
      </c>
      <c r="V51" s="2706">
        <f>F51/F52-1</f>
        <v>4.4155360055980086E-2</v>
      </c>
      <c r="X51" s="2708"/>
      <c r="Y51" s="2708"/>
      <c r="Z51" s="2708"/>
    </row>
    <row r="52" spans="1:26" ht="13.5" thickBot="1">
      <c r="A52" s="2654" t="s">
        <v>2610</v>
      </c>
      <c r="B52" s="2660">
        <v>188</v>
      </c>
      <c r="C52" s="2660">
        <v>165</v>
      </c>
      <c r="D52" s="2660">
        <f t="shared" si="64"/>
        <v>165</v>
      </c>
      <c r="E52" s="2660">
        <v>254</v>
      </c>
      <c r="F52" s="2661">
        <v>148</v>
      </c>
      <c r="G52" s="3516">
        <v>2007</v>
      </c>
      <c r="H52" s="2709">
        <v>4</v>
      </c>
      <c r="I52" s="2709">
        <v>5.51</v>
      </c>
      <c r="J52" s="2709">
        <v>4.8899999999999997</v>
      </c>
      <c r="K52" s="2709">
        <v>6.43</v>
      </c>
      <c r="L52" s="2710">
        <v>5.36</v>
      </c>
      <c r="N52" s="2711">
        <f t="shared" ref="N52:O55" si="84">B52/B53-1</f>
        <v>4.1339718365245526E-2</v>
      </c>
      <c r="O52" s="2712">
        <f t="shared" si="84"/>
        <v>4.0324492593776018E-2</v>
      </c>
      <c r="P52" s="2712">
        <f t="shared" ref="P52:Q55" si="85">E52/E53-1</f>
        <v>6.1625555347990968E-2</v>
      </c>
      <c r="Q52" s="2712">
        <f t="shared" si="85"/>
        <v>4.6757569250590603E-2</v>
      </c>
      <c r="R52" s="2665"/>
      <c r="S52" s="2666"/>
      <c r="T52" s="2667"/>
      <c r="U52" s="2667"/>
      <c r="V52" s="2667"/>
      <c r="X52" s="2667"/>
      <c r="Y52" s="2667"/>
      <c r="Z52" s="2667"/>
    </row>
    <row r="53" spans="1:26">
      <c r="A53" s="2654" t="s">
        <v>2611</v>
      </c>
      <c r="B53" s="2668">
        <f t="shared" ref="B53:C55" si="86">B54+(B$52-B$56)*I53/SUM(I$52:I$55)</f>
        <v>180.5366651097618</v>
      </c>
      <c r="C53" s="2668">
        <f t="shared" si="86"/>
        <v>158.60435967302453</v>
      </c>
      <c r="D53" s="2668">
        <f t="shared" si="64"/>
        <v>158.60435967302453</v>
      </c>
      <c r="E53" s="2668">
        <f t="shared" ref="E53:F55" si="87">E54+(E$52-E$56)*K53/SUM(K$52:K$55)</f>
        <v>239.25573260785075</v>
      </c>
      <c r="F53" s="2668">
        <f t="shared" si="87"/>
        <v>141.38899430740037</v>
      </c>
      <c r="G53" s="3517">
        <v>2007</v>
      </c>
      <c r="H53" s="2679">
        <v>3</v>
      </c>
      <c r="I53" s="2679">
        <v>8.65</v>
      </c>
      <c r="J53" s="2679">
        <v>8.06</v>
      </c>
      <c r="K53" s="2679">
        <v>9.94</v>
      </c>
      <c r="L53" s="2680">
        <v>5.8</v>
      </c>
      <c r="N53" s="2711">
        <f t="shared" si="84"/>
        <v>6.940217571740015E-2</v>
      </c>
      <c r="O53" s="2712">
        <f t="shared" si="84"/>
        <v>7.1197482471153428E-2</v>
      </c>
      <c r="P53" s="2712">
        <f t="shared" si="85"/>
        <v>0.10529679922579582</v>
      </c>
      <c r="Q53" s="2712">
        <f t="shared" si="85"/>
        <v>5.3292245059512133E-2</v>
      </c>
      <c r="R53" s="2665"/>
      <c r="S53" s="2663"/>
      <c r="T53" s="2664"/>
      <c r="U53" s="2664"/>
      <c r="V53" s="2664"/>
      <c r="X53" s="2713"/>
      <c r="Y53" s="2713"/>
      <c r="Z53" s="2713"/>
    </row>
    <row r="54" spans="1:26">
      <c r="A54" s="2654" t="s">
        <v>2612</v>
      </c>
      <c r="B54" s="2668">
        <f t="shared" si="86"/>
        <v>168.82017748715555</v>
      </c>
      <c r="C54" s="2668">
        <f t="shared" si="86"/>
        <v>148.06267029972753</v>
      </c>
      <c r="D54" s="2668">
        <f t="shared" si="64"/>
        <v>148.06267029972753</v>
      </c>
      <c r="E54" s="2668">
        <f t="shared" si="87"/>
        <v>216.46288379323747</v>
      </c>
      <c r="F54" s="2668">
        <f t="shared" si="87"/>
        <v>134.23529411764704</v>
      </c>
      <c r="G54" s="3517">
        <v>2007</v>
      </c>
      <c r="H54" s="2659">
        <v>2</v>
      </c>
      <c r="I54" s="2659">
        <v>3.67</v>
      </c>
      <c r="J54" s="2659">
        <v>2.3199999999999998</v>
      </c>
      <c r="K54" s="2659">
        <v>5.0199999999999996</v>
      </c>
      <c r="L54" s="2670">
        <v>6.71</v>
      </c>
      <c r="N54" s="2711">
        <f t="shared" si="84"/>
        <v>3.0339138143848032E-2</v>
      </c>
      <c r="O54" s="2712">
        <f t="shared" si="84"/>
        <v>2.0922341588790472E-2</v>
      </c>
      <c r="P54" s="2712">
        <f t="shared" si="85"/>
        <v>5.6164796592717003E-2</v>
      </c>
      <c r="Q54" s="2712">
        <f t="shared" si="85"/>
        <v>6.5704536723887319E-2</v>
      </c>
      <c r="R54" s="2665"/>
      <c r="S54" s="2663"/>
      <c r="T54" s="2664"/>
      <c r="U54" s="2664"/>
      <c r="V54" s="2664"/>
      <c r="X54" s="2713"/>
      <c r="Y54" s="2713"/>
      <c r="Z54" s="2713"/>
    </row>
    <row r="55" spans="1:26">
      <c r="A55" s="2654" t="s">
        <v>2613</v>
      </c>
      <c r="B55" s="2668">
        <f t="shared" si="86"/>
        <v>163.84913591779542</v>
      </c>
      <c r="C55" s="2668">
        <f t="shared" si="86"/>
        <v>145.0283378746594</v>
      </c>
      <c r="D55" s="2668">
        <f t="shared" si="64"/>
        <v>145.0283378746594</v>
      </c>
      <c r="E55" s="2668">
        <f t="shared" si="87"/>
        <v>204.95180722891567</v>
      </c>
      <c r="F55" s="2668">
        <f t="shared" si="87"/>
        <v>125.95920303605313</v>
      </c>
      <c r="G55" s="3518">
        <v>2007</v>
      </c>
      <c r="H55" s="2658">
        <v>1</v>
      </c>
      <c r="I55" s="2658">
        <v>3.58</v>
      </c>
      <c r="J55" s="2658">
        <v>3.08</v>
      </c>
      <c r="K55" s="2658">
        <v>4.34</v>
      </c>
      <c r="L55" s="2669">
        <v>3.21</v>
      </c>
      <c r="N55" s="2714">
        <f t="shared" si="84"/>
        <v>3.0497710174814063E-2</v>
      </c>
      <c r="O55" s="2715">
        <f t="shared" si="84"/>
        <v>2.8569772160704998E-2</v>
      </c>
      <c r="P55" s="2715">
        <f t="shared" si="85"/>
        <v>5.1034908866234296E-2</v>
      </c>
      <c r="Q55" s="2715">
        <f t="shared" si="85"/>
        <v>3.245248390207478E-2</v>
      </c>
      <c r="R55" s="2665"/>
      <c r="S55" s="2671">
        <f>B55/B56-1</f>
        <v>3.0497710174814063E-2</v>
      </c>
      <c r="T55" s="2672">
        <f>C55/C56-1</f>
        <v>2.8569772160704998E-2</v>
      </c>
      <c r="U55" s="2672">
        <f>E55/E56-1</f>
        <v>5.1034908866234296E-2</v>
      </c>
      <c r="V55" s="2672">
        <f>F55/F56-1</f>
        <v>3.245248390207478E-2</v>
      </c>
      <c r="X55" s="2713"/>
      <c r="Y55" s="2713"/>
      <c r="Z55" s="2713"/>
    </row>
    <row r="56" spans="1:26" ht="13.5" thickBot="1">
      <c r="A56" s="2654" t="s">
        <v>2614</v>
      </c>
      <c r="B56" s="2682">
        <v>159</v>
      </c>
      <c r="C56" s="2682">
        <v>141</v>
      </c>
      <c r="D56" s="2682">
        <f t="shared" si="64"/>
        <v>141</v>
      </c>
      <c r="E56" s="2682">
        <v>195</v>
      </c>
      <c r="F56" s="2683">
        <v>122</v>
      </c>
      <c r="G56" s="3516">
        <v>2006</v>
      </c>
      <c r="H56" s="2674">
        <v>4</v>
      </c>
      <c r="I56" s="2674">
        <v>3.79</v>
      </c>
      <c r="J56" s="2674">
        <v>2.21</v>
      </c>
      <c r="K56" s="2674">
        <v>5.65</v>
      </c>
      <c r="L56" s="2675">
        <v>5.41</v>
      </c>
      <c r="N56" s="2711">
        <f t="shared" ref="N56:O59" si="88">I56/SUM(I$56:I$59)*(B$56/B$60-1)</f>
        <v>7.245466462748526E-2</v>
      </c>
      <c r="O56" s="2712">
        <f t="shared" si="88"/>
        <v>2.3237230038062766E-2</v>
      </c>
      <c r="P56" s="2712">
        <f t="shared" ref="P56:Q59" si="89">K56/SUM(K$56:K$59)*(E$56/E$60-1)</f>
        <v>0.16146893866323722</v>
      </c>
      <c r="Q56" s="2712">
        <f t="shared" si="89"/>
        <v>5.0755230321793784E-2</v>
      </c>
      <c r="R56" s="2665"/>
      <c r="S56" s="2666"/>
      <c r="T56" s="2667"/>
      <c r="U56" s="2667"/>
      <c r="V56" s="2667"/>
      <c r="X56" s="2713"/>
      <c r="Y56" s="2713"/>
      <c r="Z56" s="2713"/>
    </row>
    <row r="57" spans="1:26">
      <c r="A57" s="2654" t="s">
        <v>2615</v>
      </c>
      <c r="B57" s="2668">
        <f t="shared" ref="B57:C59" si="90">B58+(B$56-B$60)*I57/SUM(I$56:I$59)</f>
        <v>149.00125628140702</v>
      </c>
      <c r="C57" s="2668">
        <f t="shared" si="90"/>
        <v>137.95592286501378</v>
      </c>
      <c r="D57" s="2668">
        <f t="shared" si="64"/>
        <v>137.95592286501378</v>
      </c>
      <c r="E57" s="2668">
        <f t="shared" ref="E57:F59" si="91">E58+(E$56-E$60)*K57/SUM(K$56:K$59)</f>
        <v>169.97231450719823</v>
      </c>
      <c r="F57" s="2668">
        <f t="shared" si="91"/>
        <v>116.21390374331551</v>
      </c>
      <c r="G57" s="3517">
        <v>2006</v>
      </c>
      <c r="H57" s="2679">
        <v>3</v>
      </c>
      <c r="I57" s="2679">
        <v>0.92</v>
      </c>
      <c r="J57" s="2679">
        <v>1.08</v>
      </c>
      <c r="K57" s="2679">
        <v>0.73</v>
      </c>
      <c r="L57" s="2680">
        <v>1.08</v>
      </c>
      <c r="N57" s="2711">
        <f t="shared" si="88"/>
        <v>1.7587939698492462E-2</v>
      </c>
      <c r="O57" s="2712">
        <f t="shared" si="88"/>
        <v>1.1355750425840628E-2</v>
      </c>
      <c r="P57" s="2712">
        <f t="shared" si="89"/>
        <v>2.0862358446754544E-2</v>
      </c>
      <c r="Q57" s="2712">
        <f t="shared" si="89"/>
        <v>1.0132282578103011E-2</v>
      </c>
      <c r="R57" s="2665"/>
      <c r="S57" s="2663"/>
      <c r="T57" s="2664"/>
      <c r="U57" s="2664"/>
      <c r="V57" s="2664"/>
      <c r="X57" s="2713"/>
      <c r="Y57" s="2713"/>
      <c r="Z57" s="2713"/>
    </row>
    <row r="58" spans="1:26">
      <c r="A58" s="2654" t="s">
        <v>2616</v>
      </c>
      <c r="B58" s="2668">
        <f t="shared" si="90"/>
        <v>146.57412060301507</v>
      </c>
      <c r="C58" s="2668">
        <f t="shared" si="90"/>
        <v>136.46831955922866</v>
      </c>
      <c r="D58" s="2668">
        <f t="shared" si="64"/>
        <v>136.46831955922866</v>
      </c>
      <c r="E58" s="2668">
        <f t="shared" si="91"/>
        <v>166.73864894795128</v>
      </c>
      <c r="F58" s="2668">
        <f t="shared" si="91"/>
        <v>115.05882352941177</v>
      </c>
      <c r="G58" s="3517">
        <v>2006</v>
      </c>
      <c r="H58" s="2659">
        <v>2</v>
      </c>
      <c r="I58" s="2659">
        <v>0.96</v>
      </c>
      <c r="J58" s="2659">
        <v>0.25</v>
      </c>
      <c r="K58" s="2659">
        <v>1.9</v>
      </c>
      <c r="L58" s="2670">
        <v>0.95</v>
      </c>
      <c r="N58" s="2711">
        <f t="shared" si="88"/>
        <v>1.8352632728861701E-2</v>
      </c>
      <c r="O58" s="2712">
        <f t="shared" si="88"/>
        <v>2.6286459319075526E-3</v>
      </c>
      <c r="P58" s="2712">
        <f t="shared" si="89"/>
        <v>5.4299289107991269E-2</v>
      </c>
      <c r="Q58" s="2712">
        <f t="shared" si="89"/>
        <v>8.9126559714794995E-3</v>
      </c>
      <c r="R58" s="2665"/>
      <c r="S58" s="2663"/>
      <c r="T58" s="2664"/>
      <c r="U58" s="2664"/>
      <c r="V58" s="2664"/>
      <c r="X58" s="2713"/>
      <c r="Y58" s="2713"/>
      <c r="Z58" s="2713"/>
    </row>
    <row r="59" spans="1:26">
      <c r="A59" s="2654" t="s">
        <v>2617</v>
      </c>
      <c r="B59" s="2668">
        <f t="shared" si="90"/>
        <v>144.04145728643215</v>
      </c>
      <c r="C59" s="2668">
        <f t="shared" si="90"/>
        <v>136.12396694214877</v>
      </c>
      <c r="D59" s="2668">
        <f t="shared" si="64"/>
        <v>136.12396694214877</v>
      </c>
      <c r="E59" s="2668">
        <f t="shared" si="91"/>
        <v>158.32225913621264</v>
      </c>
      <c r="F59" s="2668">
        <f t="shared" si="91"/>
        <v>114.04278074866311</v>
      </c>
      <c r="G59" s="3518">
        <v>2006</v>
      </c>
      <c r="H59" s="2658">
        <v>1</v>
      </c>
      <c r="I59" s="2658">
        <v>2.29</v>
      </c>
      <c r="J59" s="2658">
        <v>3.72</v>
      </c>
      <c r="K59" s="2658">
        <v>0.75</v>
      </c>
      <c r="L59" s="2669">
        <v>0.04</v>
      </c>
      <c r="N59" s="2714">
        <f t="shared" si="88"/>
        <v>4.3778675988638847E-2</v>
      </c>
      <c r="O59" s="2715">
        <f t="shared" si="88"/>
        <v>3.9114251466784385E-2</v>
      </c>
      <c r="P59" s="2715">
        <f t="shared" si="89"/>
        <v>2.1433929911049188E-2</v>
      </c>
      <c r="Q59" s="2715">
        <f t="shared" si="89"/>
        <v>3.7526972511492629E-4</v>
      </c>
      <c r="R59" s="2665"/>
      <c r="S59" s="2671">
        <f>B59/B60-1</f>
        <v>4.3778675988638716E-2</v>
      </c>
      <c r="T59" s="2672">
        <f>C59/C60-1</f>
        <v>3.91142514667846E-2</v>
      </c>
      <c r="U59" s="2672">
        <f>E59/E60-1</f>
        <v>2.143392991104931E-2</v>
      </c>
      <c r="V59" s="2672">
        <f>F59/F60-1</f>
        <v>3.7526972511492396E-4</v>
      </c>
      <c r="X59" s="2713"/>
      <c r="Y59" s="2713"/>
      <c r="Z59" s="2713"/>
    </row>
    <row r="60" spans="1:26" ht="13.5" thickBot="1">
      <c r="A60" s="2654" t="s">
        <v>2618</v>
      </c>
      <c r="B60" s="2682">
        <v>138</v>
      </c>
      <c r="C60" s="2682">
        <v>131</v>
      </c>
      <c r="D60" s="2682">
        <f t="shared" si="64"/>
        <v>131</v>
      </c>
      <c r="E60" s="2682">
        <v>155</v>
      </c>
      <c r="F60" s="2683">
        <v>114</v>
      </c>
      <c r="G60" s="3516">
        <v>2005</v>
      </c>
      <c r="H60" s="2674">
        <v>4</v>
      </c>
      <c r="I60" s="2674">
        <v>3.29</v>
      </c>
      <c r="J60" s="2674">
        <v>1.44</v>
      </c>
      <c r="K60" s="2674">
        <v>0.66</v>
      </c>
      <c r="L60" s="2675">
        <v>7.78</v>
      </c>
      <c r="N60" s="2711">
        <f t="shared" ref="N60:O63" si="92">I60/SUM(I$60:I$63)*(B$60/B$64-1)</f>
        <v>9.9404603216919935E-2</v>
      </c>
      <c r="O60" s="2712">
        <f t="shared" si="92"/>
        <v>4.7636550760861554E-2</v>
      </c>
      <c r="P60" s="2712">
        <f t="shared" ref="P60:Q63" si="93">K60/SUM(K$60:K$63)*(E$60/E$64-1)</f>
        <v>8.3756345177664976E-2</v>
      </c>
      <c r="Q60" s="2712">
        <f t="shared" si="93"/>
        <v>5.2148766661559584E-2</v>
      </c>
      <c r="R60" s="2665"/>
      <c r="S60" s="2666"/>
      <c r="T60" s="2667"/>
      <c r="U60" s="2667"/>
      <c r="V60" s="2667"/>
      <c r="X60" s="2713"/>
      <c r="Y60" s="2713"/>
      <c r="Z60" s="2713"/>
    </row>
    <row r="61" spans="1:26">
      <c r="A61" s="2654" t="s">
        <v>2619</v>
      </c>
      <c r="B61" s="2668">
        <f t="shared" ref="B61:C63" si="94">B62+(B$60-B$64)*I61/SUM(I$60:I$63)</f>
        <v>125.9720430107527</v>
      </c>
      <c r="C61" s="2668">
        <f t="shared" si="94"/>
        <v>125.1883408071749</v>
      </c>
      <c r="D61" s="2668">
        <f t="shared" si="64"/>
        <v>125.1883408071749</v>
      </c>
      <c r="E61" s="2668">
        <f t="shared" ref="E61:F63" si="95">E62+(E$60-E$64)*K61/SUM(K$60:K$63)</f>
        <v>144.61421319796952</v>
      </c>
      <c r="F61" s="2668">
        <f t="shared" si="95"/>
        <v>108.42008196721311</v>
      </c>
      <c r="G61" s="3517">
        <v>2005</v>
      </c>
      <c r="H61" s="2679">
        <v>3</v>
      </c>
      <c r="I61" s="2679">
        <v>0.46</v>
      </c>
      <c r="J61" s="2679">
        <v>0.32</v>
      </c>
      <c r="K61" s="2679">
        <v>0.42</v>
      </c>
      <c r="L61" s="2680">
        <v>0.64</v>
      </c>
      <c r="N61" s="2711">
        <f t="shared" si="92"/>
        <v>1.3898515951301874E-2</v>
      </c>
      <c r="O61" s="2712">
        <f t="shared" si="92"/>
        <v>1.0585900169080346E-2</v>
      </c>
      <c r="P61" s="2712">
        <f t="shared" si="93"/>
        <v>5.3299492385786795E-2</v>
      </c>
      <c r="Q61" s="2712">
        <f t="shared" si="93"/>
        <v>4.2898728359123568E-3</v>
      </c>
      <c r="R61" s="2665"/>
      <c r="S61" s="2663"/>
      <c r="T61" s="2664"/>
      <c r="U61" s="2664"/>
      <c r="V61" s="2664"/>
      <c r="X61" s="2713"/>
      <c r="Y61" s="2713"/>
      <c r="Z61" s="2713"/>
    </row>
    <row r="62" spans="1:26">
      <c r="A62" s="2654" t="s">
        <v>2620</v>
      </c>
      <c r="B62" s="2668">
        <f t="shared" si="94"/>
        <v>124.29032258064517</v>
      </c>
      <c r="C62" s="2668">
        <f t="shared" si="94"/>
        <v>123.8968609865471</v>
      </c>
      <c r="D62" s="2668">
        <f t="shared" si="64"/>
        <v>123.8968609865471</v>
      </c>
      <c r="E62" s="2668">
        <f t="shared" si="95"/>
        <v>138.00507614213197</v>
      </c>
      <c r="F62" s="2668">
        <f t="shared" si="95"/>
        <v>107.96106557377048</v>
      </c>
      <c r="G62" s="3517">
        <v>2005</v>
      </c>
      <c r="H62" s="2659">
        <v>2</v>
      </c>
      <c r="I62" s="2659">
        <v>0.47</v>
      </c>
      <c r="J62" s="2659">
        <v>0.1</v>
      </c>
      <c r="K62" s="2659">
        <v>0.52</v>
      </c>
      <c r="L62" s="2670">
        <v>0.79</v>
      </c>
      <c r="N62" s="2711">
        <f t="shared" si="92"/>
        <v>1.420065760241713E-2</v>
      </c>
      <c r="O62" s="2712">
        <f t="shared" si="92"/>
        <v>3.3080938028376083E-3</v>
      </c>
      <c r="P62" s="2712">
        <f t="shared" si="93"/>
        <v>6.598984771573603E-2</v>
      </c>
      <c r="Q62" s="2712">
        <f t="shared" si="93"/>
        <v>5.2953117818293153E-3</v>
      </c>
      <c r="R62" s="2665"/>
      <c r="S62" s="2663"/>
      <c r="T62" s="2664"/>
      <c r="U62" s="2664"/>
      <c r="V62" s="2664"/>
      <c r="X62" s="2713"/>
      <c r="Y62" s="2713"/>
      <c r="Z62" s="2713"/>
    </row>
    <row r="63" spans="1:26">
      <c r="A63" s="2654" t="s">
        <v>2621</v>
      </c>
      <c r="B63" s="2668">
        <f t="shared" si="94"/>
        <v>122.57204301075269</v>
      </c>
      <c r="C63" s="2668">
        <f t="shared" si="94"/>
        <v>123.4932735426009</v>
      </c>
      <c r="D63" s="2668">
        <f t="shared" si="64"/>
        <v>123.4932735426009</v>
      </c>
      <c r="E63" s="2668">
        <f t="shared" si="95"/>
        <v>129.82233502538071</v>
      </c>
      <c r="F63" s="2668">
        <f t="shared" si="95"/>
        <v>107.39446721311475</v>
      </c>
      <c r="G63" s="3518">
        <v>2005</v>
      </c>
      <c r="H63" s="2658">
        <v>1</v>
      </c>
      <c r="I63" s="2658">
        <v>0.43</v>
      </c>
      <c r="J63" s="2658">
        <v>0.37</v>
      </c>
      <c r="K63" s="2658">
        <v>0.37</v>
      </c>
      <c r="L63" s="2669">
        <v>0.55000000000000004</v>
      </c>
      <c r="N63" s="2714">
        <f t="shared" si="92"/>
        <v>1.2992090997956099E-2</v>
      </c>
      <c r="O63" s="2715">
        <f t="shared" si="92"/>
        <v>1.2239947070499151E-2</v>
      </c>
      <c r="P63" s="2715">
        <f t="shared" si="93"/>
        <v>4.6954314720812178E-2</v>
      </c>
      <c r="Q63" s="2715">
        <f t="shared" si="93"/>
        <v>3.6866094683621815E-3</v>
      </c>
      <c r="R63" s="2665"/>
      <c r="S63" s="2671">
        <f>B63/B64-1</f>
        <v>1.2992090997956174E-2</v>
      </c>
      <c r="T63" s="2672">
        <f>C63/C64-1</f>
        <v>1.2239947070499246E-2</v>
      </c>
      <c r="U63" s="2672">
        <f>E63/E64-1</f>
        <v>4.695431472081224E-2</v>
      </c>
      <c r="V63" s="2672">
        <f>F63/F64-1</f>
        <v>3.6866094683620787E-3</v>
      </c>
      <c r="X63" s="2713"/>
      <c r="Y63" s="2713"/>
      <c r="Z63" s="2713"/>
    </row>
    <row r="64" spans="1:26" ht="13.5" thickBot="1">
      <c r="A64" s="2654" t="s">
        <v>2622</v>
      </c>
      <c r="B64" s="2698">
        <v>121</v>
      </c>
      <c r="C64" s="2698">
        <v>122</v>
      </c>
      <c r="D64" s="2698">
        <f t="shared" si="64"/>
        <v>122</v>
      </c>
      <c r="E64" s="2698">
        <v>124</v>
      </c>
      <c r="F64" s="2699">
        <v>107</v>
      </c>
      <c r="G64" s="3516">
        <v>2004</v>
      </c>
      <c r="H64" s="2674">
        <v>4</v>
      </c>
      <c r="I64" s="2674">
        <v>0.33</v>
      </c>
      <c r="J64" s="2674">
        <v>0.5</v>
      </c>
      <c r="K64" s="2674">
        <v>0.5</v>
      </c>
      <c r="L64" s="2675">
        <v>0</v>
      </c>
      <c r="N64" s="2711">
        <f t="shared" ref="N64:O67" si="96">I64/SUM(I$64:I$67)*(B$64/B$68-1)</f>
        <v>1.3391770148526898E-2</v>
      </c>
      <c r="O64" s="2712">
        <f t="shared" si="96"/>
        <v>1.063264221158958E-2</v>
      </c>
      <c r="P64" s="2712">
        <f t="shared" ref="P64:Q67" si="97">K64/SUM(K$64:K$67)*(E$64/E$68-1)</f>
        <v>2.2244466688911134E-2</v>
      </c>
      <c r="Q64" s="2712">
        <f t="shared" si="97"/>
        <v>0</v>
      </c>
      <c r="R64" s="2665"/>
      <c r="S64" s="2666"/>
      <c r="T64" s="2667"/>
      <c r="U64" s="2667"/>
      <c r="V64" s="2667"/>
      <c r="X64" s="2713"/>
      <c r="Y64" s="2713"/>
      <c r="Z64" s="2713"/>
    </row>
    <row r="65" spans="1:26">
      <c r="A65" s="2654" t="s">
        <v>2623</v>
      </c>
      <c r="B65" s="2668">
        <f t="shared" ref="B65:C67" si="98">B66+(B$64-B$68)*I65/SUM(I$64:I$67)</f>
        <v>119.51351351351352</v>
      </c>
      <c r="C65" s="2668">
        <f t="shared" si="98"/>
        <v>120.7878787878788</v>
      </c>
      <c r="D65" s="2668">
        <f t="shared" si="64"/>
        <v>120.7878787878788</v>
      </c>
      <c r="E65" s="2668">
        <f t="shared" ref="E65:F67" si="99">E66+(E$64-E$68)*K65/SUM(K$64:K$67)</f>
        <v>121.5975975975976</v>
      </c>
      <c r="F65" s="2668">
        <f t="shared" si="99"/>
        <v>107</v>
      </c>
      <c r="G65" s="3517">
        <v>2004</v>
      </c>
      <c r="H65" s="2679">
        <v>3</v>
      </c>
      <c r="I65" s="2679">
        <v>0.56000000000000005</v>
      </c>
      <c r="J65" s="2679">
        <v>0.8</v>
      </c>
      <c r="K65" s="2679">
        <v>0.83</v>
      </c>
      <c r="L65" s="2680">
        <v>0.06</v>
      </c>
      <c r="N65" s="2711">
        <f t="shared" si="96"/>
        <v>2.2725428130833527E-2</v>
      </c>
      <c r="O65" s="2712">
        <f t="shared" si="96"/>
        <v>1.7012227538543329E-2</v>
      </c>
      <c r="P65" s="2712">
        <f t="shared" si="97"/>
        <v>3.6925814703592477E-2</v>
      </c>
      <c r="Q65" s="2712">
        <f t="shared" si="97"/>
        <v>2.8846153846153744E-2</v>
      </c>
      <c r="R65" s="2665"/>
      <c r="S65" s="2663"/>
      <c r="T65" s="2664"/>
      <c r="U65" s="2664"/>
      <c r="V65" s="2664"/>
      <c r="X65" s="2713"/>
      <c r="Y65" s="2713"/>
      <c r="Z65" s="2713"/>
    </row>
    <row r="66" spans="1:26">
      <c r="A66" s="2654" t="s">
        <v>2624</v>
      </c>
      <c r="B66" s="2668">
        <f t="shared" si="98"/>
        <v>116.99099099099099</v>
      </c>
      <c r="C66" s="2668">
        <f t="shared" si="98"/>
        <v>118.84848484848486</v>
      </c>
      <c r="D66" s="2668">
        <f t="shared" si="64"/>
        <v>118.84848484848486</v>
      </c>
      <c r="E66" s="2668">
        <f t="shared" si="99"/>
        <v>117.60960960960961</v>
      </c>
      <c r="F66" s="2668">
        <f t="shared" si="99"/>
        <v>104</v>
      </c>
      <c r="G66" s="3517">
        <v>2004</v>
      </c>
      <c r="H66" s="2659">
        <v>2</v>
      </c>
      <c r="I66" s="2659">
        <v>1</v>
      </c>
      <c r="J66" s="2659">
        <v>1.5</v>
      </c>
      <c r="K66" s="2659">
        <v>1.5</v>
      </c>
      <c r="L66" s="2670">
        <v>0</v>
      </c>
      <c r="N66" s="2711">
        <f t="shared" si="96"/>
        <v>4.0581121662202721E-2</v>
      </c>
      <c r="O66" s="2712">
        <f t="shared" si="96"/>
        <v>3.1897926634768738E-2</v>
      </c>
      <c r="P66" s="2712">
        <f t="shared" si="97"/>
        <v>6.6733400066733395E-2</v>
      </c>
      <c r="Q66" s="2712">
        <f t="shared" si="97"/>
        <v>0</v>
      </c>
      <c r="R66" s="2665"/>
      <c r="S66" s="2663"/>
      <c r="T66" s="2664"/>
      <c r="U66" s="2664"/>
      <c r="V66" s="2664"/>
      <c r="X66" s="2713"/>
      <c r="Y66" s="2713"/>
      <c r="Z66" s="2713"/>
    </row>
    <row r="67" spans="1:26" s="2704" customFormat="1" ht="13.5" thickBot="1">
      <c r="A67" s="2654" t="s">
        <v>2625</v>
      </c>
      <c r="B67" s="2701">
        <f t="shared" si="98"/>
        <v>112.48648648648648</v>
      </c>
      <c r="C67" s="2701">
        <f t="shared" si="98"/>
        <v>115.21212121212122</v>
      </c>
      <c r="D67" s="2701">
        <f t="shared" si="64"/>
        <v>115.21212121212122</v>
      </c>
      <c r="E67" s="2701">
        <f t="shared" si="99"/>
        <v>110.4024024024024</v>
      </c>
      <c r="F67" s="2701">
        <f t="shared" si="99"/>
        <v>104</v>
      </c>
      <c r="G67" s="3518">
        <v>2004</v>
      </c>
      <c r="H67" s="2702">
        <v>1</v>
      </c>
      <c r="I67" s="2702">
        <v>0.33</v>
      </c>
      <c r="J67" s="2702">
        <v>0.5</v>
      </c>
      <c r="K67" s="2702">
        <v>0.5</v>
      </c>
      <c r="L67" s="2703">
        <v>0</v>
      </c>
      <c r="N67" s="2716">
        <f t="shared" si="96"/>
        <v>1.3391770148526898E-2</v>
      </c>
      <c r="O67" s="2717">
        <f t="shared" si="96"/>
        <v>1.063264221158958E-2</v>
      </c>
      <c r="P67" s="2717">
        <f t="shared" si="97"/>
        <v>2.2244466688911134E-2</v>
      </c>
      <c r="Q67" s="2717">
        <f t="shared" si="97"/>
        <v>0</v>
      </c>
      <c r="R67" s="2707"/>
      <c r="S67" s="2705">
        <f>B67/B68-1</f>
        <v>1.3391770148526883E-2</v>
      </c>
      <c r="T67" s="2706">
        <f>C67/C68-1</f>
        <v>1.063264221158966E-2</v>
      </c>
      <c r="U67" s="2706">
        <f>E67/E68-1</f>
        <v>2.2244466688911224E-2</v>
      </c>
      <c r="V67" s="2706">
        <f>F67/F68-1</f>
        <v>0</v>
      </c>
      <c r="X67" s="2718"/>
      <c r="Y67" s="2718"/>
      <c r="Z67" s="2718"/>
    </row>
    <row r="68" spans="1:26" ht="13.5" thickBot="1">
      <c r="A68" s="2654" t="s">
        <v>2626</v>
      </c>
      <c r="B68" s="2719">
        <v>111</v>
      </c>
      <c r="C68" s="2719">
        <v>114</v>
      </c>
      <c r="D68" s="2719">
        <f t="shared" si="64"/>
        <v>114</v>
      </c>
      <c r="E68" s="2719">
        <v>108</v>
      </c>
      <c r="F68" s="2720">
        <v>104</v>
      </c>
      <c r="G68" s="3516">
        <v>2003</v>
      </c>
      <c r="H68" s="2709">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100">B70+(B$68-B$72)/4</f>
        <v>109.75</v>
      </c>
      <c r="C69" s="2723">
        <f t="shared" si="100"/>
        <v>112.25</v>
      </c>
      <c r="D69" s="2723">
        <f t="shared" si="64"/>
        <v>112.25</v>
      </c>
      <c r="E69" s="2723">
        <f t="shared" ref="E69:F71" si="101">E70+(E$68-E$72)/4</f>
        <v>107.25</v>
      </c>
      <c r="F69" s="2723">
        <f t="shared" si="101"/>
        <v>103.5</v>
      </c>
      <c r="G69" s="3517">
        <v>2003</v>
      </c>
      <c r="H69" s="2679">
        <v>3</v>
      </c>
      <c r="I69" s="2721"/>
      <c r="J69" s="2721"/>
      <c r="K69" s="2721"/>
      <c r="L69" s="2721"/>
      <c r="X69" s="2713"/>
      <c r="Y69" s="2713"/>
      <c r="Z69" s="2713"/>
    </row>
    <row r="70" spans="1:26">
      <c r="A70" s="2654" t="s">
        <v>2628</v>
      </c>
      <c r="B70" s="2723">
        <f t="shared" si="100"/>
        <v>108.5</v>
      </c>
      <c r="C70" s="2723">
        <f t="shared" si="100"/>
        <v>110.5</v>
      </c>
      <c r="D70" s="2723">
        <f t="shared" si="64"/>
        <v>110.5</v>
      </c>
      <c r="E70" s="2723">
        <f t="shared" si="101"/>
        <v>106.5</v>
      </c>
      <c r="F70" s="2723">
        <f t="shared" si="101"/>
        <v>103</v>
      </c>
      <c r="G70" s="3517">
        <v>2003</v>
      </c>
      <c r="H70" s="2659">
        <v>2</v>
      </c>
      <c r="I70" s="2721"/>
      <c r="J70" s="2721"/>
      <c r="K70" s="2721"/>
      <c r="L70" s="2721"/>
      <c r="X70" s="2713"/>
      <c r="Y70" s="2713"/>
      <c r="Z70" s="2713"/>
    </row>
    <row r="71" spans="1:26" ht="13.5" thickBot="1">
      <c r="A71" s="2654" t="s">
        <v>2629</v>
      </c>
      <c r="B71" s="2723">
        <f t="shared" si="100"/>
        <v>107.25</v>
      </c>
      <c r="C71" s="2723">
        <f t="shared" si="100"/>
        <v>108.75</v>
      </c>
      <c r="D71" s="2723">
        <f t="shared" si="64"/>
        <v>108.75</v>
      </c>
      <c r="E71" s="2723">
        <f t="shared" si="101"/>
        <v>105.75</v>
      </c>
      <c r="F71" s="2723">
        <f t="shared" si="101"/>
        <v>102.5</v>
      </c>
      <c r="G71" s="3518">
        <v>2003</v>
      </c>
      <c r="H71" s="2724">
        <v>1</v>
      </c>
      <c r="I71" s="2721"/>
      <c r="J71" s="2721"/>
      <c r="K71" s="2721"/>
      <c r="L71" s="2721"/>
      <c r="S71" s="2663"/>
      <c r="T71" s="2664"/>
      <c r="U71" s="2664"/>
      <c r="X71" s="2713"/>
      <c r="Y71" s="2713"/>
      <c r="Z71" s="2713"/>
    </row>
    <row r="72" spans="1:26" ht="13.5" thickBot="1">
      <c r="A72" s="2654" t="s">
        <v>2630</v>
      </c>
      <c r="B72" s="2725">
        <v>106</v>
      </c>
      <c r="C72" s="2725">
        <v>107</v>
      </c>
      <c r="D72" s="2725">
        <f t="shared" si="64"/>
        <v>107</v>
      </c>
      <c r="E72" s="2725">
        <v>105</v>
      </c>
      <c r="F72" s="2726">
        <v>102</v>
      </c>
      <c r="G72" s="3516">
        <v>2002</v>
      </c>
      <c r="H72" s="2674">
        <v>4</v>
      </c>
      <c r="I72" s="2721"/>
      <c r="J72" s="2721"/>
      <c r="K72" s="2721"/>
      <c r="L72" s="2721"/>
      <c r="N72" s="2722"/>
      <c r="O72" s="2721"/>
      <c r="P72" s="2721"/>
      <c r="Q72" s="2721"/>
      <c r="S72" s="2722"/>
      <c r="T72" s="2721"/>
      <c r="U72" s="2721"/>
      <c r="V72" s="2721"/>
      <c r="X72" s="2713"/>
      <c r="Y72" s="2713"/>
      <c r="Z72" s="2713"/>
    </row>
    <row r="73" spans="1:26">
      <c r="A73" s="2654" t="s">
        <v>2631</v>
      </c>
      <c r="B73" s="2723">
        <f t="shared" ref="B73:C75" si="102">B74+(B$72-B$76)/4</f>
        <v>105</v>
      </c>
      <c r="C73" s="2723">
        <f t="shared" si="102"/>
        <v>106</v>
      </c>
      <c r="D73" s="2723">
        <f t="shared" si="64"/>
        <v>106</v>
      </c>
      <c r="E73" s="2723">
        <f t="shared" ref="E73:F75" si="103">E74+(E$72-E$76)/4</f>
        <v>104.5</v>
      </c>
      <c r="F73" s="2723">
        <f t="shared" si="103"/>
        <v>101.5</v>
      </c>
      <c r="G73" s="3517">
        <v>2002</v>
      </c>
      <c r="H73" s="2679">
        <v>3</v>
      </c>
      <c r="I73" s="2721"/>
      <c r="J73" s="2721"/>
      <c r="K73" s="2721"/>
      <c r="L73" s="2721"/>
      <c r="X73" s="2713"/>
      <c r="Y73" s="2713"/>
      <c r="Z73" s="2713"/>
    </row>
    <row r="74" spans="1:26">
      <c r="A74" s="2654" t="s">
        <v>2632</v>
      </c>
      <c r="B74" s="2723">
        <f t="shared" si="102"/>
        <v>104</v>
      </c>
      <c r="C74" s="2723">
        <f t="shared" si="102"/>
        <v>105</v>
      </c>
      <c r="D74" s="2723">
        <f t="shared" si="64"/>
        <v>105</v>
      </c>
      <c r="E74" s="2723">
        <f t="shared" si="103"/>
        <v>104</v>
      </c>
      <c r="F74" s="2723">
        <f t="shared" si="103"/>
        <v>101</v>
      </c>
      <c r="G74" s="3517">
        <v>2002</v>
      </c>
      <c r="H74" s="2659">
        <v>2</v>
      </c>
      <c r="I74" s="2721"/>
      <c r="J74" s="2721"/>
      <c r="K74" s="2721"/>
      <c r="L74" s="2721"/>
      <c r="X74" s="2713"/>
      <c r="Y74" s="2713"/>
      <c r="Z74" s="2713"/>
    </row>
    <row r="75" spans="1:26" s="2690" customFormat="1" ht="13.5" thickBot="1">
      <c r="A75" s="2686" t="s">
        <v>2633</v>
      </c>
      <c r="B75" s="2727">
        <f t="shared" si="102"/>
        <v>103</v>
      </c>
      <c r="C75" s="2727">
        <f t="shared" si="102"/>
        <v>104</v>
      </c>
      <c r="D75" s="2727">
        <f t="shared" si="64"/>
        <v>104</v>
      </c>
      <c r="E75" s="2727">
        <f t="shared" si="103"/>
        <v>103.5</v>
      </c>
      <c r="F75" s="2727">
        <f t="shared" si="103"/>
        <v>100.5</v>
      </c>
      <c r="G75" s="3518">
        <v>2002</v>
      </c>
      <c r="H75" s="2728">
        <v>1</v>
      </c>
      <c r="I75" s="2729"/>
      <c r="J75" s="2729"/>
      <c r="K75" s="2729"/>
      <c r="L75" s="2729"/>
      <c r="N75" s="2730"/>
      <c r="S75" s="2730"/>
      <c r="X75" s="2731"/>
      <c r="Y75" s="2731"/>
      <c r="Z75" s="2731"/>
    </row>
    <row r="76" spans="1:26" ht="13.5" thickBot="1">
      <c r="B76" s="2732">
        <v>102</v>
      </c>
      <c r="C76" s="2733">
        <v>103</v>
      </c>
      <c r="D76" s="2733">
        <f t="shared" si="64"/>
        <v>103</v>
      </c>
      <c r="E76" s="2733">
        <v>103</v>
      </c>
      <c r="F76" s="2734">
        <v>100</v>
      </c>
      <c r="I76" s="2721"/>
      <c r="J76" s="2721"/>
      <c r="K76" s="2721"/>
      <c r="L76" s="2721"/>
      <c r="N76" s="2722"/>
      <c r="O76" s="2721"/>
      <c r="P76" s="2721"/>
      <c r="Q76" s="2721"/>
      <c r="S76" s="2722"/>
      <c r="T76" s="2721"/>
      <c r="U76" s="2721"/>
      <c r="V76" s="2721"/>
      <c r="X76" s="2667"/>
      <c r="Y76" s="2667"/>
      <c r="Z76" s="2667"/>
    </row>
    <row r="78" spans="1:26" s="2736" customFormat="1">
      <c r="A78" s="2735" t="s">
        <v>2634</v>
      </c>
      <c r="G78" s="2737"/>
      <c r="N78" s="2737"/>
      <c r="S78" s="2737"/>
    </row>
    <row r="79" spans="1:26" s="2736" customFormat="1">
      <c r="A79" s="2736" t="s">
        <v>2635</v>
      </c>
      <c r="G79" s="2737"/>
      <c r="N79" s="2737"/>
      <c r="S79" s="2737"/>
    </row>
    <row r="80" spans="1:26" s="2736" customFormat="1">
      <c r="A80" s="2736" t="s">
        <v>2636</v>
      </c>
      <c r="G80" s="2737"/>
      <c r="I80" s="2738"/>
      <c r="J80" s="2738"/>
      <c r="K80" s="2738"/>
      <c r="L80" s="2738"/>
      <c r="N80" s="2739"/>
      <c r="O80" s="2738"/>
      <c r="P80" s="2738"/>
      <c r="Q80" s="2738"/>
      <c r="S80" s="2739"/>
      <c r="T80" s="2738"/>
      <c r="U80" s="2738"/>
      <c r="V80" s="2738"/>
    </row>
    <row r="81" spans="1:22" s="2736" customFormat="1">
      <c r="A81" s="2736" t="s">
        <v>2637</v>
      </c>
      <c r="G81" s="2737"/>
      <c r="N81" s="2737"/>
      <c r="S81" s="2737"/>
    </row>
    <row r="88" spans="1:22" ht="13.5" thickBot="1"/>
    <row r="89" spans="1:22">
      <c r="G89" s="2662"/>
      <c r="S89" s="2740" t="s">
        <v>2638</v>
      </c>
      <c r="T89" s="2741" t="s">
        <v>2639</v>
      </c>
      <c r="U89" s="2741" t="s">
        <v>2640</v>
      </c>
      <c r="V89" s="2741" t="s">
        <v>2641</v>
      </c>
    </row>
    <row r="90" spans="1:22">
      <c r="G90" s="2662"/>
      <c r="N90" s="2666"/>
      <c r="O90" s="2667"/>
      <c r="P90" s="2667"/>
      <c r="Q90" s="2667"/>
      <c r="S90" s="2742">
        <v>2006</v>
      </c>
      <c r="T90" s="2743">
        <v>15.1</v>
      </c>
      <c r="U90" s="2743">
        <v>7.43</v>
      </c>
      <c r="V90" s="2743">
        <v>26.26</v>
      </c>
    </row>
    <row r="91" spans="1:22">
      <c r="G91" s="2662"/>
      <c r="N91" s="2666"/>
      <c r="O91" s="2667"/>
      <c r="P91" s="2667"/>
      <c r="Q91" s="2667"/>
      <c r="S91" s="2745">
        <v>2005</v>
      </c>
      <c r="T91" s="2744">
        <v>13.9</v>
      </c>
      <c r="U91" s="2744">
        <v>7.49</v>
      </c>
      <c r="V91" s="2744">
        <v>24.92</v>
      </c>
    </row>
    <row r="92" spans="1:22">
      <c r="G92" s="2662"/>
      <c r="N92" s="2666"/>
      <c r="O92" s="2667"/>
      <c r="P92" s="2667"/>
      <c r="Q92" s="2667"/>
      <c r="S92" s="2742">
        <v>2004</v>
      </c>
      <c r="T92" s="2743">
        <v>9.48</v>
      </c>
      <c r="U92" s="2743">
        <v>7.2</v>
      </c>
      <c r="V92" s="2743">
        <v>14.68</v>
      </c>
    </row>
    <row r="93" spans="1:22">
      <c r="G93" s="2662"/>
      <c r="N93" s="2666"/>
      <c r="O93" s="2667"/>
      <c r="P93" s="2667"/>
      <c r="Q93" s="2667"/>
      <c r="S93" s="2745">
        <v>2003</v>
      </c>
      <c r="T93" s="2744">
        <v>4.5</v>
      </c>
      <c r="U93" s="2744">
        <v>6.12</v>
      </c>
      <c r="V93" s="2744">
        <v>2.34</v>
      </c>
    </row>
    <row r="94" spans="1:22" ht="13.5" thickBot="1">
      <c r="G94" s="2662"/>
      <c r="N94" s="2666"/>
      <c r="O94" s="2667"/>
      <c r="P94" s="2667"/>
      <c r="Q94" s="2667"/>
      <c r="S94" s="2746">
        <v>2002</v>
      </c>
      <c r="T94" s="2747">
        <v>3.59</v>
      </c>
      <c r="U94" s="2747">
        <v>4.54</v>
      </c>
      <c r="V94" s="2747">
        <v>2.5499999999999998</v>
      </c>
    </row>
    <row r="95" spans="1:22">
      <c r="G95" s="2662"/>
      <c r="N95" s="2666"/>
      <c r="O95" s="2667"/>
      <c r="P95" s="2667"/>
      <c r="Q95" s="2667"/>
    </row>
    <row r="96" spans="1: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row>
    <row r="103" spans="7:19">
      <c r="G103" s="2662"/>
      <c r="N103" s="2666"/>
      <c r="O103" s="2667"/>
      <c r="P103" s="2667"/>
      <c r="Q103" s="2667"/>
    </row>
    <row r="104" spans="7:19">
      <c r="G104" s="2662"/>
      <c r="N104" s="2666"/>
      <c r="O104" s="2667"/>
      <c r="P104" s="2667"/>
      <c r="Q104" s="2667"/>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row r="108" spans="7:19">
      <c r="G108" s="2662"/>
      <c r="N108" s="2666"/>
      <c r="O108" s="2667"/>
      <c r="P108" s="2667"/>
      <c r="Q108" s="2667"/>
      <c r="S108" s="2662"/>
    </row>
    <row r="109" spans="7:19">
      <c r="G109" s="2662"/>
      <c r="N109" s="2666"/>
      <c r="O109" s="2667"/>
      <c r="P109" s="2667"/>
      <c r="Q109" s="2667"/>
      <c r="S109" s="2662"/>
    </row>
    <row r="110" spans="7:19">
      <c r="G110" s="2662"/>
      <c r="N110" s="2666"/>
      <c r="O110" s="2667"/>
      <c r="P110" s="2667"/>
      <c r="Q110" s="2667"/>
      <c r="S110" s="2662"/>
    </row>
  </sheetData>
  <sheetProtection password="C66D" sheet="1" objects="1" scenarios="1"/>
  <mergeCells count="21">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36:G39"/>
    <mergeCell ref="G40:G43"/>
    <mergeCell ref="G44:G47"/>
    <mergeCell ref="G16:G19"/>
    <mergeCell ref="G20:G23"/>
  </mergeCells>
  <phoneticPr fontId="233"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29" t="s">
        <v>1726</v>
      </c>
      <c r="B1" s="735"/>
      <c r="C1" s="770"/>
      <c r="D1" s="3121" t="s">
        <v>952</v>
      </c>
      <c r="E1" s="2386" t="s">
        <v>2377</v>
      </c>
      <c r="F1" s="2387">
        <f ca="1">J53</f>
        <v>0</v>
      </c>
      <c r="G1" s="771">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0" t="s">
        <v>1727</v>
      </c>
      <c r="B2" s="772" t="e">
        <f ca="1">C40+J29+L46</f>
        <v>#DIV/0!</v>
      </c>
      <c r="C2" s="2056"/>
      <c r="D2" s="2054"/>
      <c r="E2" s="2055"/>
      <c r="F2" s="2055"/>
      <c r="G2" s="1588"/>
      <c r="H2" s="2056"/>
      <c r="I2" s="2056"/>
      <c r="J2" s="2056"/>
      <c r="K2" s="2057"/>
      <c r="L2" s="2056"/>
      <c r="M2" s="2056"/>
    </row>
    <row r="3" spans="1:33" ht="18" customHeight="1" thickBot="1">
      <c r="A3" s="830" t="s">
        <v>1728</v>
      </c>
      <c r="B3" s="831">
        <f ca="1">IF(ISERROR(B2*10000/F43),0,ROUND(B2*10000/F43,0))</f>
        <v>0</v>
      </c>
      <c r="C3" s="2056"/>
      <c r="D3" s="2054"/>
      <c r="E3" s="2055"/>
      <c r="F3" s="2055"/>
      <c r="G3" s="1588"/>
      <c r="H3" s="773" t="s">
        <v>695</v>
      </c>
      <c r="I3" s="1360"/>
      <c r="J3" s="1360"/>
      <c r="K3" s="1589"/>
      <c r="L3" s="1360"/>
      <c r="M3" s="1360"/>
    </row>
    <row r="4" spans="1:33" ht="18" customHeight="1">
      <c r="A4" s="774" t="s">
        <v>1729</v>
      </c>
      <c r="B4" s="775" t="s">
        <v>1730</v>
      </c>
      <c r="C4" s="775" t="s">
        <v>1731</v>
      </c>
      <c r="D4" s="775" t="s">
        <v>633</v>
      </c>
      <c r="E4" s="776" t="s">
        <v>1732</v>
      </c>
      <c r="F4" s="777"/>
      <c r="G4" s="1590"/>
      <c r="H4" s="774" t="s">
        <v>1733</v>
      </c>
      <c r="I4" s="775" t="s">
        <v>1734</v>
      </c>
      <c r="J4" s="775" t="s">
        <v>1735</v>
      </c>
      <c r="K4" s="775" t="s">
        <v>1736</v>
      </c>
      <c r="L4" s="776" t="s">
        <v>1737</v>
      </c>
      <c r="M4" s="777"/>
    </row>
    <row r="5" spans="1:33" ht="18" customHeight="1">
      <c r="A5" s="778">
        <v>1</v>
      </c>
      <c r="B5" s="779" t="s">
        <v>2461</v>
      </c>
      <c r="C5" s="55">
        <f ca="1">C6+C10+C12</f>
        <v>0</v>
      </c>
      <c r="D5" s="2495" t="s">
        <v>2464</v>
      </c>
      <c r="E5" s="2489"/>
      <c r="F5" s="2490"/>
      <c r="G5" s="1590"/>
      <c r="H5" s="778">
        <v>1</v>
      </c>
      <c r="I5" s="779" t="s">
        <v>2461</v>
      </c>
      <c r="J5" s="55">
        <f ca="1">J6+J10+J12</f>
        <v>0</v>
      </c>
      <c r="K5" s="2495" t="s">
        <v>2464</v>
      </c>
      <c r="L5" s="2489"/>
      <c r="M5" s="2490"/>
    </row>
    <row r="6" spans="1:33" ht="18" customHeight="1">
      <c r="A6" s="1829" t="s">
        <v>1825</v>
      </c>
      <c r="B6" s="3452" t="s">
        <v>2466</v>
      </c>
      <c r="C6" s="780">
        <f ca="1">ROUND(F6*F8*F7*(1-F9)/10000,0)</f>
        <v>0</v>
      </c>
      <c r="D6" s="2496" t="s">
        <v>2465</v>
      </c>
      <c r="E6" s="781" t="s">
        <v>1739</v>
      </c>
      <c r="F6" s="782">
        <f ca="1">INDIRECT("'数据-取费表'!u"&amp;$G$1)</f>
        <v>2</v>
      </c>
      <c r="G6" s="1590"/>
      <c r="H6" s="2503" t="s">
        <v>2471</v>
      </c>
      <c r="I6" s="3452" t="s">
        <v>2466</v>
      </c>
      <c r="J6" s="780">
        <f ca="1">ROUND(M6*M8*M7*(1-M9)/10000,0)</f>
        <v>0</v>
      </c>
      <c r="K6" s="338" t="s">
        <v>1738</v>
      </c>
      <c r="L6" s="781" t="s">
        <v>1739</v>
      </c>
      <c r="M6" s="782">
        <f ca="1">INDIRECT("'数据-取费表'!z"&amp;$G$1)</f>
        <v>0</v>
      </c>
    </row>
    <row r="7" spans="1:33" ht="18" customHeight="1">
      <c r="A7" s="2499"/>
      <c r="B7" s="3453"/>
      <c r="C7" s="785"/>
      <c r="D7" s="786"/>
      <c r="E7" s="781" t="s">
        <v>1740</v>
      </c>
      <c r="F7" s="782">
        <f ca="1">IF(INDIRECT("'数据-取费表'!ah"&amp;$G$1)="",INDIRECT("'数据-取费表'!k"&amp;$G$1),INDIRECT("'数据-取费表'!ah"&amp;$G$1))</f>
        <v>0</v>
      </c>
      <c r="G7" s="1590"/>
      <c r="H7" s="2488"/>
      <c r="I7" s="3453"/>
      <c r="J7" s="785"/>
      <c r="K7" s="786"/>
      <c r="L7" s="781" t="s">
        <v>1740</v>
      </c>
      <c r="M7" s="782">
        <f ca="1">F7</f>
        <v>0</v>
      </c>
    </row>
    <row r="8" spans="1:33" ht="18" customHeight="1">
      <c r="A8" s="2492"/>
      <c r="B8" s="3454"/>
      <c r="C8" s="785"/>
      <c r="D8" s="786"/>
      <c r="E8" s="781" t="s">
        <v>1741</v>
      </c>
      <c r="F8" s="782">
        <f ca="1">INDIRECT("'数据-取费表'!ai"&amp;$G$1)</f>
        <v>365</v>
      </c>
      <c r="G8" s="1590"/>
      <c r="H8" s="2488"/>
      <c r="I8" s="3454"/>
      <c r="J8" s="785"/>
      <c r="K8" s="786"/>
      <c r="L8" s="781" t="s">
        <v>1741</v>
      </c>
      <c r="M8" s="782">
        <f ca="1">INDIRECT("'数据-取费表'!ai"&amp;$G$1)</f>
        <v>365</v>
      </c>
    </row>
    <row r="9" spans="1:33" ht="18" customHeight="1">
      <c r="A9" s="783"/>
      <c r="B9" s="3455"/>
      <c r="C9" s="785"/>
      <c r="D9" s="786"/>
      <c r="E9" s="781" t="s">
        <v>1742</v>
      </c>
      <c r="F9" s="791">
        <f ca="1">INDIRECT("'数据-取费表'!w"&amp;$G$1)</f>
        <v>0.1</v>
      </c>
      <c r="G9" s="1590"/>
      <c r="H9" s="2504"/>
      <c r="I9" s="3454"/>
      <c r="J9" s="785"/>
      <c r="K9" s="786"/>
      <c r="L9" s="792" t="s">
        <v>1742</v>
      </c>
      <c r="M9" s="793">
        <f ca="1">INDIRECT("'数据-取费表'!ab"&amp;$G$1)</f>
        <v>0</v>
      </c>
    </row>
    <row r="10" spans="1:33" ht="18" customHeight="1">
      <c r="A10" s="1829" t="s">
        <v>2469</v>
      </c>
      <c r="B10" s="2493" t="s">
        <v>2462</v>
      </c>
      <c r="C10" s="796">
        <f ca="1">ROUND(IF(F10="押一",C6/12*F11,IF(F10="押二",C6/12*2*F11,IF(F10="押三",C6/12*3*F11,C11*F11))),0)</f>
        <v>0</v>
      </c>
      <c r="D10" s="2500" t="s">
        <v>2979</v>
      </c>
      <c r="E10" s="2497" t="s">
        <v>2467</v>
      </c>
      <c r="F10" s="2620"/>
      <c r="G10" s="1590"/>
      <c r="H10" s="2560" t="s">
        <v>2472</v>
      </c>
      <c r="I10" s="2565" t="s">
        <v>2462</v>
      </c>
      <c r="J10" s="780">
        <f ca="1">ROUND(IF(M10="押一",J6/12*M11,IF(M10="押二",J6/12*2*M11,IF(M10="押三",J6/12*3*M11,J11*M11))),0)</f>
        <v>0</v>
      </c>
      <c r="K10" s="2500" t="s">
        <v>2979</v>
      </c>
      <c r="L10" s="2497" t="s">
        <v>2467</v>
      </c>
      <c r="M10" s="2620"/>
    </row>
    <row r="11" spans="1:33" ht="18" customHeight="1">
      <c r="A11" s="787"/>
      <c r="B11" s="2494" t="s">
        <v>2576</v>
      </c>
      <c r="C11" s="2498"/>
      <c r="D11" s="786"/>
      <c r="E11" s="2497" t="s">
        <v>2468</v>
      </c>
      <c r="F11" s="793">
        <f ca="1">'数据-取费表'!B39</f>
        <v>1.4999999999999999E-2</v>
      </c>
      <c r="G11" s="1590"/>
      <c r="H11" s="2561"/>
      <c r="I11" s="2494" t="s">
        <v>2576</v>
      </c>
      <c r="J11" s="2498"/>
      <c r="K11" s="2562"/>
      <c r="L11" s="2497" t="s">
        <v>2468</v>
      </c>
      <c r="M11" s="2491">
        <f ca="1">'数据-取费表'!B39</f>
        <v>1.4999999999999999E-2</v>
      </c>
    </row>
    <row r="12" spans="1:33" ht="18" customHeight="1" thickBot="1">
      <c r="A12" s="2536" t="s">
        <v>2470</v>
      </c>
      <c r="B12" s="2537" t="s">
        <v>2463</v>
      </c>
      <c r="C12" s="2538"/>
      <c r="D12" s="2539"/>
      <c r="E12" s="2540"/>
      <c r="F12" s="2541"/>
      <c r="G12" s="1590"/>
      <c r="H12" s="2550" t="s">
        <v>2473</v>
      </c>
      <c r="I12" s="2563" t="s">
        <v>2463</v>
      </c>
      <c r="J12" s="2564"/>
      <c r="K12" s="2539"/>
      <c r="L12" s="2540"/>
      <c r="M12" s="2553"/>
    </row>
    <row r="13" spans="1:33" ht="18" customHeight="1" thickTop="1">
      <c r="A13" s="1828">
        <v>2</v>
      </c>
      <c r="B13" s="1826" t="s">
        <v>1743</v>
      </c>
      <c r="C13" s="789">
        <f ca="1">ROUND(C29*F13,0)</f>
        <v>0</v>
      </c>
      <c r="D13" s="1833" t="s">
        <v>2300</v>
      </c>
      <c r="E13" s="1833" t="s">
        <v>1745</v>
      </c>
      <c r="F13" s="2535">
        <f ca="1">INDIRECT("'数据-取费表'!y"&amp;$G$1)</f>
        <v>1</v>
      </c>
      <c r="G13" s="1590"/>
      <c r="H13" s="1828">
        <v>2</v>
      </c>
      <c r="I13" s="1826" t="s">
        <v>1743</v>
      </c>
      <c r="J13" s="1818">
        <f ca="1">ROUND(J14*J15,0)</f>
        <v>0</v>
      </c>
      <c r="K13" s="1820" t="s">
        <v>1744</v>
      </c>
      <c r="L13" s="2551"/>
      <c r="M13" s="2552"/>
    </row>
    <row r="14" spans="1:33" ht="18" customHeight="1">
      <c r="A14" s="1646" t="s">
        <v>1885</v>
      </c>
      <c r="B14" s="781" t="s">
        <v>645</v>
      </c>
      <c r="C14" s="801">
        <f ca="1">INDIRECT("'数据-取费表'!m"&amp;$G$1)+INDIRECT("'数据-取费表'!t"&amp;$G$1)</f>
        <v>0</v>
      </c>
      <c r="D14" s="1978" t="s">
        <v>1746</v>
      </c>
      <c r="E14" s="1979"/>
      <c r="F14" s="802"/>
      <c r="G14" s="1590"/>
      <c r="H14" s="1647" t="s">
        <v>1831</v>
      </c>
      <c r="I14" s="2230" t="s">
        <v>2829</v>
      </c>
      <c r="J14" s="53">
        <f ca="1">C29</f>
        <v>0</v>
      </c>
      <c r="K14" s="26"/>
      <c r="L14" s="798"/>
      <c r="M14" s="799"/>
    </row>
    <row r="15" spans="1:33" s="2063" customFormat="1" ht="18" customHeight="1" thickBot="1">
      <c r="A15" s="1646" t="s">
        <v>1886</v>
      </c>
      <c r="B15" s="781" t="s">
        <v>647</v>
      </c>
      <c r="C15" s="53">
        <f ca="1">ROUND(C14*F15,0)</f>
        <v>0</v>
      </c>
      <c r="D15" s="803" t="s">
        <v>1747</v>
      </c>
      <c r="E15" s="803" t="s">
        <v>1748</v>
      </c>
      <c r="F15" s="804">
        <f>'数据-取费表'!B33</f>
        <v>0.03</v>
      </c>
      <c r="G15" s="1591"/>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1" t="s">
        <v>650</v>
      </c>
      <c r="C16" s="53">
        <f ca="1">ROUND(INDIRECT("'数据-取费表'!m"&amp;$G$1)*F16,0)</f>
        <v>0</v>
      </c>
      <c r="D16" s="781" t="s">
        <v>1747</v>
      </c>
      <c r="E16" s="781" t="s">
        <v>1748</v>
      </c>
      <c r="F16" s="806">
        <f ca="1">IF(INDIRECT("'数据-取费表'!c"&amp;$G$1)="住宅",'数据-取费表'!B34,0)</f>
        <v>0.05</v>
      </c>
      <c r="G16" s="1590"/>
      <c r="H16" s="1828" t="s">
        <v>1749</v>
      </c>
      <c r="I16" s="1826" t="s">
        <v>1750</v>
      </c>
      <c r="J16" s="789">
        <f ca="1">ROUND(J17+J22+J23+J24,0)</f>
        <v>0</v>
      </c>
      <c r="K16" s="1820" t="s">
        <v>1751</v>
      </c>
      <c r="L16" s="2485"/>
      <c r="M16" s="2490"/>
    </row>
    <row r="17" spans="1:33" s="2063" customFormat="1" ht="18" customHeight="1">
      <c r="A17" s="1646" t="s">
        <v>1888</v>
      </c>
      <c r="B17" s="781" t="s">
        <v>653</v>
      </c>
      <c r="C17" s="53">
        <f ca="1">ROUND(F17*(F43+INDIRECT("'数据-取费表'!S"&amp;$G$1))/10000,0)</f>
        <v>0</v>
      </c>
      <c r="D17" s="781" t="s">
        <v>1752</v>
      </c>
      <c r="E17" s="781" t="s">
        <v>1753</v>
      </c>
      <c r="F17" s="56">
        <f>'数据-取费表'!B35</f>
        <v>200</v>
      </c>
      <c r="G17" s="1591"/>
      <c r="H17" s="1647" t="s">
        <v>1831</v>
      </c>
      <c r="I17" s="781" t="s">
        <v>656</v>
      </c>
      <c r="J17" s="53">
        <f ca="1">ROUND(IF(项目基本情况!B11="自然人",J5*M17,J18+J19+J20),0)</f>
        <v>0</v>
      </c>
      <c r="K17" s="2484" t="s">
        <v>1754</v>
      </c>
      <c r="L17" s="2483" t="s">
        <v>1755</v>
      </c>
      <c r="M17" s="807">
        <f ca="1">IF(项目基本情况!B11="企业","",IF(INDIRECT("'数据-取费表'!c"&amp;$G$1)="住宅",5%,IF(M6*M7*M8/12/(1+'数据-取费表'!C42)&gt;20000,12%,7%)))</f>
        <v>0.05</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1" t="s">
        <v>659</v>
      </c>
      <c r="C18" s="53">
        <f ca="1">ROUND(C14*F18,0)</f>
        <v>0</v>
      </c>
      <c r="D18" s="781" t="s">
        <v>1747</v>
      </c>
      <c r="E18" s="781" t="s">
        <v>1748</v>
      </c>
      <c r="F18" s="806">
        <f>'数据-取费表'!B36</f>
        <v>1.4999999999999999E-2</v>
      </c>
      <c r="G18" s="1591"/>
      <c r="H18" s="1646" t="s">
        <v>1885</v>
      </c>
      <c r="I18" s="781" t="s">
        <v>1756</v>
      </c>
      <c r="J18" s="53">
        <f ca="1">ROUND(J5*M18/1.05,1)</f>
        <v>0</v>
      </c>
      <c r="K18" s="2483" t="s">
        <v>1757</v>
      </c>
      <c r="L18" s="781" t="s">
        <v>1748</v>
      </c>
      <c r="M18" s="806">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1" t="s">
        <v>662</v>
      </c>
      <c r="C19" s="53">
        <f ca="1">SUM(C14:C18)</f>
        <v>0</v>
      </c>
      <c r="D19" s="261" t="s">
        <v>1758</v>
      </c>
      <c r="E19" s="1981"/>
      <c r="F19" s="56"/>
      <c r="G19" s="1590"/>
      <c r="H19" s="1646" t="s">
        <v>1886</v>
      </c>
      <c r="I19" s="781" t="s">
        <v>1759</v>
      </c>
      <c r="J19" s="53">
        <f ca="1">IF(K19="按租金收入计税",ROUND(J5*M19,1),ROUND(C29*F33*0.7,1))</f>
        <v>0</v>
      </c>
      <c r="K19" s="808" t="s">
        <v>665</v>
      </c>
      <c r="L19" s="781" t="s">
        <v>1748</v>
      </c>
      <c r="M19" s="806">
        <f>IF(K19="按租金收入计税",'数据-取费表'!B51,'数据-取费表'!B50)</f>
        <v>1.2E-2</v>
      </c>
    </row>
    <row r="20" spans="1:33" s="2063" customFormat="1" ht="18" customHeight="1">
      <c r="A20" s="1647" t="s">
        <v>1890</v>
      </c>
      <c r="B20" s="781" t="s">
        <v>666</v>
      </c>
      <c r="C20" s="53">
        <f ca="1">ROUND(C19*F20,0)</f>
        <v>0</v>
      </c>
      <c r="D20" s="809" t="s">
        <v>1760</v>
      </c>
      <c r="E20" s="781" t="s">
        <v>1748</v>
      </c>
      <c r="F20" s="806">
        <f>'数据-取费表'!B37</f>
        <v>0.02</v>
      </c>
      <c r="G20" s="1591"/>
      <c r="H20" s="1649" t="s">
        <v>1881</v>
      </c>
      <c r="I20" s="338" t="s">
        <v>1761</v>
      </c>
      <c r="J20" s="54">
        <f ca="1">ROUND(M20*M21/10000,0)</f>
        <v>0</v>
      </c>
      <c r="K20" s="811" t="s">
        <v>1762</v>
      </c>
      <c r="L20" s="781" t="s">
        <v>1763</v>
      </c>
      <c r="M20" s="637">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1" t="s">
        <v>1764</v>
      </c>
      <c r="C21" s="53" t="s">
        <v>1765</v>
      </c>
      <c r="D21" s="809" t="s">
        <v>2301</v>
      </c>
      <c r="E21" s="781" t="s">
        <v>1766</v>
      </c>
      <c r="F21" s="806">
        <f>'数据-取费表'!B38</f>
        <v>0.02</v>
      </c>
      <c r="G21" s="1591"/>
      <c r="H21" s="2505"/>
      <c r="I21" s="790"/>
      <c r="J21" s="69"/>
      <c r="K21" s="813"/>
      <c r="L21" s="781" t="s">
        <v>1767</v>
      </c>
      <c r="M21" s="782">
        <f ca="1">INDIRECT("'数据-取费表'!r"&amp;$G$1)</f>
        <v>0</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1" t="s">
        <v>1768</v>
      </c>
      <c r="C22" s="53"/>
      <c r="D22" s="2571" t="str">
        <f>IF(F23&lt;=1,"单利计息。","复利计息。")&amp;"建造成本、管理费用、销售费用产生的利息。"</f>
        <v>复利计息。建造成本、管理费用、销售费用产生的利息。</v>
      </c>
      <c r="E22" s="1981"/>
      <c r="F22" s="56"/>
      <c r="G22" s="1590"/>
      <c r="H22" s="1647" t="s">
        <v>1890</v>
      </c>
      <c r="I22" s="781" t="s">
        <v>1769</v>
      </c>
      <c r="J22" s="53">
        <f ca="1">ROUND(J14*M22,0)</f>
        <v>0</v>
      </c>
      <c r="K22" s="2483" t="s">
        <v>1770</v>
      </c>
      <c r="L22" s="781" t="s">
        <v>1748</v>
      </c>
      <c r="M22" s="814">
        <f ca="1">INDIRECT("'数据-取费表'!Ak"&amp;$G$1)</f>
        <v>0</v>
      </c>
    </row>
    <row r="23" spans="1:33" s="2063" customFormat="1" ht="18" customHeight="1">
      <c r="A23" s="1646" t="s">
        <v>1832</v>
      </c>
      <c r="B23" s="781" t="s">
        <v>2538</v>
      </c>
      <c r="C23" s="53">
        <f ca="1">ROUND(IF('数据-取费表'!B22&lt;=1,(C19+C20)*F24*F23/2,(C19+C20)*(POWER((1+F24),F23/2)-1)),0)</f>
        <v>0</v>
      </c>
      <c r="D23" s="2570" t="str">
        <f>IF(F23&lt;=1,"(建造成本+管理费用)×利率×(建设周期÷2)","(建造成本+管理费用)×((1+利率)^(建设周期÷2)-1)")</f>
        <v>(建造成本+管理费用)×((1+利率)^(建设周期÷2)-1)</v>
      </c>
      <c r="E23" s="781" t="s">
        <v>1771</v>
      </c>
      <c r="F23" s="637">
        <f>'数据-取费表'!B20</f>
        <v>2</v>
      </c>
      <c r="G23" s="1591"/>
      <c r="H23" s="1647" t="s">
        <v>1891</v>
      </c>
      <c r="I23" s="781" t="s">
        <v>679</v>
      </c>
      <c r="J23" s="53">
        <f ca="1">ROUND(J13*M23,0)</f>
        <v>0</v>
      </c>
      <c r="K23" s="2483" t="s">
        <v>1772</v>
      </c>
      <c r="L23" s="781" t="s">
        <v>1748</v>
      </c>
      <c r="M23" s="815">
        <f ca="1">INDIRECT("'数据-取费表'!Al"&amp;$G$1)</f>
        <v>0</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1" t="s">
        <v>1773</v>
      </c>
      <c r="C24" s="53">
        <f ca="1">ROUND(IF('数据-取费表'!B22&lt;=1,F21*F24*F23/2,F21*(POWER((1+F24),F23/2)-1)),4)</f>
        <v>1E-3</v>
      </c>
      <c r="D24" s="2570" t="str">
        <f>IF(F23&lt;=1,"销售费用×利率×(建设周期÷2)","销售费用×((1+利率)^(建设周期÷2)-1)")</f>
        <v>销售费用×((1+利率)^(建设周期÷2)-1)</v>
      </c>
      <c r="E24" s="781" t="s">
        <v>1774</v>
      </c>
      <c r="F24" s="816">
        <f ca="1">'数据-取费表'!B40</f>
        <v>4.7500000000000001E-2</v>
      </c>
      <c r="G24" s="1591"/>
      <c r="H24" s="2550" t="s">
        <v>1892</v>
      </c>
      <c r="I24" s="2545" t="s">
        <v>666</v>
      </c>
      <c r="J24" s="2543">
        <f ca="1">ROUND(J5*M24,0)</f>
        <v>0</v>
      </c>
      <c r="K24" s="2544" t="s">
        <v>1775</v>
      </c>
      <c r="L24" s="2545" t="s">
        <v>1748</v>
      </c>
      <c r="M24" s="2541">
        <f ca="1">INDIRECT("'数据-取费表'!Am"&amp;$G$1)</f>
        <v>0</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1" t="s">
        <v>684</v>
      </c>
      <c r="C25" s="53"/>
      <c r="D25" s="261" t="s">
        <v>1776</v>
      </c>
      <c r="E25" s="1981"/>
      <c r="F25" s="56"/>
      <c r="G25" s="1590"/>
      <c r="H25" s="1828" t="s">
        <v>1777</v>
      </c>
      <c r="I25" s="3007" t="s">
        <v>2825</v>
      </c>
      <c r="J25" s="789">
        <f ca="1">J5-J16</f>
        <v>0</v>
      </c>
      <c r="K25" s="2547" t="s">
        <v>1778</v>
      </c>
      <c r="L25" s="2548"/>
      <c r="M25" s="2549"/>
    </row>
    <row r="26" spans="1:33" ht="18" customHeight="1">
      <c r="A26" s="1646" t="s">
        <v>1832</v>
      </c>
      <c r="B26" s="781" t="s">
        <v>2441</v>
      </c>
      <c r="C26" s="53">
        <f ca="1">ROUND((C19+C20)*F26,0)</f>
        <v>0</v>
      </c>
      <c r="D26" s="809" t="s">
        <v>1779</v>
      </c>
      <c r="E26" s="792" t="s">
        <v>1780</v>
      </c>
      <c r="F26" s="791">
        <f ca="1">INDIRECT("'数据-取费表'!q"&amp;$G$1)</f>
        <v>0.25</v>
      </c>
      <c r="G26" s="1590"/>
      <c r="H26" s="2501" t="s">
        <v>1781</v>
      </c>
      <c r="I26" s="2231" t="s">
        <v>2830</v>
      </c>
      <c r="J26" s="780">
        <f ca="1">IF(J5&lt;&gt;0,ROUND(J25*(1-((1+M28)/(1+M26))^M27)/(M26-M28),0),0)</f>
        <v>0</v>
      </c>
      <c r="K26" s="811" t="s">
        <v>1782</v>
      </c>
      <c r="L26" s="781" t="s">
        <v>2422</v>
      </c>
      <c r="M26" s="791">
        <f ca="1">INDIRECT("'数据-取费表'!I"&amp;$G$1)</f>
        <v>4.4999999999999998E-2</v>
      </c>
    </row>
    <row r="27" spans="1:33" ht="18" customHeight="1">
      <c r="A27" s="1646" t="s">
        <v>1833</v>
      </c>
      <c r="B27" s="781" t="s">
        <v>686</v>
      </c>
      <c r="C27" s="53">
        <f ca="1">ROUND(F21*F26,4)</f>
        <v>5.0000000000000001E-3</v>
      </c>
      <c r="D27" s="809" t="s">
        <v>1783</v>
      </c>
      <c r="E27" s="803"/>
      <c r="F27" s="804"/>
      <c r="G27" s="1590"/>
      <c r="H27" s="2502"/>
      <c r="I27" s="784"/>
      <c r="J27" s="785"/>
      <c r="K27" s="818" t="s">
        <v>1784</v>
      </c>
      <c r="L27" s="781" t="s">
        <v>1785</v>
      </c>
      <c r="M27" s="819">
        <f ca="1">INDIRECT("'数据-取费表'!ag"&amp;$G$1)</f>
        <v>-70</v>
      </c>
    </row>
    <row r="28" spans="1:33" s="2063" customFormat="1" ht="18" customHeight="1">
      <c r="A28" s="1648" t="s">
        <v>1842</v>
      </c>
      <c r="B28" s="781" t="s">
        <v>687</v>
      </c>
      <c r="C28" s="53">
        <f>ROUND(F28/(1+'数据-取费表'!C42),4)</f>
        <v>5.2400000000000002E-2</v>
      </c>
      <c r="D28" s="809" t="s">
        <v>2302</v>
      </c>
      <c r="E28" s="781" t="s">
        <v>1786</v>
      </c>
      <c r="F28" s="806">
        <f>'数据-取费表'!B41</f>
        <v>5.5000000000000007E-2</v>
      </c>
      <c r="G28" s="1591"/>
      <c r="H28" s="1828"/>
      <c r="I28" s="788"/>
      <c r="J28" s="789"/>
      <c r="K28" s="813"/>
      <c r="L28" s="781" t="s">
        <v>1787</v>
      </c>
      <c r="M28" s="791">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2303</v>
      </c>
      <c r="C29" s="2543">
        <f ca="1">ROUND((C19+C20+C23+C26)/(1-F21-C24-C27-C28),0)</f>
        <v>0</v>
      </c>
      <c r="D29" s="2544"/>
      <c r="E29" s="2545"/>
      <c r="F29" s="2546"/>
      <c r="G29" s="1591"/>
      <c r="H29" s="820" t="s">
        <v>1788</v>
      </c>
      <c r="I29" s="821" t="s">
        <v>1789</v>
      </c>
      <c r="J29" s="822">
        <f ca="1">ROUND(J26/(1+F40)^F41,0)</f>
        <v>0</v>
      </c>
      <c r="K29" s="823" t="s">
        <v>1790</v>
      </c>
      <c r="L29" s="824"/>
      <c r="M29" s="825">
        <f ca="1">INDIRECT("'数据-取费表'!k"&amp;$G$1)</f>
        <v>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89">
        <f ca="1">ROUND(C31+C36+C37+C38,0)</f>
        <v>0</v>
      </c>
      <c r="D30" s="1820" t="s">
        <v>1792</v>
      </c>
      <c r="E30" s="2485"/>
      <c r="F30" s="2490"/>
      <c r="G30" s="2061"/>
      <c r="H30" s="2064"/>
      <c r="I30" s="2065"/>
      <c r="J30" s="2066"/>
      <c r="K30" s="2067"/>
      <c r="L30" s="2068"/>
      <c r="M30" s="2069"/>
    </row>
    <row r="31" spans="1:33" ht="18" customHeight="1">
      <c r="A31" s="1647" t="s">
        <v>1831</v>
      </c>
      <c r="B31" s="781" t="s">
        <v>656</v>
      </c>
      <c r="C31" s="53">
        <f ca="1">ROUND(IF(项目基本情况!B11="自然人",C5*F31,C32+C33+C34),1)</f>
        <v>0</v>
      </c>
      <c r="D31" s="1978" t="s">
        <v>1793</v>
      </c>
      <c r="E31" s="1976" t="s">
        <v>1794</v>
      </c>
      <c r="F31" s="807">
        <f ca="1">IF(项目基本情况!B11="企业","",IF(INDIRECT("'数据-取费表'!c"&amp;$G$1)="住宅",5%,IF(F6*F7*F8/12/(1+'数据-取费表'!C42)&gt;20000,12%,7%)))</f>
        <v>0.05</v>
      </c>
      <c r="G31" s="2061"/>
      <c r="H31" s="2064"/>
      <c r="I31" s="2065"/>
      <c r="J31" s="2066"/>
      <c r="K31" s="2067"/>
      <c r="L31" s="2068"/>
      <c r="M31" s="2069"/>
    </row>
    <row r="32" spans="1:33" ht="18" customHeight="1">
      <c r="A32" s="1646" t="s">
        <v>1832</v>
      </c>
      <c r="B32" s="781" t="s">
        <v>1795</v>
      </c>
      <c r="C32" s="53">
        <f ca="1">ROUND(C5*F32/1.05,1)</f>
        <v>0</v>
      </c>
      <c r="D32" s="1976" t="s">
        <v>1796</v>
      </c>
      <c r="E32" s="781" t="s">
        <v>1797</v>
      </c>
      <c r="F32" s="806">
        <f>'数据-取费表'!B41</f>
        <v>5.5000000000000007E-2</v>
      </c>
      <c r="G32" s="2061"/>
      <c r="H32" s="2070"/>
      <c r="I32" s="2071"/>
      <c r="J32" s="2072"/>
      <c r="K32" s="2073"/>
      <c r="L32" s="2074"/>
      <c r="M32" s="2075"/>
    </row>
    <row r="33" spans="1:18" ht="18" customHeight="1">
      <c r="A33" s="1646" t="s">
        <v>1833</v>
      </c>
      <c r="B33" s="781" t="s">
        <v>1798</v>
      </c>
      <c r="C33" s="53">
        <f ca="1">IF(D33="按租金收入计税",ROUND(C5*F33,1),IF(D33="按房产原值计税",ROUND(C29*F33*0.7,1),INDIRECT("'数据-取费表'!Aj"&amp;$G$1)))</f>
        <v>0</v>
      </c>
      <c r="D33" s="808" t="s">
        <v>1681</v>
      </c>
      <c r="E33" s="781" t="s">
        <v>1797</v>
      </c>
      <c r="F33" s="806">
        <f>IF(D33="按租金收入计税",'数据-取费表'!B51,'数据-取费表'!B50)</f>
        <v>1.2E-2</v>
      </c>
      <c r="G33" s="2061"/>
      <c r="H33" s="2076"/>
      <c r="I33" s="2076"/>
      <c r="J33" s="2076"/>
      <c r="K33" s="2077"/>
      <c r="L33" s="2076"/>
      <c r="M33" s="2076"/>
    </row>
    <row r="34" spans="1:18" ht="18" customHeight="1">
      <c r="A34" s="1649" t="s">
        <v>1834</v>
      </c>
      <c r="B34" s="338" t="s">
        <v>1799</v>
      </c>
      <c r="C34" s="54">
        <f ca="1">ROUND(F34*F35/10000,1)</f>
        <v>0</v>
      </c>
      <c r="D34" s="811" t="s">
        <v>1800</v>
      </c>
      <c r="E34" s="781" t="s">
        <v>1801</v>
      </c>
      <c r="F34" s="637">
        <f>'数据-取费表'!B52</f>
        <v>1.5</v>
      </c>
      <c r="G34" s="2061"/>
      <c r="H34" s="2064"/>
      <c r="I34" s="832" t="s">
        <v>1814</v>
      </c>
      <c r="J34" s="833"/>
      <c r="K34" s="2079"/>
      <c r="L34" s="2078"/>
      <c r="M34" s="2078"/>
    </row>
    <row r="35" spans="1:18" ht="18" customHeight="1">
      <c r="A35" s="812"/>
      <c r="B35" s="790"/>
      <c r="C35" s="69"/>
      <c r="D35" s="813"/>
      <c r="E35" s="781" t="s">
        <v>1802</v>
      </c>
      <c r="F35" s="782">
        <f ca="1">INDIRECT("'数据-取费表'!r"&amp;$G$1)</f>
        <v>0</v>
      </c>
      <c r="G35" s="2061"/>
      <c r="H35" s="2064"/>
      <c r="I35" s="834" t="s">
        <v>1815</v>
      </c>
      <c r="J35" s="835">
        <f ca="1">ROUND(C13*J36,0)</f>
        <v>0</v>
      </c>
      <c r="K35" s="2077"/>
      <c r="L35" s="2076"/>
      <c r="M35" s="2076"/>
    </row>
    <row r="36" spans="1:18" ht="18" customHeight="1">
      <c r="A36" s="1647" t="s">
        <v>1890</v>
      </c>
      <c r="B36" s="781" t="s">
        <v>1803</v>
      </c>
      <c r="C36" s="53">
        <f ca="1">ROUND(C29*F36,1)</f>
        <v>0</v>
      </c>
      <c r="D36" s="1976" t="s">
        <v>1804</v>
      </c>
      <c r="E36" s="781" t="s">
        <v>1797</v>
      </c>
      <c r="F36" s="814">
        <f ca="1">INDIRECT("'数据-取费表'!Ak"&amp;$G$1)</f>
        <v>0</v>
      </c>
      <c r="G36" s="2061"/>
      <c r="H36" s="2076"/>
      <c r="I36" s="836" t="s">
        <v>1816</v>
      </c>
      <c r="J36" s="837">
        <f ca="1">INDIRECT("'数据-取费表'!j"&amp;$G$1)</f>
        <v>8.5000000000000006E-2</v>
      </c>
      <c r="K36" s="2081"/>
      <c r="L36" s="2076"/>
      <c r="M36" s="2076"/>
    </row>
    <row r="37" spans="1:18" ht="18" customHeight="1">
      <c r="A37" s="1647" t="s">
        <v>1891</v>
      </c>
      <c r="B37" s="781" t="s">
        <v>679</v>
      </c>
      <c r="C37" s="53">
        <f ca="1">ROUND(C13*F37,1)</f>
        <v>0</v>
      </c>
      <c r="D37" s="1976" t="s">
        <v>1805</v>
      </c>
      <c r="E37" s="781" t="s">
        <v>1797</v>
      </c>
      <c r="F37" s="815">
        <f ca="1">INDIRECT("'数据-取费表'!Al"&amp;$G$1)</f>
        <v>0</v>
      </c>
      <c r="G37" s="2061"/>
      <c r="H37" s="2076"/>
      <c r="I37" s="838" t="s">
        <v>1817</v>
      </c>
      <c r="J37" s="839"/>
      <c r="K37" s="2081"/>
      <c r="L37" s="2076"/>
      <c r="M37" s="2076"/>
    </row>
    <row r="38" spans="1:18" ht="18" customHeight="1" thickBot="1">
      <c r="A38" s="2550" t="s">
        <v>1892</v>
      </c>
      <c r="B38" s="2545" t="s">
        <v>666</v>
      </c>
      <c r="C38" s="2543">
        <f ca="1">ROUND(C5*F38,1)</f>
        <v>0</v>
      </c>
      <c r="D38" s="2544" t="s">
        <v>1806</v>
      </c>
      <c r="E38" s="2545" t="s">
        <v>1797</v>
      </c>
      <c r="F38" s="2541">
        <f ca="1">INDIRECT("'数据-取费表'!Am"&amp;$G$1)</f>
        <v>0</v>
      </c>
      <c r="G38" s="2061"/>
      <c r="H38" s="2076"/>
      <c r="I38" s="840" t="s">
        <v>1818</v>
      </c>
      <c r="J38" s="841"/>
      <c r="K38" s="2082"/>
      <c r="L38" s="2076"/>
      <c r="M38" s="2076"/>
    </row>
    <row r="39" spans="1:18" ht="24.6" customHeight="1" thickTop="1">
      <c r="A39" s="1828" t="s">
        <v>1895</v>
      </c>
      <c r="B39" s="3007" t="s">
        <v>2825</v>
      </c>
      <c r="C39" s="789">
        <f ca="1">C5-C30</f>
        <v>0</v>
      </c>
      <c r="D39" s="2547" t="s">
        <v>1807</v>
      </c>
      <c r="E39" s="2548"/>
      <c r="F39" s="2549"/>
      <c r="G39" s="2061"/>
      <c r="H39" s="2076"/>
      <c r="I39" s="834" t="s">
        <v>1819</v>
      </c>
      <c r="J39" s="842" t="e">
        <f ca="1">ROUND(J35/C39,3)</f>
        <v>#DIV/0!</v>
      </c>
      <c r="K39" s="2082"/>
      <c r="L39" s="2076"/>
      <c r="M39" s="2076"/>
    </row>
    <row r="40" spans="1:18" ht="18" customHeight="1">
      <c r="A40" s="778" t="s">
        <v>1896</v>
      </c>
      <c r="B40" s="2231" t="s">
        <v>2304</v>
      </c>
      <c r="C40" s="780">
        <f ca="1">ROUND(C39*(1-((1+F42)/(1+F40))^F41)/(F40-F42),0)</f>
        <v>0</v>
      </c>
      <c r="D40" s="811" t="s">
        <v>1808</v>
      </c>
      <c r="E40" s="781" t="s">
        <v>2422</v>
      </c>
      <c r="F40" s="791">
        <f ca="1">INDIRECT("'数据-取费表'!I"&amp;$G$1)</f>
        <v>4.4999999999999998E-2</v>
      </c>
      <c r="G40" s="2061"/>
      <c r="H40" s="2061"/>
      <c r="I40" s="834" t="s">
        <v>1820</v>
      </c>
      <c r="J40" s="842" t="e">
        <f ca="1">1-J39</f>
        <v>#DIV/0!</v>
      </c>
      <c r="K40" s="2082"/>
      <c r="L40" s="2061"/>
      <c r="M40" s="2061"/>
    </row>
    <row r="41" spans="1:18" ht="18" customHeight="1">
      <c r="A41" s="783"/>
      <c r="B41" s="784"/>
      <c r="C41" s="785"/>
      <c r="D41" s="818" t="s">
        <v>1809</v>
      </c>
      <c r="E41" s="781" t="s">
        <v>2969</v>
      </c>
      <c r="F41" s="819">
        <f ca="1">IF(INDIRECT("'数据-取费表'!af"&amp;$G$1)=0,INDIRECT("'数据-取费表'!ae"&amp;$G$1),INDIRECT("'数据-取费表'!af"&amp;$G$1))</f>
        <v>70</v>
      </c>
      <c r="G41" s="2061"/>
      <c r="H41" s="1987"/>
      <c r="I41" s="840" t="s">
        <v>1821</v>
      </c>
      <c r="J41" s="843"/>
      <c r="K41" s="2081"/>
      <c r="L41" s="1987"/>
      <c r="M41" s="1987"/>
    </row>
    <row r="42" spans="1:18" ht="18" customHeight="1">
      <c r="A42" s="787"/>
      <c r="B42" s="788"/>
      <c r="C42" s="789"/>
      <c r="D42" s="813"/>
      <c r="E42" s="781" t="s">
        <v>1810</v>
      </c>
      <c r="F42" s="791">
        <f ca="1">INDIRECT("'数据-取费表'!v"&amp;$G$1)</f>
        <v>2.5000000000000001E-2</v>
      </c>
      <c r="G42" s="2061"/>
      <c r="H42" s="1987"/>
      <c r="I42" s="844" t="s">
        <v>1822</v>
      </c>
      <c r="J42" s="842" t="e">
        <f ca="1">ROUND(C13/C40,3)</f>
        <v>#DIV/0!</v>
      </c>
      <c r="K42" s="2081"/>
      <c r="L42" s="1987"/>
      <c r="M42" s="1987"/>
    </row>
    <row r="43" spans="1:18" ht="18" customHeight="1" thickBot="1">
      <c r="A43" s="820" t="s">
        <v>1788</v>
      </c>
      <c r="B43" s="821" t="s">
        <v>1811</v>
      </c>
      <c r="C43" s="822" t="e">
        <f ca="1">ROUND(C40*10000/F43,0)</f>
        <v>#DIV/0!</v>
      </c>
      <c r="D43" s="823" t="s">
        <v>1812</v>
      </c>
      <c r="E43" s="824" t="s">
        <v>1813</v>
      </c>
      <c r="F43" s="825">
        <f ca="1">INDIRECT("'数据-取费表'!k"&amp;$G$1)</f>
        <v>0</v>
      </c>
      <c r="G43" s="2061"/>
      <c r="H43" s="1987"/>
      <c r="I43" s="844" t="s">
        <v>1823</v>
      </c>
      <c r="J43" s="845"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2298</v>
      </c>
      <c r="B46" s="2084"/>
      <c r="C46" s="2573">
        <f ca="1">C67-C40</f>
        <v>0</v>
      </c>
      <c r="D46" s="2084"/>
      <c r="E46" s="2084"/>
      <c r="F46" s="2084"/>
      <c r="I46" s="2377" t="s">
        <v>2346</v>
      </c>
      <c r="J46" s="2378"/>
      <c r="K46" s="2379"/>
      <c r="L46" s="3154" t="e">
        <f ca="1">IF(OR(M47="住宅",D1="土地（套用方法）"),0,IF(L48&gt;J51,L60,J60))</f>
        <v>#DIV/0!</v>
      </c>
      <c r="O46" s="2393" t="s">
        <v>2413</v>
      </c>
      <c r="P46" s="1590"/>
      <c r="Q46" s="1602"/>
      <c r="R46" s="1590"/>
    </row>
    <row r="47" spans="1:18" s="2058" customFormat="1" ht="18" customHeight="1" thickBot="1">
      <c r="A47" s="2371">
        <v>1</v>
      </c>
      <c r="B47" s="2372" t="s">
        <v>635</v>
      </c>
      <c r="C47" s="2573">
        <f ca="1">C48+C52+C54</f>
        <v>0</v>
      </c>
      <c r="D47" s="2084"/>
      <c r="E47" s="2084"/>
      <c r="F47" s="2084"/>
      <c r="I47" s="3144" t="s">
        <v>2347</v>
      </c>
      <c r="J47" s="2380"/>
      <c r="K47" s="3151" t="s">
        <v>2352</v>
      </c>
      <c r="L47" s="3155">
        <f ca="1">INDIRECT("'数据-取费表'!d"&amp;$G$1)</f>
        <v>70</v>
      </c>
      <c r="M47" s="1602" t="str">
        <f>IF(ISNUMBER(FIND("住宅",C1)),"住宅","非住宅")</f>
        <v>非住宅</v>
      </c>
      <c r="O47" s="2394" t="s">
        <v>2378</v>
      </c>
      <c r="P47" s="2395" t="s">
        <v>2379</v>
      </c>
      <c r="Q47" s="2396" t="s">
        <v>2380</v>
      </c>
      <c r="R47" s="2395" t="s">
        <v>2381</v>
      </c>
    </row>
    <row r="48" spans="1:18" s="2058" customFormat="1" ht="18" customHeight="1" thickBot="1">
      <c r="A48" s="2641" t="s">
        <v>2540</v>
      </c>
      <c r="B48" s="2642" t="s">
        <v>2541</v>
      </c>
      <c r="C48" s="2373">
        <f ca="1">ROUND(F48*F50*F49*(1-F51)/10000,0)</f>
        <v>0</v>
      </c>
      <c r="D48" s="2374" t="s">
        <v>636</v>
      </c>
      <c r="E48" s="2375" t="s">
        <v>2299</v>
      </c>
      <c r="F48" s="2376"/>
      <c r="G48" s="2089"/>
      <c r="I48" s="3122" t="s">
        <v>2348</v>
      </c>
      <c r="J48" s="2381"/>
      <c r="K48" s="3152" t="s">
        <v>2354</v>
      </c>
      <c r="L48" s="1907">
        <f ca="1">INDIRECT("'数据-取费表'!f"&amp;$G$1)</f>
        <v>70</v>
      </c>
      <c r="O48" s="2397" t="s">
        <v>2382</v>
      </c>
      <c r="P48" s="2398" t="s">
        <v>2408</v>
      </c>
      <c r="Q48" s="2399">
        <f ca="1">C40+J29</f>
        <v>0</v>
      </c>
      <c r="R48" s="2398" t="s">
        <v>2383</v>
      </c>
    </row>
    <row r="49" spans="1:18" s="2058" customFormat="1" ht="18" customHeight="1" thickBot="1">
      <c r="A49" s="783"/>
      <c r="B49" s="784"/>
      <c r="C49" s="785"/>
      <c r="D49" s="786"/>
      <c r="E49" s="781" t="s">
        <v>1740</v>
      </c>
      <c r="F49" s="782">
        <f ca="1">F7</f>
        <v>0</v>
      </c>
      <c r="G49" s="2089"/>
      <c r="H49" s="2092"/>
      <c r="I49" s="3122" t="s">
        <v>2349</v>
      </c>
      <c r="J49" s="2382"/>
      <c r="K49" s="3153" t="s">
        <v>2355</v>
      </c>
      <c r="L49" s="2383"/>
      <c r="O49" s="2397" t="s">
        <v>2384</v>
      </c>
      <c r="P49" s="2398" t="s">
        <v>2409</v>
      </c>
      <c r="Q49" s="2399" t="str">
        <f ca="1">J60</f>
        <v>0</v>
      </c>
      <c r="R49" s="2398" t="s">
        <v>2385</v>
      </c>
    </row>
    <row r="50" spans="1:18" s="2058" customFormat="1" ht="18" customHeight="1" thickBot="1">
      <c r="A50" s="783"/>
      <c r="B50" s="784"/>
      <c r="C50" s="785"/>
      <c r="D50" s="786"/>
      <c r="E50" s="781" t="s">
        <v>1741</v>
      </c>
      <c r="F50" s="782">
        <f ca="1">F8</f>
        <v>365</v>
      </c>
      <c r="G50" s="2094"/>
      <c r="H50" s="2092"/>
      <c r="I50" s="3122" t="s">
        <v>2350</v>
      </c>
      <c r="J50" s="3148">
        <f>SUMPRODUCT((I63:I65=J47)*(J62:L62=J48)*(J63:L65))</f>
        <v>0</v>
      </c>
      <c r="K50" s="3153" t="s">
        <v>2356</v>
      </c>
      <c r="L50" s="2383"/>
      <c r="O50" s="2400" t="s">
        <v>2386</v>
      </c>
      <c r="P50" s="2398" t="s">
        <v>2410</v>
      </c>
      <c r="Q50" s="2399">
        <f ca="1">C29</f>
        <v>0</v>
      </c>
      <c r="R50" s="2398" t="s">
        <v>2383</v>
      </c>
    </row>
    <row r="51" spans="1:18" s="2058" customFormat="1" ht="18" customHeight="1" thickBot="1">
      <c r="A51" s="783"/>
      <c r="B51" s="784"/>
      <c r="C51" s="785"/>
      <c r="D51" s="786"/>
      <c r="E51" s="781" t="s">
        <v>640</v>
      </c>
      <c r="F51" s="2370"/>
      <c r="H51" s="2092"/>
      <c r="I51" s="3145" t="s">
        <v>2351</v>
      </c>
      <c r="J51" s="3149">
        <f>IF(J49="",J50,J49+J50-YEAR('数据-取费表'!B2))</f>
        <v>0</v>
      </c>
      <c r="K51" s="3122" t="s">
        <v>2357</v>
      </c>
      <c r="L51" s="3156">
        <f ca="1">ROUND(-PV(INDIRECT("'数据-取费表'!h"&amp;$G$1),L48,(C39-C13*J36),0),0)</f>
        <v>0</v>
      </c>
      <c r="O51" s="2400" t="s">
        <v>2387</v>
      </c>
      <c r="P51" s="2398" t="s">
        <v>2388</v>
      </c>
      <c r="Q51" s="2401" t="e">
        <f ca="1">J58</f>
        <v>#VALUE!</v>
      </c>
      <c r="R51" s="2402"/>
    </row>
    <row r="52" spans="1:18" s="2058" customFormat="1" ht="18" customHeight="1" thickBot="1">
      <c r="A52" s="778" t="s">
        <v>2539</v>
      </c>
      <c r="B52" s="2493" t="s">
        <v>2462</v>
      </c>
      <c r="C52" s="796">
        <f ca="1">ROUND(IF(F52="押一",C48/12*F11,IF(F52="押二",C48/12*2*F11,IF(F52="押三",C48/12*3*F11,C53*F11))),0)</f>
        <v>0</v>
      </c>
      <c r="D52" s="2500" t="s">
        <v>2980</v>
      </c>
      <c r="E52" s="2497" t="s">
        <v>2467</v>
      </c>
      <c r="F52" s="2620"/>
      <c r="I52" s="3146" t="s">
        <v>2424</v>
      </c>
      <c r="J52" s="2384"/>
      <c r="K52" s="3146" t="s">
        <v>2423</v>
      </c>
      <c r="L52" s="2384"/>
      <c r="O52" s="2400" t="s">
        <v>2389</v>
      </c>
      <c r="P52" s="2398" t="s">
        <v>2390</v>
      </c>
      <c r="Q52" s="2401">
        <f>J52</f>
        <v>0</v>
      </c>
      <c r="R52" s="2402"/>
    </row>
    <row r="53" spans="1:18" s="2058" customFormat="1" ht="39.75" customHeight="1" thickBot="1">
      <c r="A53" s="783"/>
      <c r="B53" s="2494" t="s">
        <v>2576</v>
      </c>
      <c r="C53" s="2498"/>
      <c r="D53" s="2500"/>
      <c r="E53" s="2497"/>
      <c r="F53" s="797"/>
      <c r="I53" s="3147" t="s">
        <v>2984</v>
      </c>
      <c r="J53" s="3150">
        <f ca="1">IF(M47="住宅",IF(D1="——",MAX(J51,L48),MAX(J51,L48-'数据-取费表'!B20)),IF(D1="——",MIN(J51,L48),MIN(J51,L48-'数据-取费表'!B20)))</f>
        <v>0</v>
      </c>
      <c r="K53" s="3526" t="s">
        <v>2971</v>
      </c>
      <c r="L53" s="3527"/>
      <c r="O53" s="2400" t="s">
        <v>2391</v>
      </c>
      <c r="P53" s="2398" t="s">
        <v>2392</v>
      </c>
      <c r="Q53" s="2399">
        <f ca="1">J53</f>
        <v>0</v>
      </c>
      <c r="R53" s="2398" t="s">
        <v>2393</v>
      </c>
    </row>
    <row r="54" spans="1:18" s="2058" customFormat="1" ht="18" customHeight="1" thickBot="1">
      <c r="A54" s="2536" t="s">
        <v>2470</v>
      </c>
      <c r="B54" s="2537" t="s">
        <v>2463</v>
      </c>
      <c r="C54" s="2538"/>
      <c r="D54" s="2500"/>
      <c r="E54" s="2497"/>
      <c r="F54" s="797"/>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97" t="s">
        <v>2394</v>
      </c>
      <c r="P54" s="2398" t="s">
        <v>2411</v>
      </c>
      <c r="Q54" s="2399">
        <f ca="1">Q48+Q49</f>
        <v>0</v>
      </c>
      <c r="R54" s="2402" t="s">
        <v>2395</v>
      </c>
    </row>
    <row r="55" spans="1:18" s="2058" customFormat="1" ht="18" customHeight="1" thickTop="1" thickBot="1">
      <c r="A55" s="794">
        <v>2</v>
      </c>
      <c r="B55" s="795" t="s">
        <v>644</v>
      </c>
      <c r="C55" s="796">
        <f ca="1">C13</f>
        <v>0</v>
      </c>
      <c r="D55" s="792"/>
      <c r="E55" s="792"/>
      <c r="F55" s="797"/>
      <c r="I55" s="3159" t="s">
        <v>2358</v>
      </c>
      <c r="J55" s="3099" t="e">
        <f ca="1">ROUND(IF(J47="钢混",J57/J50,1-(1-2%)*(J50-J57)/J50),3)</f>
        <v>#VALUE!</v>
      </c>
      <c r="K55" s="3160" t="s">
        <v>2359</v>
      </c>
      <c r="L55" s="2385"/>
      <c r="O55" s="2403" t="s">
        <v>2414</v>
      </c>
      <c r="P55" s="1590"/>
      <c r="Q55" s="1602"/>
      <c r="R55" s="1590"/>
    </row>
    <row r="56" spans="1:18" s="2058" customFormat="1" ht="42.75" customHeight="1" thickBot="1">
      <c r="A56" s="1648"/>
      <c r="B56" s="2230" t="s">
        <v>2305</v>
      </c>
      <c r="C56" s="53">
        <f ca="1">C29</f>
        <v>0</v>
      </c>
      <c r="D56" s="2638"/>
      <c r="E56" s="781"/>
      <c r="F56" s="806"/>
      <c r="I56" s="3161" t="s">
        <v>2360</v>
      </c>
      <c r="J56" s="3171"/>
      <c r="K56" s="3122" t="s">
        <v>2365</v>
      </c>
      <c r="L56" s="1907">
        <f ca="1">IF(L48&lt;J51,"——",L48-J51)</f>
        <v>70</v>
      </c>
      <c r="O56" s="2394" t="s">
        <v>2378</v>
      </c>
      <c r="P56" s="2395" t="s">
        <v>2379</v>
      </c>
      <c r="Q56" s="2396" t="s">
        <v>2380</v>
      </c>
      <c r="R56" s="2395" t="s">
        <v>2381</v>
      </c>
    </row>
    <row r="57" spans="1:18" s="2058" customFormat="1" ht="28.5" customHeight="1" thickBot="1">
      <c r="A57" s="794" t="s">
        <v>1749</v>
      </c>
      <c r="B57" s="795" t="s">
        <v>651</v>
      </c>
      <c r="C57" s="796">
        <f ca="1">ROUND(C58+C63+C64+C65,0)</f>
        <v>0</v>
      </c>
      <c r="D57" s="26" t="s">
        <v>1751</v>
      </c>
      <c r="E57" s="2639"/>
      <c r="F57" s="56"/>
      <c r="I57" s="3162" t="s">
        <v>2361</v>
      </c>
      <c r="J57" s="3163" t="str">
        <f ca="1">IF(OR(M47="住宅",J51&lt;L48,J56="是"),"——",J51-L48)</f>
        <v>——</v>
      </c>
      <c r="K57" s="3122" t="s">
        <v>2366</v>
      </c>
      <c r="L57" s="1907">
        <f ca="1">IF(L48&lt;J51,"——",IF(L55="比较法",L49,IF(L55="基准地价",L50,L51)))</f>
        <v>0</v>
      </c>
      <c r="O57" s="2397" t="s">
        <v>2382</v>
      </c>
      <c r="P57" s="2398" t="s">
        <v>2412</v>
      </c>
      <c r="Q57" s="2399">
        <f ca="1">C40+J29</f>
        <v>0</v>
      </c>
      <c r="R57" s="2398" t="s">
        <v>2383</v>
      </c>
    </row>
    <row r="58" spans="1:18" s="2058" customFormat="1" ht="28.5" customHeight="1" thickBot="1">
      <c r="A58" s="1647" t="s">
        <v>1825</v>
      </c>
      <c r="B58" s="781" t="s">
        <v>656</v>
      </c>
      <c r="C58" s="53">
        <f ca="1">ROUND(IF(项目基本情况!B11="自然人",C47*F58,C59+C60+C61),1)</f>
        <v>0</v>
      </c>
      <c r="D58" s="2637" t="s">
        <v>657</v>
      </c>
      <c r="E58" s="2638" t="s">
        <v>690</v>
      </c>
      <c r="F58" s="807">
        <f ca="1">IF(项目基本情况!B11="企业","",IF(INDIRECT("'数据-取费表'!c"&amp;$G$1)="住宅",5%,IF(F48*F49*F50/12/(1+'数据-取费表'!C42)&gt;20000,12%,7%)))</f>
        <v>0.05</v>
      </c>
      <c r="I58" s="3162" t="s">
        <v>2362</v>
      </c>
      <c r="J58" s="3100" t="e">
        <f ca="1">IF(J55&lt;0.4,0.4,J55)</f>
        <v>#VALUE!</v>
      </c>
      <c r="K58" s="3122" t="s">
        <v>2367</v>
      </c>
      <c r="L58" s="1907" t="e">
        <f ca="1">ROUND(POWER(1+L52,L47-L48)*(POWER(1+L52,L48)-1)/(POWER(1+L52,L47)-1),4)</f>
        <v>#DIV/0!</v>
      </c>
      <c r="O58" s="2397" t="s">
        <v>2384</v>
      </c>
      <c r="P58" s="2398" t="s">
        <v>2415</v>
      </c>
      <c r="Q58" s="2399" t="e">
        <f ca="1">L60</f>
        <v>#DIV/0!</v>
      </c>
      <c r="R58" s="2402" t="s">
        <v>2417</v>
      </c>
    </row>
    <row r="59" spans="1:18" s="2058" customFormat="1" ht="28.5" customHeight="1" thickBot="1">
      <c r="A59" s="1646" t="s">
        <v>1832</v>
      </c>
      <c r="B59" s="781" t="s">
        <v>660</v>
      </c>
      <c r="C59" s="53">
        <f ca="1">ROUND(C47*F59/1.05,1)</f>
        <v>0</v>
      </c>
      <c r="D59" s="2638" t="s">
        <v>1757</v>
      </c>
      <c r="E59" s="781" t="s">
        <v>1748</v>
      </c>
      <c r="F59" s="806">
        <f t="shared" ref="F59:F65" si="0">F32</f>
        <v>5.5000000000000007E-2</v>
      </c>
      <c r="I59" s="3162" t="s">
        <v>2363</v>
      </c>
      <c r="J59" s="3163" t="str">
        <f ca="1">IF(OR(M47="住宅",J51&lt;L48,J56="是"),"——",ROUND(C29*J58,0))</f>
        <v>——</v>
      </c>
      <c r="K59" s="3122"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400" t="s">
        <v>2386</v>
      </c>
      <c r="P59" s="2398" t="s">
        <v>2416</v>
      </c>
      <c r="Q59" s="2399">
        <f>IF(L55="比较法",L49,IF(L55="基准地价",L50,0))</f>
        <v>0</v>
      </c>
      <c r="R59" s="2398" t="s">
        <v>2383</v>
      </c>
    </row>
    <row r="60" spans="1:18" s="2058" customFormat="1" ht="18" customHeight="1" thickBot="1">
      <c r="A60" s="1646" t="s">
        <v>1833</v>
      </c>
      <c r="B60" s="781" t="s">
        <v>1759</v>
      </c>
      <c r="C60" s="53">
        <f ca="1">IF(D60="按租金收入计税",ROUND(C47*F60,1),IF(D60="按房产原值计税",ROUND(C56*F60*0.7,1),INDIRECT("'数据-取费表'!Aj"&amp;$G$1)))</f>
        <v>0</v>
      </c>
      <c r="D60" s="2638" t="str">
        <f>D33</f>
        <v>按房产原值计税</v>
      </c>
      <c r="E60" s="781" t="s">
        <v>1748</v>
      </c>
      <c r="F60" s="806">
        <f t="shared" si="0"/>
        <v>1.2E-2</v>
      </c>
      <c r="I60" s="3164" t="s">
        <v>2364</v>
      </c>
      <c r="J60" s="3165" t="str">
        <f ca="1">IF(OR(M47="住宅",J51&lt;L48,J56="是"),"0",ROUND(J59/(1+J52)^J53,0))</f>
        <v>0</v>
      </c>
      <c r="K60" s="3166" t="s">
        <v>2369</v>
      </c>
      <c r="L60" s="3165" t="e">
        <f ca="1">IF(OR(M47="住宅",L48&lt;J51),0,ROUND(L57*(L58/L59-1),0))</f>
        <v>#DIV/0!</v>
      </c>
      <c r="O60" s="2400" t="s">
        <v>2387</v>
      </c>
      <c r="P60" s="2398" t="s">
        <v>2396</v>
      </c>
      <c r="Q60" s="2401">
        <f>L52</f>
        <v>0</v>
      </c>
      <c r="R60" s="2402"/>
    </row>
    <row r="61" spans="1:18" s="2058" customFormat="1" ht="18" customHeight="1" thickBot="1">
      <c r="A61" s="1649" t="s">
        <v>1834</v>
      </c>
      <c r="B61" s="338" t="s">
        <v>668</v>
      </c>
      <c r="C61" s="54">
        <f ca="1">ROUND(F61*F62/10000,1)</f>
        <v>0</v>
      </c>
      <c r="D61" s="811" t="s">
        <v>669</v>
      </c>
      <c r="E61" s="781" t="s">
        <v>670</v>
      </c>
      <c r="F61" s="637">
        <f t="shared" si="0"/>
        <v>1.5</v>
      </c>
      <c r="K61" s="2085"/>
      <c r="O61" s="2400" t="s">
        <v>2389</v>
      </c>
      <c r="P61" s="2398" t="s">
        <v>2397</v>
      </c>
      <c r="Q61" s="2399" t="e">
        <f ca="1">L58</f>
        <v>#DIV/0!</v>
      </c>
      <c r="R61" s="2402" t="s">
        <v>2398</v>
      </c>
    </row>
    <row r="62" spans="1:18" s="2058" customFormat="1" ht="15.75" thickBot="1">
      <c r="A62" s="812"/>
      <c r="B62" s="790"/>
      <c r="C62" s="69"/>
      <c r="D62" s="813"/>
      <c r="E62" s="781" t="s">
        <v>674</v>
      </c>
      <c r="F62" s="782">
        <f t="shared" ca="1" si="0"/>
        <v>0</v>
      </c>
      <c r="I62" s="3167" t="s">
        <v>2370</v>
      </c>
      <c r="J62" s="3168" t="s">
        <v>2371</v>
      </c>
      <c r="K62" s="3168" t="s">
        <v>2372</v>
      </c>
      <c r="L62" s="3168" t="s">
        <v>2353</v>
      </c>
      <c r="M62" s="3169" t="s">
        <v>2948</v>
      </c>
      <c r="O62" s="2400" t="s">
        <v>2391</v>
      </c>
      <c r="P62" s="2398" t="str">
        <f>K59</f>
        <v>建筑物剩余耐用年限下的土地年期修正系数Kn</v>
      </c>
      <c r="Q62" s="2399" t="e">
        <f ca="1">L59</f>
        <v>#DIV/0!</v>
      </c>
      <c r="R62" s="2402" t="s">
        <v>2400</v>
      </c>
    </row>
    <row r="63" spans="1:18" s="2058" customFormat="1" ht="15.75" thickBot="1">
      <c r="A63" s="1647" t="s">
        <v>1890</v>
      </c>
      <c r="B63" s="781" t="s">
        <v>676</v>
      </c>
      <c r="C63" s="53">
        <f ca="1">ROUND(C56*F63,1)</f>
        <v>0</v>
      </c>
      <c r="D63" s="2638" t="s">
        <v>1804</v>
      </c>
      <c r="E63" s="781" t="s">
        <v>1748</v>
      </c>
      <c r="F63" s="814">
        <f t="shared" ca="1" si="0"/>
        <v>0</v>
      </c>
      <c r="I63" s="3167" t="s">
        <v>2373</v>
      </c>
      <c r="J63" s="3168">
        <v>70</v>
      </c>
      <c r="K63" s="3168">
        <v>50</v>
      </c>
      <c r="L63" s="3168">
        <v>80</v>
      </c>
      <c r="M63" s="3170">
        <v>0.02</v>
      </c>
      <c r="O63" s="2397" t="s">
        <v>2394</v>
      </c>
      <c r="P63" s="2398" t="s">
        <v>2411</v>
      </c>
      <c r="Q63" s="2399" t="e">
        <f ca="1">Q57+Q58</f>
        <v>#DIV/0!</v>
      </c>
      <c r="R63" s="2402" t="s">
        <v>2395</v>
      </c>
    </row>
    <row r="64" spans="1:18" s="2058" customFormat="1" ht="16.5" thickBot="1">
      <c r="A64" s="1647" t="s">
        <v>1891</v>
      </c>
      <c r="B64" s="781" t="s">
        <v>679</v>
      </c>
      <c r="C64" s="53">
        <f ca="1">ROUND(C55*F64,1)</f>
        <v>0</v>
      </c>
      <c r="D64" s="2638" t="s">
        <v>680</v>
      </c>
      <c r="E64" s="781" t="s">
        <v>1748</v>
      </c>
      <c r="F64" s="815">
        <f t="shared" ca="1" si="0"/>
        <v>0</v>
      </c>
      <c r="I64" s="3167" t="s">
        <v>2374</v>
      </c>
      <c r="J64" s="3168">
        <v>50</v>
      </c>
      <c r="K64" s="3168">
        <v>35</v>
      </c>
      <c r="L64" s="3168">
        <v>60</v>
      </c>
      <c r="M64" s="843">
        <v>0</v>
      </c>
      <c r="O64" s="2403" t="s">
        <v>2418</v>
      </c>
      <c r="P64" s="1590"/>
      <c r="Q64" s="1602"/>
      <c r="R64" s="1590"/>
    </row>
    <row r="65" spans="1:18" s="2058" customFormat="1" ht="15.75" thickBot="1">
      <c r="A65" s="1647" t="s">
        <v>1892</v>
      </c>
      <c r="B65" s="781" t="s">
        <v>666</v>
      </c>
      <c r="C65" s="53">
        <f ca="1">ROUND(C47*F65,1)</f>
        <v>0</v>
      </c>
      <c r="D65" s="2638" t="s">
        <v>683</v>
      </c>
      <c r="E65" s="781" t="s">
        <v>1748</v>
      </c>
      <c r="F65" s="791">
        <f t="shared" ca="1" si="0"/>
        <v>0</v>
      </c>
      <c r="I65" s="3167" t="s">
        <v>2375</v>
      </c>
      <c r="J65" s="3168">
        <v>40</v>
      </c>
      <c r="K65" s="3168">
        <v>30</v>
      </c>
      <c r="L65" s="3168">
        <v>50</v>
      </c>
      <c r="M65" s="3170">
        <v>0.02</v>
      </c>
      <c r="O65" s="2394" t="s">
        <v>2378</v>
      </c>
      <c r="P65" s="2395" t="s">
        <v>2379</v>
      </c>
      <c r="Q65" s="2396" t="s">
        <v>2380</v>
      </c>
      <c r="R65" s="2395" t="s">
        <v>2381</v>
      </c>
    </row>
    <row r="66" spans="1:18" s="2058" customFormat="1" ht="24.75" thickBot="1">
      <c r="A66" s="794" t="s">
        <v>1777</v>
      </c>
      <c r="B66" s="3008" t="s">
        <v>2825</v>
      </c>
      <c r="C66" s="796">
        <f ca="1">C47-C57</f>
        <v>0</v>
      </c>
      <c r="D66" s="2637" t="s">
        <v>700</v>
      </c>
      <c r="E66" s="2636"/>
      <c r="F66" s="817"/>
      <c r="K66" s="2085"/>
      <c r="O66" s="2397" t="s">
        <v>2382</v>
      </c>
      <c r="P66" s="2398" t="s">
        <v>2412</v>
      </c>
      <c r="Q66" s="2399">
        <f ca="1">C40+J29</f>
        <v>0</v>
      </c>
      <c r="R66" s="2398" t="s">
        <v>2383</v>
      </c>
    </row>
    <row r="67" spans="1:18" s="2058" customFormat="1" ht="20.25" thickBot="1">
      <c r="A67" s="778" t="s">
        <v>1781</v>
      </c>
      <c r="B67" s="2231" t="s">
        <v>2304</v>
      </c>
      <c r="C67" s="780">
        <f ca="1">ROUND(C66*(1-((1+F69)/(1+F67))^F68)/(F67-F69),0)</f>
        <v>0</v>
      </c>
      <c r="D67" s="811" t="s">
        <v>704</v>
      </c>
      <c r="E67" s="781" t="s">
        <v>705</v>
      </c>
      <c r="F67" s="791">
        <f ca="1">F40</f>
        <v>4.4999999999999998E-2</v>
      </c>
      <c r="K67" s="2085"/>
      <c r="O67" s="2397" t="s">
        <v>2384</v>
      </c>
      <c r="P67" s="2398" t="s">
        <v>2415</v>
      </c>
      <c r="Q67" s="2399" t="e">
        <f ca="1">L60</f>
        <v>#DIV/0!</v>
      </c>
      <c r="R67" s="2402" t="s">
        <v>2417</v>
      </c>
    </row>
    <row r="68" spans="1:18" ht="21.75" thickBot="1">
      <c r="A68" s="783"/>
      <c r="B68" s="784"/>
      <c r="C68" s="785"/>
      <c r="D68" s="818" t="s">
        <v>1809</v>
      </c>
      <c r="E68" s="781" t="s">
        <v>1785</v>
      </c>
      <c r="F68" s="819">
        <f ca="1">F41</f>
        <v>70</v>
      </c>
      <c r="O68" s="2400" t="s">
        <v>2386</v>
      </c>
      <c r="P68" s="2398" t="s">
        <v>2416</v>
      </c>
      <c r="Q68" s="2404">
        <f ca="1">L51</f>
        <v>0</v>
      </c>
      <c r="R68" s="2405" t="s">
        <v>2419</v>
      </c>
    </row>
    <row r="69" spans="1:18" ht="20.25" thickBot="1">
      <c r="A69" s="787"/>
      <c r="B69" s="788"/>
      <c r="C69" s="789"/>
      <c r="D69" s="813"/>
      <c r="E69" s="781" t="s">
        <v>710</v>
      </c>
      <c r="F69" s="2370"/>
      <c r="O69" s="2400" t="s">
        <v>2387</v>
      </c>
      <c r="P69" s="2406" t="s">
        <v>2401</v>
      </c>
      <c r="Q69" s="2399">
        <f ca="1">ROUND(Q70-Q71*Q72,0)</f>
        <v>0</v>
      </c>
      <c r="R69" s="2402"/>
    </row>
    <row r="70" spans="1:18" ht="15.75" thickBot="1">
      <c r="A70" s="820" t="s">
        <v>1788</v>
      </c>
      <c r="B70" s="821" t="s">
        <v>1811</v>
      </c>
      <c r="C70" s="822" t="e">
        <f ca="1">ROUND(C67*10000/F70,0)</f>
        <v>#DIV/0!</v>
      </c>
      <c r="D70" s="823" t="s">
        <v>1812</v>
      </c>
      <c r="E70" s="824" t="s">
        <v>1813</v>
      </c>
      <c r="F70" s="825">
        <f ca="1">F43</f>
        <v>0</v>
      </c>
      <c r="O70" s="2400" t="s">
        <v>2402</v>
      </c>
      <c r="P70" s="2406" t="s">
        <v>2403</v>
      </c>
      <c r="Q70" s="2399">
        <f ca="1">C39</f>
        <v>0</v>
      </c>
      <c r="R70" s="2398" t="s">
        <v>2383</v>
      </c>
    </row>
    <row r="71" spans="1:18" ht="15.75" thickBot="1">
      <c r="O71" s="2400" t="s">
        <v>2404</v>
      </c>
      <c r="P71" s="2406" t="s">
        <v>2405</v>
      </c>
      <c r="Q71" s="2399">
        <f ca="1">C13</f>
        <v>0</v>
      </c>
      <c r="R71" s="2398" t="s">
        <v>2383</v>
      </c>
    </row>
    <row r="72" spans="1:18" ht="15.75" thickBot="1">
      <c r="O72" s="2400" t="s">
        <v>2406</v>
      </c>
      <c r="P72" s="2406" t="s">
        <v>2407</v>
      </c>
      <c r="Q72" s="2401">
        <f ca="1">J36</f>
        <v>8.5000000000000006E-2</v>
      </c>
      <c r="R72" s="2402"/>
    </row>
    <row r="73" spans="1:18" ht="15.75" thickBot="1">
      <c r="O73" s="2400" t="s">
        <v>2389</v>
      </c>
      <c r="P73" s="2398" t="s">
        <v>2396</v>
      </c>
      <c r="Q73" s="2401">
        <f>L52</f>
        <v>0</v>
      </c>
      <c r="R73" s="2402"/>
    </row>
    <row r="74" spans="1:18" ht="20.25" thickBot="1">
      <c r="O74" s="2400" t="s">
        <v>2391</v>
      </c>
      <c r="P74" s="2398" t="s">
        <v>2397</v>
      </c>
      <c r="Q74" s="2399" t="e">
        <f ca="1">L58</f>
        <v>#DIV/0!</v>
      </c>
      <c r="R74" s="2402" t="s">
        <v>2398</v>
      </c>
    </row>
    <row r="75" spans="1:18" ht="15.75" thickBot="1">
      <c r="O75" s="2400" t="s">
        <v>2420</v>
      </c>
      <c r="P75" s="2398" t="str">
        <f>K59</f>
        <v>建筑物剩余耐用年限下的土地年期修正系数Kn</v>
      </c>
      <c r="Q75" s="2399" t="e">
        <f ca="1">L59</f>
        <v>#DIV/0!</v>
      </c>
      <c r="R75" s="2402" t="s">
        <v>2400</v>
      </c>
    </row>
    <row r="76" spans="1:18" ht="15.75" thickBot="1">
      <c r="O76" s="2397" t="s">
        <v>2394</v>
      </c>
      <c r="P76" s="2398" t="s">
        <v>2411</v>
      </c>
      <c r="Q76" s="2399" t="e">
        <f ca="1">Q66+Q67</f>
        <v>#DIV/0!</v>
      </c>
      <c r="R76" s="2402"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8" t="s">
        <v>2474</v>
      </c>
      <c r="B1" s="3529"/>
      <c r="C1" s="3530"/>
      <c r="D1" s="3531">
        <f>SUM(I10,I15,I20,I21,I23)</f>
        <v>0</v>
      </c>
      <c r="E1" s="3531"/>
      <c r="F1" s="3531"/>
      <c r="G1" s="3531"/>
      <c r="H1" s="3531"/>
      <c r="I1" s="3532"/>
    </row>
    <row r="2" spans="1:9">
      <c r="A2" s="3533" t="s">
        <v>2475</v>
      </c>
      <c r="B2" s="3534" t="s">
        <v>2476</v>
      </c>
      <c r="C2" s="3534"/>
      <c r="D2" s="2506" t="s">
        <v>2477</v>
      </c>
      <c r="E2" s="2506" t="s">
        <v>2478</v>
      </c>
      <c r="F2" s="2506" t="s">
        <v>2479</v>
      </c>
      <c r="G2" s="2506" t="s">
        <v>2480</v>
      </c>
      <c r="H2" s="2506" t="s">
        <v>2481</v>
      </c>
      <c r="I2" s="2507" t="s">
        <v>2482</v>
      </c>
    </row>
    <row r="3" spans="1:9">
      <c r="A3" s="3533"/>
      <c r="B3" s="3534" t="s">
        <v>2483</v>
      </c>
      <c r="C3" s="3534"/>
      <c r="D3" s="2508"/>
      <c r="E3" s="2506"/>
      <c r="F3" s="2509"/>
      <c r="G3" s="2509"/>
      <c r="H3" s="2510"/>
      <c r="I3" s="2511">
        <f>ROUND(D3*E3*F3*G3*H3/10000,0)</f>
        <v>0</v>
      </c>
    </row>
    <row r="4" spans="1:9">
      <c r="A4" s="3533"/>
      <c r="B4" s="3534" t="s">
        <v>2484</v>
      </c>
      <c r="C4" s="3534"/>
      <c r="D4" s="2508"/>
      <c r="E4" s="2506"/>
      <c r="F4" s="2509"/>
      <c r="G4" s="2509"/>
      <c r="H4" s="2510"/>
      <c r="I4" s="2511">
        <f t="shared" ref="I4:I9" si="0">ROUND(D4*E4*F4*G4*H4/10000,0)</f>
        <v>0</v>
      </c>
    </row>
    <row r="5" spans="1:9">
      <c r="A5" s="3533"/>
      <c r="B5" s="3534" t="s">
        <v>2485</v>
      </c>
      <c r="C5" s="3534"/>
      <c r="D5" s="2508"/>
      <c r="E5" s="2506"/>
      <c r="F5" s="2509"/>
      <c r="G5" s="2509"/>
      <c r="H5" s="2510"/>
      <c r="I5" s="2511">
        <f t="shared" si="0"/>
        <v>0</v>
      </c>
    </row>
    <row r="6" spans="1:9">
      <c r="A6" s="3533"/>
      <c r="B6" s="3534" t="s">
        <v>2486</v>
      </c>
      <c r="C6" s="3534"/>
      <c r="D6" s="2508"/>
      <c r="E6" s="2506"/>
      <c r="F6" s="2509"/>
      <c r="G6" s="2509"/>
      <c r="H6" s="2510"/>
      <c r="I6" s="2511">
        <f t="shared" si="0"/>
        <v>0</v>
      </c>
    </row>
    <row r="7" spans="1:9">
      <c r="A7" s="3533"/>
      <c r="B7" s="3534" t="s">
        <v>2487</v>
      </c>
      <c r="C7" s="3534"/>
      <c r="D7" s="2508"/>
      <c r="E7" s="2506"/>
      <c r="F7" s="2509"/>
      <c r="G7" s="2509"/>
      <c r="H7" s="2510"/>
      <c r="I7" s="2511">
        <f t="shared" si="0"/>
        <v>0</v>
      </c>
    </row>
    <row r="8" spans="1:9">
      <c r="A8" s="3533"/>
      <c r="B8" s="3534" t="s">
        <v>2488</v>
      </c>
      <c r="C8" s="3534"/>
      <c r="D8" s="2508"/>
      <c r="E8" s="2506"/>
      <c r="F8" s="2509"/>
      <c r="G8" s="2509"/>
      <c r="H8" s="2510"/>
      <c r="I8" s="2511">
        <f t="shared" si="0"/>
        <v>0</v>
      </c>
    </row>
    <row r="9" spans="1:9">
      <c r="A9" s="3533"/>
      <c r="B9" s="3534" t="s">
        <v>2489</v>
      </c>
      <c r="C9" s="3534"/>
      <c r="D9" s="2508"/>
      <c r="E9" s="2506"/>
      <c r="F9" s="2509"/>
      <c r="G9" s="2509"/>
      <c r="H9" s="2510"/>
      <c r="I9" s="2511">
        <f t="shared" si="0"/>
        <v>0</v>
      </c>
    </row>
    <row r="10" spans="1:9">
      <c r="A10" s="3533"/>
      <c r="B10" s="3535" t="s">
        <v>2490</v>
      </c>
      <c r="C10" s="3535"/>
      <c r="D10" s="2512">
        <v>527</v>
      </c>
      <c r="E10" s="2512" t="e">
        <f>ROUND(D1*10000/D10/H9,0)</f>
        <v>#DIV/0!</v>
      </c>
      <c r="F10" s="2513"/>
      <c r="G10" s="2513"/>
      <c r="H10" s="2514"/>
      <c r="I10" s="2515">
        <f>SUM(I3:I9)</f>
        <v>0</v>
      </c>
    </row>
    <row r="11" spans="1:9" ht="14.25">
      <c r="A11" s="3533" t="s">
        <v>2491</v>
      </c>
      <c r="B11" s="3534" t="s">
        <v>2492</v>
      </c>
      <c r="C11" s="3534"/>
      <c r="D11" s="2508" t="s">
        <v>2493</v>
      </c>
      <c r="E11" s="2508" t="s">
        <v>2494</v>
      </c>
      <c r="F11" s="2509" t="s">
        <v>2495</v>
      </c>
      <c r="G11" s="2509" t="s">
        <v>2496</v>
      </c>
      <c r="H11" s="2516" t="s">
        <v>2497</v>
      </c>
      <c r="I11" s="2507" t="s">
        <v>2498</v>
      </c>
    </row>
    <row r="12" spans="1:9">
      <c r="A12" s="3533"/>
      <c r="B12" s="3534" t="s">
        <v>2499</v>
      </c>
      <c r="C12" s="3534"/>
      <c r="D12" s="2508"/>
      <c r="E12" s="2508"/>
      <c r="F12" s="2509"/>
      <c r="G12" s="2510"/>
      <c r="H12" s="2517"/>
      <c r="I12" s="2507">
        <f>ROUND(D12*E12*F12*G12/10000,0)</f>
        <v>0</v>
      </c>
    </row>
    <row r="13" spans="1:9">
      <c r="A13" s="3533"/>
      <c r="B13" s="3534" t="s">
        <v>2500</v>
      </c>
      <c r="C13" s="3534"/>
      <c r="D13" s="2508"/>
      <c r="E13" s="2508"/>
      <c r="F13" s="2509"/>
      <c r="G13" s="2510"/>
      <c r="H13" s="2517"/>
      <c r="I13" s="2507">
        <f>ROUND(D13*E13*F13*G13/10000,0)</f>
        <v>0</v>
      </c>
    </row>
    <row r="14" spans="1:9">
      <c r="A14" s="3533"/>
      <c r="B14" s="3534" t="s">
        <v>2501</v>
      </c>
      <c r="C14" s="3534"/>
      <c r="D14" s="2508"/>
      <c r="E14" s="2508"/>
      <c r="F14" s="2509"/>
      <c r="G14" s="2510"/>
      <c r="H14" s="2517"/>
      <c r="I14" s="2507">
        <f>ROUND(D14*E14*F14*G14/10000,0)</f>
        <v>0</v>
      </c>
    </row>
    <row r="15" spans="1:9">
      <c r="A15" s="3533"/>
      <c r="B15" s="3535" t="s">
        <v>2490</v>
      </c>
      <c r="C15" s="3535"/>
      <c r="D15" s="2512"/>
      <c r="E15" s="2512">
        <f>SUM(E12:E14)</f>
        <v>0</v>
      </c>
      <c r="F15" s="2513"/>
      <c r="G15" s="2510"/>
      <c r="H15" s="2517"/>
      <c r="I15" s="2518">
        <f>SUM(I12:I14)</f>
        <v>0</v>
      </c>
    </row>
    <row r="16" spans="1:9" ht="24">
      <c r="A16" s="3533" t="s">
        <v>2502</v>
      </c>
      <c r="B16" s="3534" t="s">
        <v>2503</v>
      </c>
      <c r="C16" s="3534"/>
      <c r="D16" s="2508" t="s">
        <v>2504</v>
      </c>
      <c r="E16" s="2519" t="s">
        <v>2505</v>
      </c>
      <c r="F16" s="2509" t="s">
        <v>2506</v>
      </c>
      <c r="G16" s="2510" t="s">
        <v>2496</v>
      </c>
      <c r="H16" s="2516" t="s">
        <v>2497</v>
      </c>
      <c r="I16" s="2507" t="s">
        <v>2498</v>
      </c>
    </row>
    <row r="17" spans="1:9" ht="14.25">
      <c r="A17" s="3533"/>
      <c r="B17" s="3534" t="s">
        <v>2507</v>
      </c>
      <c r="C17" s="3534"/>
      <c r="D17" s="2508"/>
      <c r="E17" s="2508"/>
      <c r="F17" s="2509"/>
      <c r="G17" s="2510"/>
      <c r="H17" s="2520"/>
      <c r="I17" s="2521">
        <f>ROUND(D17*E17*F17*G17/10000,0)</f>
        <v>0</v>
      </c>
    </row>
    <row r="18" spans="1:9" ht="14.25">
      <c r="A18" s="3533"/>
      <c r="B18" s="3534" t="s">
        <v>2508</v>
      </c>
      <c r="C18" s="3534"/>
      <c r="D18" s="2508"/>
      <c r="E18" s="2508"/>
      <c r="F18" s="2509"/>
      <c r="G18" s="2510"/>
      <c r="H18" s="2520"/>
      <c r="I18" s="2521">
        <f>ROUND(D18*E18*F18*G18/10000,0)</f>
        <v>0</v>
      </c>
    </row>
    <row r="19" spans="1:9" ht="14.25">
      <c r="A19" s="3533"/>
      <c r="B19" s="3534" t="s">
        <v>2509</v>
      </c>
      <c r="C19" s="3534"/>
      <c r="D19" s="2508"/>
      <c r="E19" s="2508"/>
      <c r="F19" s="2509"/>
      <c r="G19" s="2510"/>
      <c r="H19" s="2520"/>
      <c r="I19" s="2521">
        <f>ROUND(D19*E19*F19*G19/10000,0)</f>
        <v>0</v>
      </c>
    </row>
    <row r="20" spans="1:9">
      <c r="A20" s="3533"/>
      <c r="B20" s="3535" t="s">
        <v>2490</v>
      </c>
      <c r="C20" s="3535"/>
      <c r="D20" s="2512">
        <f>SUM(D17:D19)</f>
        <v>0</v>
      </c>
      <c r="E20" s="2512"/>
      <c r="F20" s="2513"/>
      <c r="G20" s="2510"/>
      <c r="H20" s="2517"/>
      <c r="I20" s="2518">
        <f>SUM(I17:I19)</f>
        <v>0</v>
      </c>
    </row>
    <row r="21" spans="1:9">
      <c r="A21" s="3533" t="s">
        <v>2510</v>
      </c>
      <c r="B21" s="3537"/>
      <c r="C21" s="3537"/>
      <c r="D21" s="3537"/>
      <c r="E21" s="3537"/>
      <c r="F21" s="3537"/>
      <c r="G21" s="3537"/>
      <c r="H21" s="2522">
        <v>0.1</v>
      </c>
      <c r="I21" s="2515">
        <f>ROUND(I10*H21,0)</f>
        <v>0</v>
      </c>
    </row>
    <row r="22" spans="1:9" ht="14.25">
      <c r="A22" s="3538" t="s">
        <v>2511</v>
      </c>
      <c r="B22" s="3539"/>
      <c r="C22" s="3540"/>
      <c r="D22" s="2523" t="s">
        <v>2512</v>
      </c>
      <c r="E22" s="2523" t="s">
        <v>2513</v>
      </c>
      <c r="F22" s="2524" t="s">
        <v>2514</v>
      </c>
      <c r="G22" s="2524" t="s">
        <v>2515</v>
      </c>
      <c r="H22" s="2516" t="s">
        <v>2516</v>
      </c>
      <c r="I22" s="2507" t="s">
        <v>2517</v>
      </c>
    </row>
    <row r="23" spans="1:9" ht="14.25" thickBot="1">
      <c r="A23" s="3541"/>
      <c r="B23" s="3542"/>
      <c r="C23" s="3543"/>
      <c r="D23" s="2525"/>
      <c r="E23" s="2525"/>
      <c r="F23" s="2525"/>
      <c r="G23" s="2526"/>
      <c r="H23" s="2527"/>
      <c r="I23" s="2528">
        <f>ROUND(E23*D23*F23*(1-G23)/10000,0)</f>
        <v>0</v>
      </c>
    </row>
    <row r="26" spans="1:9">
      <c r="A26" s="2529" t="s">
        <v>2518</v>
      </c>
      <c r="B26" s="2529"/>
      <c r="C26" s="2529"/>
      <c r="D26" s="2529"/>
      <c r="E26" s="3544">
        <f>C27-C30-C31-C32</f>
        <v>0</v>
      </c>
      <c r="F26" s="3544"/>
      <c r="G26" s="3544"/>
      <c r="H26" s="3041" t="s">
        <v>2846</v>
      </c>
    </row>
    <row r="27" spans="1:9">
      <c r="A27" s="2530">
        <v>1</v>
      </c>
      <c r="B27" s="2531" t="s">
        <v>2519</v>
      </c>
      <c r="C27" s="2531"/>
      <c r="D27" s="2531"/>
      <c r="E27" s="3545"/>
      <c r="F27" s="3545"/>
      <c r="G27" s="3545"/>
    </row>
    <row r="28" spans="1:9">
      <c r="A28" s="2532" t="s">
        <v>2520</v>
      </c>
      <c r="B28" s="2531" t="s">
        <v>2521</v>
      </c>
      <c r="C28" s="2531"/>
      <c r="D28" s="2531"/>
      <c r="E28" s="3545"/>
      <c r="F28" s="3545"/>
      <c r="G28" s="3545"/>
    </row>
    <row r="29" spans="1:9">
      <c r="A29" s="2532" t="s">
        <v>2522</v>
      </c>
      <c r="B29" s="2531" t="s">
        <v>2463</v>
      </c>
      <c r="C29" s="2531"/>
      <c r="D29" s="2531"/>
      <c r="E29" s="2531" t="s">
        <v>2523</v>
      </c>
      <c r="F29" s="2531"/>
      <c r="G29" s="2531"/>
    </row>
    <row r="30" spans="1:9">
      <c r="A30" s="2530">
        <v>2</v>
      </c>
      <c r="B30" s="2531" t="s">
        <v>2524</v>
      </c>
      <c r="C30" s="2531">
        <f>C27*D30</f>
        <v>0</v>
      </c>
      <c r="D30" s="2533">
        <v>0.2</v>
      </c>
      <c r="E30" s="2531" t="s">
        <v>2525</v>
      </c>
      <c r="F30" s="2531"/>
      <c r="G30" s="2531"/>
    </row>
    <row r="31" spans="1:9">
      <c r="A31" s="2530">
        <v>3</v>
      </c>
      <c r="B31" s="2531" t="s">
        <v>2526</v>
      </c>
      <c r="C31" s="2531">
        <f>C25*D31</f>
        <v>0</v>
      </c>
      <c r="D31" s="2533">
        <v>0.15</v>
      </c>
      <c r="E31" s="2531" t="s">
        <v>2527</v>
      </c>
      <c r="F31" s="2531"/>
      <c r="G31" s="2531"/>
    </row>
    <row r="32" spans="1:9">
      <c r="A32" s="2530">
        <v>4</v>
      </c>
      <c r="B32" s="2531" t="s">
        <v>2528</v>
      </c>
      <c r="C32" s="2531">
        <f>C27*D32</f>
        <v>0</v>
      </c>
      <c r="D32" s="2533">
        <v>0.05</v>
      </c>
      <c r="E32" s="3536"/>
      <c r="F32" s="3536"/>
      <c r="G32" s="3536"/>
    </row>
    <row r="33" spans="1:7" hidden="1">
      <c r="A33" s="3546" t="s">
        <v>2529</v>
      </c>
      <c r="B33" s="3547"/>
      <c r="C33" s="3547"/>
      <c r="D33" s="3548"/>
      <c r="E33" s="3544"/>
      <c r="F33" s="3544"/>
      <c r="G33" s="3544"/>
    </row>
    <row r="34" spans="1:7" hidden="1">
      <c r="A34" s="2534">
        <v>1</v>
      </c>
      <c r="B34" s="2531" t="s">
        <v>2530</v>
      </c>
      <c r="C34" s="2531"/>
      <c r="D34" s="2531"/>
      <c r="E34" s="3545"/>
      <c r="F34" s="3545"/>
      <c r="G34" s="3545"/>
    </row>
    <row r="35" spans="1:7" hidden="1">
      <c r="A35" s="2534">
        <v>2</v>
      </c>
      <c r="B35" s="2531" t="s">
        <v>2531</v>
      </c>
      <c r="C35" s="2531"/>
      <c r="D35" s="2531"/>
      <c r="E35" s="3545"/>
      <c r="F35" s="3545"/>
      <c r="G35" s="3545"/>
    </row>
    <row r="36" spans="1:7" hidden="1">
      <c r="A36" s="2534">
        <v>3</v>
      </c>
      <c r="B36" s="2531" t="s">
        <v>2532</v>
      </c>
      <c r="C36" s="2531"/>
      <c r="D36" s="2531"/>
      <c r="E36" s="3545"/>
      <c r="F36" s="3545"/>
      <c r="G36" s="3545"/>
    </row>
    <row r="37" spans="1:7" hidden="1">
      <c r="A37" s="2534">
        <v>4</v>
      </c>
      <c r="B37" s="2531" t="s">
        <v>2533</v>
      </c>
      <c r="C37" s="2531"/>
      <c r="D37" s="2531"/>
      <c r="E37" s="3545"/>
      <c r="F37" s="3545"/>
      <c r="G37" s="3545"/>
    </row>
    <row r="38" spans="1:7" hidden="1">
      <c r="A38" s="3546" t="s">
        <v>2534</v>
      </c>
      <c r="B38" s="3547"/>
      <c r="C38" s="3547"/>
      <c r="D38" s="3548"/>
      <c r="E38" s="3544"/>
      <c r="F38" s="3544"/>
      <c r="G38" s="35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8" t="s">
        <v>603</v>
      </c>
      <c r="B1" s="739"/>
      <c r="C1" s="2181"/>
      <c r="D1" s="2181"/>
      <c r="E1" s="2181"/>
      <c r="F1" s="2181"/>
      <c r="G1" s="2107"/>
    </row>
    <row r="2" spans="1:25" s="2058" customFormat="1" ht="18" customHeight="1">
      <c r="A2" s="420" t="s">
        <v>467</v>
      </c>
      <c r="B2" s="422">
        <f ca="1">C23</f>
        <v>0</v>
      </c>
      <c r="C2" s="2107"/>
      <c r="D2" s="2107"/>
      <c r="E2" s="2107"/>
      <c r="F2" s="2107"/>
      <c r="G2" s="2107"/>
    </row>
    <row r="3" spans="1:25" s="2058" customFormat="1" ht="18" customHeight="1">
      <c r="A3" s="1377" t="s">
        <v>1686</v>
      </c>
      <c r="B3" s="422">
        <f ca="1">ROUND(B2*10000/'数据-汇总表'!E3,0)</f>
        <v>0</v>
      </c>
      <c r="C3" s="2107"/>
      <c r="D3" s="2107"/>
      <c r="E3" s="2107"/>
      <c r="F3" s="2107"/>
      <c r="G3" s="2107"/>
    </row>
    <row r="4" spans="1:25" s="2058" customFormat="1" ht="18" customHeight="1">
      <c r="A4" s="423" t="s">
        <v>468</v>
      </c>
      <c r="B4" s="424">
        <f ca="1">ROUND(B2*10000/'数据-汇总表'!D3,0)</f>
        <v>0</v>
      </c>
      <c r="C4" s="2060"/>
      <c r="D4" s="2107"/>
      <c r="E4" s="2107"/>
      <c r="F4" s="2107"/>
      <c r="G4" s="2107"/>
    </row>
    <row r="5" spans="1:25" s="2058" customFormat="1" ht="18" customHeight="1" thickBot="1">
      <c r="A5" s="426"/>
      <c r="B5" s="427">
        <f ca="1">ROUND(B2/('数据-汇总表'!D3/666.67),0)</f>
        <v>0</v>
      </c>
      <c r="C5" s="428" t="s">
        <v>469</v>
      </c>
      <c r="D5" s="2107"/>
      <c r="E5" s="2107"/>
      <c r="F5" s="2107"/>
      <c r="G5" s="2107"/>
    </row>
    <row r="6" spans="1:25" s="2182" customFormat="1" ht="13.5" customHeight="1">
      <c r="A6" s="740"/>
      <c r="B6" s="741" t="s">
        <v>604</v>
      </c>
      <c r="C6" s="742" t="s">
        <v>605</v>
      </c>
      <c r="D6" s="742" t="s">
        <v>606</v>
      </c>
      <c r="E6" s="743" t="s">
        <v>607</v>
      </c>
      <c r="F6" s="743" t="s">
        <v>608</v>
      </c>
      <c r="G6" s="744"/>
    </row>
    <row r="7" spans="1:25" s="2182" customFormat="1" ht="13.5" customHeight="1">
      <c r="A7" s="2468">
        <v>1</v>
      </c>
      <c r="B7" s="745" t="s">
        <v>609</v>
      </c>
      <c r="C7" s="746">
        <f>C8+C9</f>
        <v>0</v>
      </c>
      <c r="D7" s="746"/>
      <c r="E7" s="747"/>
      <c r="F7" s="747"/>
      <c r="G7" s="2478"/>
    </row>
    <row r="8" spans="1:25" s="2182" customFormat="1" ht="13.5" customHeight="1">
      <c r="A8" s="2468" t="s">
        <v>2443</v>
      </c>
      <c r="B8" s="2471" t="s">
        <v>2445</v>
      </c>
      <c r="C8" s="2472"/>
      <c r="D8" s="746"/>
      <c r="E8" s="747"/>
      <c r="F8" s="747"/>
      <c r="G8" s="748"/>
    </row>
    <row r="9" spans="1:25" s="2182" customFormat="1" ht="13.5" customHeight="1">
      <c r="A9" s="2468" t="s">
        <v>2444</v>
      </c>
      <c r="B9" s="2471" t="s">
        <v>2446</v>
      </c>
      <c r="C9" s="2472"/>
      <c r="D9" s="746"/>
      <c r="E9" s="747"/>
      <c r="F9" s="747"/>
      <c r="G9" s="748"/>
    </row>
    <row r="10" spans="1:25" s="2182" customFormat="1" ht="36">
      <c r="A10" s="2468">
        <v>2</v>
      </c>
      <c r="B10" s="745" t="s">
        <v>613</v>
      </c>
      <c r="C10" s="746">
        <f>C11+C14+C15</f>
        <v>0</v>
      </c>
      <c r="D10" s="757">
        <f>'数据-汇总表'!E3</f>
        <v>100957</v>
      </c>
      <c r="E10" s="746">
        <f>'数据-取费表'!B31</f>
        <v>200</v>
      </c>
      <c r="F10" s="758"/>
      <c r="G10" s="756" t="s">
        <v>614</v>
      </c>
    </row>
    <row r="11" spans="1:25" s="2182" customFormat="1" ht="13.5" customHeight="1">
      <c r="A11" s="2468" t="s">
        <v>2443</v>
      </c>
      <c r="B11" s="749" t="s">
        <v>610</v>
      </c>
      <c r="C11" s="750">
        <f>'数据-取费表'!B29</f>
        <v>0</v>
      </c>
      <c r="D11" s="751"/>
      <c r="E11" s="750"/>
      <c r="F11" s="752"/>
      <c r="G11" s="2477" t="s">
        <v>2454</v>
      </c>
    </row>
    <row r="12" spans="1:25" s="2182" customFormat="1" ht="13.5" customHeight="1">
      <c r="A12" s="2475" t="s">
        <v>2451</v>
      </c>
      <c r="B12" s="753" t="s">
        <v>611</v>
      </c>
      <c r="C12" s="754">
        <f>ROUND(D12*E12/10000,0)</f>
        <v>1509</v>
      </c>
      <c r="D12" s="755">
        <f>'数据-汇总表'!E5</f>
        <v>100595</v>
      </c>
      <c r="E12" s="754">
        <f>'数据-取费表'!B27</f>
        <v>150</v>
      </c>
      <c r="F12" s="752"/>
      <c r="G12" s="756"/>
    </row>
    <row r="13" spans="1:25" s="2182" customFormat="1" ht="13.5" customHeight="1">
      <c r="A13" s="2475" t="s">
        <v>2450</v>
      </c>
      <c r="B13" s="753" t="s">
        <v>612</v>
      </c>
      <c r="C13" s="754">
        <f>ROUND(D13*E13/10000,0)</f>
        <v>7</v>
      </c>
      <c r="D13" s="755">
        <f>'数据-汇总表'!E6</f>
        <v>362</v>
      </c>
      <c r="E13" s="754">
        <f>'数据-取费表'!B28</f>
        <v>190</v>
      </c>
      <c r="F13" s="752"/>
      <c r="G13" s="756"/>
    </row>
    <row r="14" spans="1:25" s="2182" customFormat="1" ht="13.5" customHeight="1">
      <c r="A14" s="2468" t="s">
        <v>2444</v>
      </c>
      <c r="B14" s="2474" t="s">
        <v>2447</v>
      </c>
      <c r="C14" s="2472"/>
      <c r="D14" s="755"/>
      <c r="E14" s="754"/>
      <c r="F14" s="2473"/>
      <c r="G14" s="2476" t="s">
        <v>2452</v>
      </c>
    </row>
    <row r="15" spans="1:25" s="2182" customFormat="1" ht="13.5" customHeight="1">
      <c r="A15" s="2468" t="s">
        <v>2449</v>
      </c>
      <c r="B15" s="2474" t="s">
        <v>2448</v>
      </c>
      <c r="C15" s="2472"/>
      <c r="D15" s="755"/>
      <c r="E15" s="754"/>
      <c r="F15" s="2473"/>
      <c r="G15" s="2476" t="s">
        <v>2453</v>
      </c>
    </row>
    <row r="16" spans="1:25" s="2183" customFormat="1" ht="48">
      <c r="A16" s="2468">
        <v>3</v>
      </c>
      <c r="B16" s="745" t="s">
        <v>615</v>
      </c>
      <c r="C16" s="2472"/>
      <c r="D16" s="757"/>
      <c r="E16" s="746"/>
      <c r="F16" s="758"/>
      <c r="G16" s="756" t="s">
        <v>2455</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5" t="s">
        <v>616</v>
      </c>
      <c r="C17" s="257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5" t="s">
        <v>617</v>
      </c>
      <c r="C18" s="746">
        <f>ROUND((C7+C10+C16)*F18,0)</f>
        <v>0</v>
      </c>
      <c r="D18" s="759"/>
      <c r="E18" s="760"/>
      <c r="F18" s="758">
        <f>'数据-取费表'!Q16</f>
        <v>0.4</v>
      </c>
      <c r="G18" s="762"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5" t="s">
        <v>619</v>
      </c>
      <c r="C19" s="746">
        <f ca="1">C7+C10+C16+C17+C18</f>
        <v>0</v>
      </c>
      <c r="D19" s="757"/>
      <c r="E19" s="746"/>
      <c r="F19" s="758"/>
      <c r="G19" s="762"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5" t="s">
        <v>621</v>
      </c>
      <c r="C20" s="746">
        <f ca="1">ROUND(C19*F20,0)</f>
        <v>0</v>
      </c>
      <c r="D20" s="757"/>
      <c r="E20" s="746"/>
      <c r="F20" s="1346"/>
      <c r="G20" s="762"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5" t="s">
        <v>623</v>
      </c>
      <c r="C21" s="746">
        <f ca="1">C19+C20</f>
        <v>0</v>
      </c>
      <c r="D21" s="757"/>
      <c r="E21" s="746"/>
      <c r="F21" s="758"/>
      <c r="G21" s="762"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5" t="s">
        <v>625</v>
      </c>
      <c r="C22" s="746">
        <f ca="1">ROUND(C21*F22,0)</f>
        <v>0</v>
      </c>
      <c r="D22" s="757"/>
      <c r="E22" s="746"/>
      <c r="F22" s="763">
        <f>'数据-取费表'!AP16</f>
        <v>0.93600000000000005</v>
      </c>
      <c r="G22" s="762"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4" t="s">
        <v>627</v>
      </c>
      <c r="C23" s="765">
        <f ca="1">C22</f>
        <v>0</v>
      </c>
      <c r="D23" s="766"/>
      <c r="E23" s="765"/>
      <c r="F23" s="767"/>
      <c r="G23" s="768"/>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22" t="s">
        <v>719</v>
      </c>
      <c r="C1" s="2623" t="s">
        <v>720</v>
      </c>
      <c r="D1" s="2624"/>
      <c r="E1" s="2625"/>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0" t="s">
        <v>467</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59" customFormat="1" ht="28.5" customHeight="1" thickBot="1">
      <c r="A3" s="506" t="s">
        <v>519</v>
      </c>
      <c r="B3" s="848" t="e">
        <f>C49</f>
        <v>#DIV/0!</v>
      </c>
      <c r="C3" s="849" t="s">
        <v>722</v>
      </c>
      <c r="D3" s="848">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09" t="s">
        <v>521</v>
      </c>
      <c r="B4" s="510"/>
      <c r="C4" s="3468" t="s">
        <v>522</v>
      </c>
      <c r="D4" s="3469"/>
      <c r="E4" s="3502" t="s">
        <v>523</v>
      </c>
      <c r="F4" s="3503"/>
      <c r="G4" s="3468" t="s">
        <v>524</v>
      </c>
      <c r="H4" s="3469"/>
      <c r="I4" s="3468" t="s">
        <v>525</v>
      </c>
      <c r="J4" s="3469"/>
      <c r="K4" s="850" t="s">
        <v>526</v>
      </c>
      <c r="L4" s="2132"/>
      <c r="M4" s="2133"/>
      <c r="N4" s="2133"/>
      <c r="O4" s="2133"/>
      <c r="P4" s="3470" t="s">
        <v>527</v>
      </c>
      <c r="Q4" s="3471"/>
      <c r="R4" s="3476" t="s">
        <v>523</v>
      </c>
      <c r="S4" s="3477"/>
      <c r="T4" s="3476" t="s">
        <v>524</v>
      </c>
      <c r="U4" s="3477"/>
      <c r="V4" s="3463" t="s">
        <v>525</v>
      </c>
      <c r="W4" s="3463"/>
      <c r="X4" s="1565"/>
      <c r="Y4" s="3476" t="s">
        <v>527</v>
      </c>
      <c r="Z4" s="3477"/>
      <c r="AA4" s="3465" t="s">
        <v>523</v>
      </c>
      <c r="AB4" s="3465" t="s">
        <v>524</v>
      </c>
      <c r="AC4" s="3465" t="s">
        <v>525</v>
      </c>
    </row>
    <row r="5" spans="1:29" ht="15">
      <c r="A5" s="512"/>
      <c r="B5" s="513"/>
      <c r="C5" s="3484" t="s">
        <v>2933</v>
      </c>
      <c r="D5" s="3485"/>
      <c r="E5" s="3504" t="s">
        <v>2934</v>
      </c>
      <c r="F5" s="3505"/>
      <c r="G5" s="3484" t="s">
        <v>2935</v>
      </c>
      <c r="H5" s="3485"/>
      <c r="I5" s="3484" t="s">
        <v>2936</v>
      </c>
      <c r="J5" s="3485"/>
      <c r="K5" s="851"/>
      <c r="L5" s="2132"/>
      <c r="M5" s="2133"/>
      <c r="N5" s="2133"/>
      <c r="O5" s="2133"/>
      <c r="P5" s="3472"/>
      <c r="Q5" s="3473"/>
      <c r="R5" s="3478"/>
      <c r="S5" s="3479"/>
      <c r="T5" s="3478"/>
      <c r="U5" s="3479"/>
      <c r="V5" s="3463"/>
      <c r="W5" s="3463"/>
      <c r="X5" s="1565"/>
      <c r="Y5" s="3478"/>
      <c r="Z5" s="3479"/>
      <c r="AA5" s="3466"/>
      <c r="AB5" s="3466"/>
      <c r="AC5" s="3466"/>
    </row>
    <row r="6" spans="1:29" ht="15.75" thickBot="1">
      <c r="A6" s="514"/>
      <c r="B6" s="515"/>
      <c r="C6" s="3482" t="s">
        <v>2937</v>
      </c>
      <c r="D6" s="3483"/>
      <c r="E6" s="3500" t="s">
        <v>2937</v>
      </c>
      <c r="F6" s="3501"/>
      <c r="G6" s="3482" t="s">
        <v>2937</v>
      </c>
      <c r="H6" s="3483"/>
      <c r="I6" s="3482" t="s">
        <v>2937</v>
      </c>
      <c r="J6" s="3483"/>
      <c r="K6" s="851" t="s">
        <v>528</v>
      </c>
      <c r="L6" s="2132"/>
      <c r="M6" s="2133"/>
      <c r="N6" s="2133"/>
      <c r="O6" s="2133"/>
      <c r="P6" s="3474"/>
      <c r="Q6" s="3475"/>
      <c r="R6" s="3478"/>
      <c r="S6" s="3479"/>
      <c r="T6" s="3480"/>
      <c r="U6" s="3481"/>
      <c r="V6" s="3463"/>
      <c r="W6" s="3463"/>
      <c r="X6" s="1565"/>
      <c r="Y6" s="3480"/>
      <c r="Z6" s="3481"/>
      <c r="AA6" s="3467"/>
      <c r="AB6" s="3467"/>
      <c r="AC6" s="3467"/>
    </row>
    <row r="7" spans="1:29" s="1217" customFormat="1" ht="15.75" thickBot="1">
      <c r="A7" s="2909"/>
      <c r="B7" s="2916" t="s">
        <v>529</v>
      </c>
      <c r="C7" s="516">
        <f>'数据-取费表'!B2</f>
        <v>43650</v>
      </c>
      <c r="D7" s="517">
        <v>100</v>
      </c>
      <c r="E7" s="518"/>
      <c r="F7" s="519">
        <f>SUMIF(58:58,YEAR(E7)&amp;"-"&amp;MONTH(E7),59:59)</f>
        <v>0</v>
      </c>
      <c r="G7" s="520"/>
      <c r="H7" s="517">
        <f>SUMIF(58:58,YEAR(G7)&amp;"-"&amp;MONTH(G7),59:59)</f>
        <v>0</v>
      </c>
      <c r="I7" s="520"/>
      <c r="J7" s="517">
        <f>SUMIF(58:58,YEAR(I7)&amp;"-"&amp;MONTH(I7),59:59)</f>
        <v>0</v>
      </c>
      <c r="K7" s="852"/>
      <c r="L7" s="2134"/>
      <c r="M7" s="2135"/>
      <c r="N7" s="2135"/>
      <c r="O7" s="2135"/>
      <c r="P7" s="3493" t="s">
        <v>530</v>
      </c>
      <c r="Q7" s="3495"/>
      <c r="R7" s="1566" t="s">
        <v>13</v>
      </c>
      <c r="S7" s="1567">
        <f t="shared" ref="S7:S15" si="0">F7</f>
        <v>0</v>
      </c>
      <c r="T7" s="1566" t="s">
        <v>13</v>
      </c>
      <c r="U7" s="1567">
        <f t="shared" ref="U7:U15" si="1">H7</f>
        <v>0</v>
      </c>
      <c r="V7" s="1566" t="s">
        <v>13</v>
      </c>
      <c r="W7" s="1567">
        <f t="shared" ref="W7:W15"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853"/>
      <c r="F8" s="519">
        <f>SUMIF(61:61,E8,62:62)-SUMIF(61:61,C8,62:62)+100</f>
        <v>0</v>
      </c>
      <c r="G8" s="522"/>
      <c r="H8" s="517">
        <f>SUMIF(61:61,G8,62:62)-SUMIF(61:61,C8,62:62)+100</f>
        <v>0</v>
      </c>
      <c r="I8" s="853"/>
      <c r="J8" s="517">
        <f>SUMIF(61:61,I8,62:62)-SUMIF(61:61,C8,62:62)+100</f>
        <v>0</v>
      </c>
      <c r="K8" s="852"/>
      <c r="L8" s="2134"/>
      <c r="M8" s="2135"/>
      <c r="N8" s="2135"/>
      <c r="O8" s="2135"/>
      <c r="P8" s="3493" t="s">
        <v>533</v>
      </c>
      <c r="Q8" s="3494"/>
      <c r="R8" s="1566" t="s">
        <v>13</v>
      </c>
      <c r="S8" s="1567">
        <f t="shared" si="0"/>
        <v>0</v>
      </c>
      <c r="T8" s="1566" t="s">
        <v>13</v>
      </c>
      <c r="U8" s="1567">
        <f t="shared" si="1"/>
        <v>0</v>
      </c>
      <c r="V8" s="1566" t="s">
        <v>13</v>
      </c>
      <c r="W8" s="1567">
        <f t="shared" si="2"/>
        <v>0</v>
      </c>
      <c r="X8" s="1568"/>
      <c r="Y8" s="3493" t="s">
        <v>533</v>
      </c>
      <c r="Z8" s="3494"/>
      <c r="AA8" s="1569" t="e">
        <f t="shared" ref="AA8:AA46" si="3">D8/F8</f>
        <v>#DIV/0!</v>
      </c>
      <c r="AB8" s="1569" t="e">
        <f t="shared" ref="AB8:AB46" si="4">D8/H8</f>
        <v>#DIV/0!</v>
      </c>
      <c r="AC8" s="1569" t="e">
        <f t="shared" ref="AC8:AC46" si="5">D8/J8</f>
        <v>#DIV/0!</v>
      </c>
    </row>
    <row r="9" spans="1:29" s="1217" customFormat="1" ht="15">
      <c r="A9" s="2911"/>
      <c r="B9" s="2918" t="s">
        <v>2759</v>
      </c>
      <c r="C9" s="854"/>
      <c r="D9" s="254">
        <v>100</v>
      </c>
      <c r="E9" s="855"/>
      <c r="F9" s="856">
        <f>SUMIF(63:63,E9,64:64)-SUMIF(63:63,C9,64:64)+100</f>
        <v>100</v>
      </c>
      <c r="G9" s="857"/>
      <c r="H9" s="254">
        <f>SUMIF(63:63,G9,64:64)-SUMIF(63:63,C9,64:64)+100</f>
        <v>100</v>
      </c>
      <c r="I9" s="857"/>
      <c r="J9" s="254">
        <f>SUMIF(63:63,I9,64:64)-SUMIF(63:63,C9,64:64)+100</f>
        <v>100</v>
      </c>
      <c r="K9" s="852"/>
      <c r="L9" s="2134"/>
      <c r="M9" s="2135"/>
      <c r="N9" s="2135"/>
      <c r="O9" s="2136"/>
      <c r="P9" s="3462" t="s">
        <v>535</v>
      </c>
      <c r="Q9" s="1148" t="str">
        <f t="shared" ref="Q9:Q15" si="6">B9</f>
        <v>用途</v>
      </c>
      <c r="R9" s="1566" t="s">
        <v>8</v>
      </c>
      <c r="S9" s="1567">
        <f t="shared" si="0"/>
        <v>100</v>
      </c>
      <c r="T9" s="1566" t="s">
        <v>8</v>
      </c>
      <c r="U9" s="1567">
        <f t="shared" si="1"/>
        <v>100</v>
      </c>
      <c r="V9" s="1566" t="s">
        <v>8</v>
      </c>
      <c r="W9" s="1567">
        <f t="shared" si="2"/>
        <v>100</v>
      </c>
      <c r="X9" s="1568"/>
      <c r="Y9" s="3383"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9"/>
      <c r="F10" s="860">
        <f>SUMIF(65:65,E10,66:66)-SUMIF(65:65,C10,66:66)+100</f>
        <v>100</v>
      </c>
      <c r="G10" s="858"/>
      <c r="H10" s="255">
        <f>SUMIF(65:65,G10,66:66)-SUMIF(65:65,C10,66:66)+100</f>
        <v>100</v>
      </c>
      <c r="I10" s="858"/>
      <c r="J10" s="255">
        <f>SUMIF(65:65,I10,66:66)-SUMIF(65:65,C10,66:66)+100</f>
        <v>100</v>
      </c>
      <c r="K10" s="861"/>
      <c r="L10" s="2137"/>
      <c r="M10" s="2177"/>
      <c r="N10" s="2177"/>
      <c r="O10" s="2138"/>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3"/>
      <c r="B11" s="2917" t="s">
        <v>2761</v>
      </c>
      <c r="C11" s="530"/>
      <c r="D11" s="255">
        <v>100</v>
      </c>
      <c r="E11" s="531"/>
      <c r="F11" s="860" t="e">
        <f>LOOKUP(E11,68:68,69:69)-LOOKUP(C11,68:68,69:69)+100</f>
        <v>#N/A</v>
      </c>
      <c r="G11" s="530"/>
      <c r="H11" s="255" t="e">
        <f>LOOKUP(G11,68:68,69:69)-LOOKUP(C11,68:68,69:69)+100</f>
        <v>#N/A</v>
      </c>
      <c r="I11" s="530"/>
      <c r="J11" s="255" t="e">
        <f>LOOKUP(I11,68:68,69:69)-LOOKUP(C11,68:68,69:69)+100</f>
        <v>#N/A</v>
      </c>
      <c r="K11" s="861"/>
      <c r="L11" s="2139"/>
      <c r="M11" s="2133"/>
      <c r="N11" s="2133"/>
      <c r="O11" s="2140"/>
      <c r="P11" s="3462"/>
      <c r="Q11" s="1148" t="str">
        <f t="shared" si="6"/>
        <v>容积率</v>
      </c>
      <c r="R11" s="1566" t="s">
        <v>11</v>
      </c>
      <c r="S11" s="1567" t="e">
        <f t="shared" si="0"/>
        <v>#N/A</v>
      </c>
      <c r="T11" s="1566" t="s">
        <v>11</v>
      </c>
      <c r="U11" s="1567" t="e">
        <f t="shared" si="1"/>
        <v>#N/A</v>
      </c>
      <c r="V11" s="1566" t="s">
        <v>11</v>
      </c>
      <c r="W11" s="1567" t="e">
        <f t="shared" si="2"/>
        <v>#N/A</v>
      </c>
      <c r="X11" s="1568"/>
      <c r="Y11" s="3383"/>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25"/>
      <c r="F12" s="860">
        <f>SUMIF(70:70,E12,71:71)-SUMIF(70:70,C12,71:71)+100</f>
        <v>100</v>
      </c>
      <c r="G12" s="525"/>
      <c r="H12" s="255">
        <f>SUMIF(70:70,G12,71:71)-SUMIF(70:70,C12,71:71)+100</f>
        <v>100</v>
      </c>
      <c r="I12" s="525"/>
      <c r="J12" s="255">
        <f>SUMIF(70:70,I12,71:71)-SUMIF(70:70,C12,71:71)+100</f>
        <v>100</v>
      </c>
      <c r="K12" s="862"/>
      <c r="L12" s="2134"/>
      <c r="M12" s="2135"/>
      <c r="N12" s="2135"/>
      <c r="O12" s="2136"/>
      <c r="P12" s="3462"/>
      <c r="Q12" s="1148">
        <f t="shared" si="6"/>
        <v>111</v>
      </c>
      <c r="R12" s="1566" t="s">
        <v>11</v>
      </c>
      <c r="S12" s="1567">
        <f t="shared" si="0"/>
        <v>100</v>
      </c>
      <c r="T12" s="1566" t="s">
        <v>11</v>
      </c>
      <c r="U12" s="1567">
        <f t="shared" si="1"/>
        <v>100</v>
      </c>
      <c r="V12" s="1566" t="s">
        <v>11</v>
      </c>
      <c r="W12" s="1567">
        <f t="shared" si="2"/>
        <v>100</v>
      </c>
      <c r="X12" s="1568"/>
      <c r="Y12" s="3383"/>
      <c r="Z12" s="1147">
        <f t="shared" si="7"/>
        <v>111</v>
      </c>
      <c r="AA12" s="1569">
        <f>D12/F12</f>
        <v>1</v>
      </c>
      <c r="AB12" s="1569">
        <f>D12/H12</f>
        <v>1</v>
      </c>
      <c r="AC12" s="1569">
        <f>D12/J12</f>
        <v>1</v>
      </c>
    </row>
    <row r="13" spans="1:29" ht="15">
      <c r="A13" s="2914"/>
      <c r="B13" s="2920">
        <v>111</v>
      </c>
      <c r="C13" s="536"/>
      <c r="D13" s="537">
        <v>100</v>
      </c>
      <c r="E13" s="536"/>
      <c r="F13" s="860">
        <f>SUMIF(72:72,E13,73:73)-SUMIF(72:72,C13,73:73)+100</f>
        <v>100</v>
      </c>
      <c r="G13" s="536"/>
      <c r="H13" s="537">
        <f>SUMIF(72:72,G13,73:73)-SUMIF(72:72,C13,73:73)+100</f>
        <v>100</v>
      </c>
      <c r="I13" s="536"/>
      <c r="J13" s="537">
        <f>SUMIF(72:72,I13,73:73)-SUMIF(72:72,C13,73:73)+100</f>
        <v>100</v>
      </c>
      <c r="K13" s="862"/>
      <c r="L13" s="2141"/>
      <c r="M13" s="2133"/>
      <c r="N13" s="2133"/>
      <c r="O13" s="2140"/>
      <c r="P13" s="3462"/>
      <c r="Q13" s="1148">
        <f t="shared" si="6"/>
        <v>111</v>
      </c>
      <c r="R13" s="1566" t="s">
        <v>11</v>
      </c>
      <c r="S13" s="1567">
        <f t="shared" si="0"/>
        <v>100</v>
      </c>
      <c r="T13" s="1566" t="s">
        <v>11</v>
      </c>
      <c r="U13" s="1567">
        <f t="shared" si="1"/>
        <v>100</v>
      </c>
      <c r="V13" s="1566" t="s">
        <v>11</v>
      </c>
      <c r="W13" s="1567">
        <f t="shared" si="2"/>
        <v>100</v>
      </c>
      <c r="X13" s="1568"/>
      <c r="Y13" s="3383"/>
      <c r="Z13" s="1147">
        <f t="shared" si="7"/>
        <v>111</v>
      </c>
      <c r="AA13" s="1569">
        <f t="shared" si="3"/>
        <v>1</v>
      </c>
      <c r="AB13" s="1569">
        <f t="shared" si="4"/>
        <v>1</v>
      </c>
      <c r="AC13" s="1569">
        <f t="shared" si="5"/>
        <v>1</v>
      </c>
    </row>
    <row r="14" spans="1:29" ht="15.75" thickBot="1">
      <c r="A14" s="2915"/>
      <c r="B14" s="2921">
        <v>111</v>
      </c>
      <c r="C14" s="542"/>
      <c r="D14" s="543">
        <v>100</v>
      </c>
      <c r="E14" s="542"/>
      <c r="F14" s="863">
        <f>SUMIF(74:74,E14,75:75)-SUMIF(74:74,C14,75:75)+100</f>
        <v>100</v>
      </c>
      <c r="G14" s="542"/>
      <c r="H14" s="543">
        <f>SUMIF(74:74,G14,75:75)-SUMIF(74:74,C14,75:75)+100</f>
        <v>100</v>
      </c>
      <c r="I14" s="542"/>
      <c r="J14" s="543">
        <f>SUMIF(74:74,I14,75:75)-SUMIF(74:74,C14,75:75)+100</f>
        <v>100</v>
      </c>
      <c r="K14" s="862"/>
      <c r="L14" s="2141"/>
      <c r="M14" s="2133"/>
      <c r="N14" s="2133"/>
      <c r="O14" s="2140"/>
      <c r="P14" s="3462"/>
      <c r="Q14" s="1148">
        <f t="shared" si="6"/>
        <v>111</v>
      </c>
      <c r="R14" s="1566" t="s">
        <v>11</v>
      </c>
      <c r="S14" s="1567">
        <f t="shared" si="0"/>
        <v>100</v>
      </c>
      <c r="T14" s="1566" t="s">
        <v>11</v>
      </c>
      <c r="U14" s="1567">
        <f t="shared" si="1"/>
        <v>100</v>
      </c>
      <c r="V14" s="1566" t="s">
        <v>11</v>
      </c>
      <c r="W14" s="1567">
        <f t="shared" si="2"/>
        <v>100</v>
      </c>
      <c r="X14" s="1568"/>
      <c r="Y14" s="3383"/>
      <c r="Z14" s="1147">
        <f t="shared" si="7"/>
        <v>111</v>
      </c>
      <c r="AA14" s="1569">
        <f t="shared" si="3"/>
        <v>1</v>
      </c>
      <c r="AB14" s="1569">
        <f t="shared" si="4"/>
        <v>1</v>
      </c>
      <c r="AC14" s="1569">
        <f t="shared" si="5"/>
        <v>1</v>
      </c>
    </row>
    <row r="15" spans="1:29" ht="99.75">
      <c r="A15" s="2907" t="s">
        <v>2757</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41"/>
      <c r="M15" s="2133"/>
      <c r="N15" s="2133"/>
      <c r="O15" s="2140"/>
      <c r="P15" s="3496" t="s">
        <v>540</v>
      </c>
      <c r="Q15" s="1570" t="str">
        <f t="shared" si="6"/>
        <v>居住社区成熟度</v>
      </c>
      <c r="R15" s="1571" t="s">
        <v>11</v>
      </c>
      <c r="S15" s="1572">
        <f t="shared" si="0"/>
        <v>100</v>
      </c>
      <c r="T15" s="1571" t="s">
        <v>11</v>
      </c>
      <c r="U15" s="1572">
        <f t="shared" si="1"/>
        <v>100</v>
      </c>
      <c r="V15" s="1571" t="s">
        <v>11</v>
      </c>
      <c r="W15" s="1572">
        <f t="shared" si="2"/>
        <v>100</v>
      </c>
      <c r="X15" s="1565"/>
      <c r="Y15" s="3496" t="s">
        <v>540</v>
      </c>
      <c r="Z15" s="1573" t="str">
        <f t="shared" si="7"/>
        <v>居住社区成熟度</v>
      </c>
      <c r="AA15" s="1574">
        <f t="shared" si="3"/>
        <v>1</v>
      </c>
      <c r="AB15" s="1574">
        <f t="shared" si="4"/>
        <v>1</v>
      </c>
      <c r="AC15" s="1574">
        <f t="shared" si="5"/>
        <v>1</v>
      </c>
    </row>
    <row r="16" spans="1:29" ht="15">
      <c r="A16" s="529"/>
      <c r="B16" s="866"/>
      <c r="C16" s="573"/>
      <c r="D16" s="552"/>
      <c r="E16" s="553"/>
      <c r="F16" s="554"/>
      <c r="G16" s="555"/>
      <c r="H16" s="556"/>
      <c r="I16" s="553"/>
      <c r="J16" s="552"/>
      <c r="K16" s="867"/>
      <c r="L16" s="2141"/>
      <c r="M16" s="2133"/>
      <c r="N16" s="2133"/>
      <c r="O16" s="2140"/>
      <c r="P16" s="3497"/>
      <c r="Q16" s="1570"/>
      <c r="R16" s="1571"/>
      <c r="S16" s="1572"/>
      <c r="T16" s="1571"/>
      <c r="U16" s="1572"/>
      <c r="V16" s="1571"/>
      <c r="W16" s="1572"/>
      <c r="X16" s="1565"/>
      <c r="Y16" s="3497"/>
      <c r="Z16" s="1573"/>
      <c r="AA16" s="1574">
        <v>1</v>
      </c>
      <c r="AB16" s="1574">
        <v>1</v>
      </c>
      <c r="AC16" s="1574">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41"/>
      <c r="M17" s="2133"/>
      <c r="N17" s="2133"/>
      <c r="O17" s="2140"/>
      <c r="P17" s="3497"/>
      <c r="Q17" s="1570" t="str">
        <f>B17</f>
        <v>交通便捷度</v>
      </c>
      <c r="R17" s="1571" t="s">
        <v>11</v>
      </c>
      <c r="S17" s="1572">
        <f>F17</f>
        <v>100</v>
      </c>
      <c r="T17" s="1571" t="s">
        <v>11</v>
      </c>
      <c r="U17" s="1572">
        <f>H17</f>
        <v>100</v>
      </c>
      <c r="V17" s="1571" t="s">
        <v>11</v>
      </c>
      <c r="W17" s="1572">
        <f>J17</f>
        <v>100</v>
      </c>
      <c r="X17" s="1565"/>
      <c r="Y17" s="3497"/>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67"/>
      <c r="L18" s="2141"/>
      <c r="M18" s="2133"/>
      <c r="N18" s="2133"/>
      <c r="O18" s="2140"/>
      <c r="P18" s="3497"/>
      <c r="Q18" s="1570"/>
      <c r="R18" s="1571"/>
      <c r="S18" s="1572"/>
      <c r="T18" s="1571"/>
      <c r="U18" s="1572"/>
      <c r="V18" s="1571"/>
      <c r="W18" s="1572"/>
      <c r="X18" s="1565"/>
      <c r="Y18" s="3497"/>
      <c r="Z18" s="1573"/>
      <c r="AA18" s="1574">
        <v>1</v>
      </c>
      <c r="AB18" s="1574">
        <v>1</v>
      </c>
      <c r="AC18" s="1574">
        <v>1</v>
      </c>
    </row>
    <row r="19" spans="1:29" ht="42.75">
      <c r="A19" s="529"/>
      <c r="B19" s="2599" t="s">
        <v>2549</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41"/>
      <c r="M19" s="2133"/>
      <c r="N19" s="2133"/>
      <c r="O19" s="2140"/>
      <c r="P19" s="3497"/>
      <c r="Q19" s="1570" t="str">
        <f>B19</f>
        <v>公共配套设施</v>
      </c>
      <c r="R19" s="1571" t="s">
        <v>11</v>
      </c>
      <c r="S19" s="1572">
        <f>F19</f>
        <v>100</v>
      </c>
      <c r="T19" s="1571" t="s">
        <v>11</v>
      </c>
      <c r="U19" s="1572">
        <f>H19</f>
        <v>100</v>
      </c>
      <c r="V19" s="1571" t="s">
        <v>11</v>
      </c>
      <c r="W19" s="1572">
        <f>J19</f>
        <v>100</v>
      </c>
      <c r="X19" s="1565"/>
      <c r="Y19" s="3497"/>
      <c r="Z19" s="1573" t="str">
        <f>Q19</f>
        <v>公共配套设施</v>
      </c>
      <c r="AA19" s="1574">
        <f t="shared" si="3"/>
        <v>1</v>
      </c>
      <c r="AB19" s="1574">
        <f t="shared" si="4"/>
        <v>1</v>
      </c>
      <c r="AC19" s="1574">
        <f t="shared" si="5"/>
        <v>1</v>
      </c>
    </row>
    <row r="20" spans="1:29" ht="15">
      <c r="A20" s="529"/>
      <c r="B20" s="592"/>
      <c r="C20" s="573"/>
      <c r="D20" s="552"/>
      <c r="E20" s="553"/>
      <c r="F20" s="554"/>
      <c r="G20" s="555"/>
      <c r="H20" s="552"/>
      <c r="I20" s="553"/>
      <c r="J20" s="552"/>
      <c r="K20" s="867"/>
      <c r="L20" s="2141"/>
      <c r="M20" s="2133"/>
      <c r="N20" s="2133"/>
      <c r="O20" s="2140"/>
      <c r="P20" s="3497"/>
      <c r="Q20" s="1570"/>
      <c r="R20" s="1571"/>
      <c r="S20" s="1572"/>
      <c r="T20" s="1571"/>
      <c r="U20" s="1572"/>
      <c r="V20" s="1571"/>
      <c r="W20" s="1572"/>
      <c r="X20" s="1565"/>
      <c r="Y20" s="3497"/>
      <c r="Z20" s="1573"/>
      <c r="AA20" s="1574">
        <v>1</v>
      </c>
      <c r="AB20" s="1574">
        <v>1</v>
      </c>
      <c r="AC20" s="1574">
        <v>1</v>
      </c>
    </row>
    <row r="21" spans="1:29" ht="28.5">
      <c r="A21" s="529"/>
      <c r="B21" s="2592" t="s">
        <v>2561</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c r="L21" s="2141"/>
      <c r="M21" s="2133"/>
      <c r="N21" s="2133"/>
      <c r="O21" s="2140"/>
      <c r="P21" s="3497"/>
      <c r="Q21" s="2578" t="str">
        <f>B21</f>
        <v>基础设施水平</v>
      </c>
      <c r="R21" s="1571" t="s">
        <v>11</v>
      </c>
      <c r="S21" s="1572">
        <f>F21</f>
        <v>100</v>
      </c>
      <c r="T21" s="1571" t="s">
        <v>11</v>
      </c>
      <c r="U21" s="1572">
        <f>H21</f>
        <v>100</v>
      </c>
      <c r="V21" s="1571" t="s">
        <v>11</v>
      </c>
      <c r="W21" s="1572">
        <f>J21</f>
        <v>100</v>
      </c>
      <c r="X21" s="2580"/>
      <c r="Y21" s="3497"/>
      <c r="Z21" s="2579" t="str">
        <f>Q21</f>
        <v>基础设施水平</v>
      </c>
      <c r="AA21" s="1574">
        <f t="shared" ref="AA21" si="8">D21/F21</f>
        <v>1</v>
      </c>
      <c r="AB21" s="1574">
        <f t="shared" ref="AB21" si="9">D21/H21</f>
        <v>1</v>
      </c>
      <c r="AC21" s="1574">
        <f t="shared" ref="AC21" si="10">D21/J21</f>
        <v>1</v>
      </c>
    </row>
    <row r="22" spans="1:29" ht="15">
      <c r="A22" s="529"/>
      <c r="B22" s="919"/>
      <c r="C22" s="870"/>
      <c r="D22" s="552"/>
      <c r="E22" s="573"/>
      <c r="F22" s="554"/>
      <c r="G22" s="573"/>
      <c r="H22" s="552"/>
      <c r="I22" s="573"/>
      <c r="J22" s="552"/>
      <c r="K22" s="2598"/>
      <c r="L22" s="2141"/>
      <c r="M22" s="2133"/>
      <c r="N22" s="2133"/>
      <c r="O22" s="2140"/>
      <c r="P22" s="3497"/>
      <c r="Q22" s="2578"/>
      <c r="R22" s="1571"/>
      <c r="S22" s="1572"/>
      <c r="T22" s="1571"/>
      <c r="U22" s="1572"/>
      <c r="V22" s="1571"/>
      <c r="W22" s="1572"/>
      <c r="X22" s="2580"/>
      <c r="Y22" s="3497"/>
      <c r="Z22" s="2579"/>
      <c r="AA22" s="1574">
        <v>1</v>
      </c>
      <c r="AB22" s="1574">
        <v>1</v>
      </c>
      <c r="AC22" s="1574">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41"/>
      <c r="M23" s="2133"/>
      <c r="N23" s="2133"/>
      <c r="O23" s="2140"/>
      <c r="P23" s="3497"/>
      <c r="Q23" s="1570" t="str">
        <f>B23</f>
        <v>自然及人文环境</v>
      </c>
      <c r="R23" s="1571" t="s">
        <v>11</v>
      </c>
      <c r="S23" s="1572">
        <f>F23</f>
        <v>100</v>
      </c>
      <c r="T23" s="1571" t="s">
        <v>11</v>
      </c>
      <c r="U23" s="1572">
        <f>H23</f>
        <v>100</v>
      </c>
      <c r="V23" s="1571" t="s">
        <v>11</v>
      </c>
      <c r="W23" s="1572">
        <f>J23</f>
        <v>100</v>
      </c>
      <c r="X23" s="1565"/>
      <c r="Y23" s="3497"/>
      <c r="Z23" s="1573" t="str">
        <f>Q23</f>
        <v>自然及人文环境</v>
      </c>
      <c r="AA23" s="1574">
        <f t="shared" si="3"/>
        <v>1</v>
      </c>
      <c r="AB23" s="1574">
        <f t="shared" si="4"/>
        <v>1</v>
      </c>
      <c r="AC23" s="1574">
        <f t="shared" si="5"/>
        <v>1</v>
      </c>
    </row>
    <row r="24" spans="1:29" ht="15">
      <c r="A24" s="529"/>
      <c r="B24" s="592"/>
      <c r="C24" s="573"/>
      <c r="D24" s="552"/>
      <c r="E24" s="553"/>
      <c r="F24" s="554"/>
      <c r="G24" s="555"/>
      <c r="H24" s="552"/>
      <c r="I24" s="553"/>
      <c r="J24" s="552"/>
      <c r="K24" s="867"/>
      <c r="L24" s="2141"/>
      <c r="M24" s="2133"/>
      <c r="N24" s="2133"/>
      <c r="O24" s="2140"/>
      <c r="P24" s="3497"/>
      <c r="Q24" s="1570"/>
      <c r="R24" s="1571"/>
      <c r="S24" s="1572"/>
      <c r="T24" s="1571"/>
      <c r="U24" s="1572"/>
      <c r="V24" s="1571"/>
      <c r="W24" s="1572"/>
      <c r="X24" s="1565"/>
      <c r="Y24" s="3497"/>
      <c r="Z24" s="1573"/>
      <c r="AA24" s="1574">
        <v>1</v>
      </c>
      <c r="AB24" s="1574">
        <v>1</v>
      </c>
      <c r="AC24" s="1574">
        <v>1</v>
      </c>
    </row>
    <row r="25" spans="1:29" ht="15">
      <c r="A25" s="529"/>
      <c r="B25" s="1894" t="s">
        <v>2259</v>
      </c>
      <c r="C25" s="571"/>
      <c r="D25" s="537">
        <v>100</v>
      </c>
      <c r="E25" s="871"/>
      <c r="F25" s="572">
        <f>SUMIF(86:86,E25,87:87)-SUMIF(86:86,C25,87:87)+100</f>
        <v>100</v>
      </c>
      <c r="G25" s="596"/>
      <c r="H25" s="537">
        <f>SUMIF(86:86,G25,87:87)-SUMIF(86:86,C25,87:87)+100</f>
        <v>100</v>
      </c>
      <c r="I25" s="871"/>
      <c r="J25" s="537">
        <f>SUMIF(86:86,I25,87:87)-SUMIF(86:86,C25,87:87)+100</f>
        <v>100</v>
      </c>
      <c r="K25" s="861"/>
      <c r="L25" s="2141"/>
      <c r="M25" s="2133"/>
      <c r="N25" s="2133"/>
      <c r="O25" s="2140"/>
      <c r="P25" s="3497"/>
      <c r="Q25" s="1570" t="str">
        <f t="shared" ref="Q25:Q46" si="11">B25</f>
        <v>楼层-1</v>
      </c>
      <c r="R25" s="1571" t="s">
        <v>11</v>
      </c>
      <c r="S25" s="1572">
        <f>F25</f>
        <v>100</v>
      </c>
      <c r="T25" s="1571" t="s">
        <v>11</v>
      </c>
      <c r="U25" s="1572">
        <f>H25</f>
        <v>100</v>
      </c>
      <c r="V25" s="1571" t="s">
        <v>11</v>
      </c>
      <c r="W25" s="1572">
        <f>J25</f>
        <v>100</v>
      </c>
      <c r="X25" s="1565"/>
      <c r="Y25" s="3497"/>
      <c r="Z25" s="1573" t="str">
        <f>Q25</f>
        <v>楼层-1</v>
      </c>
      <c r="AA25" s="1574">
        <f t="shared" si="3"/>
        <v>1</v>
      </c>
      <c r="AB25" s="1574">
        <f t="shared" si="4"/>
        <v>1</v>
      </c>
      <c r="AC25" s="1574">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41"/>
      <c r="M26" s="2133"/>
      <c r="N26" s="2133"/>
      <c r="O26" s="2140"/>
      <c r="P26" s="3497"/>
      <c r="Q26" s="1570" t="str">
        <f t="shared" si="11"/>
        <v>朝向</v>
      </c>
      <c r="R26" s="1571" t="s">
        <v>11</v>
      </c>
      <c r="S26" s="1572">
        <f>F26</f>
        <v>100</v>
      </c>
      <c r="T26" s="1571" t="s">
        <v>11</v>
      </c>
      <c r="U26" s="1572">
        <f>H26</f>
        <v>100</v>
      </c>
      <c r="V26" s="1571" t="s">
        <v>11</v>
      </c>
      <c r="W26" s="1572">
        <f>J26</f>
        <v>100</v>
      </c>
      <c r="X26" s="1565"/>
      <c r="Y26" s="3497"/>
      <c r="Z26" s="1573" t="str">
        <f>Q26</f>
        <v>朝向</v>
      </c>
      <c r="AA26" s="1574">
        <f t="shared" si="3"/>
        <v>1</v>
      </c>
      <c r="AB26" s="1574">
        <f t="shared" si="4"/>
        <v>1</v>
      </c>
      <c r="AC26" s="1574">
        <f t="shared" si="5"/>
        <v>1</v>
      </c>
    </row>
    <row r="27" spans="1:29" s="1217"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4"/>
      <c r="M27" s="2135"/>
      <c r="N27" s="2135"/>
      <c r="O27" s="2136"/>
      <c r="P27" s="3497"/>
      <c r="Q27" s="1148" t="str">
        <f t="shared" si="11"/>
        <v>道路级别</v>
      </c>
      <c r="R27" s="1566" t="s">
        <v>11</v>
      </c>
      <c r="S27" s="1567">
        <f>F27</f>
        <v>100</v>
      </c>
      <c r="T27" s="1566" t="s">
        <v>11</v>
      </c>
      <c r="U27" s="1567">
        <f>H27</f>
        <v>100</v>
      </c>
      <c r="V27" s="1566" t="s">
        <v>11</v>
      </c>
      <c r="W27" s="1567">
        <f>J27</f>
        <v>100</v>
      </c>
      <c r="X27" s="1568"/>
      <c r="Y27" s="3497"/>
      <c r="Z27" s="1147" t="str">
        <f>Q27</f>
        <v>道路级别</v>
      </c>
      <c r="AA27" s="1574">
        <f>D27/F27</f>
        <v>1</v>
      </c>
      <c r="AB27" s="1574">
        <f>D27/H27</f>
        <v>1</v>
      </c>
      <c r="AC27" s="1574">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1"/>
      <c r="M28" s="2133"/>
      <c r="N28" s="2133"/>
      <c r="O28" s="2140"/>
      <c r="P28" s="3497"/>
      <c r="Q28" s="1570">
        <f t="shared" si="11"/>
        <v>111</v>
      </c>
      <c r="R28" s="1571" t="s">
        <v>11</v>
      </c>
      <c r="S28" s="1572">
        <f t="shared" ref="S28:S46" si="12">F28</f>
        <v>100</v>
      </c>
      <c r="T28" s="1571" t="s">
        <v>11</v>
      </c>
      <c r="U28" s="1572">
        <f t="shared" ref="U28:U46" si="13">H28</f>
        <v>100</v>
      </c>
      <c r="V28" s="1571" t="s">
        <v>11</v>
      </c>
      <c r="W28" s="1572">
        <f t="shared" ref="W28:W46" si="14">J28</f>
        <v>100</v>
      </c>
      <c r="X28" s="1565"/>
      <c r="Y28" s="3497"/>
      <c r="Z28" s="1573">
        <f t="shared" ref="Z28:Z46" si="15">Q28</f>
        <v>111</v>
      </c>
      <c r="AA28" s="1574">
        <f t="shared" si="3"/>
        <v>1</v>
      </c>
      <c r="AB28" s="1574">
        <f t="shared" si="4"/>
        <v>1</v>
      </c>
      <c r="AC28" s="1574">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1"/>
      <c r="M29" s="2133"/>
      <c r="N29" s="2133"/>
      <c r="O29" s="2140"/>
      <c r="P29" s="3497"/>
      <c r="Q29" s="1570">
        <f t="shared" si="11"/>
        <v>111</v>
      </c>
      <c r="R29" s="1571" t="s">
        <v>11</v>
      </c>
      <c r="S29" s="1572">
        <f t="shared" si="12"/>
        <v>100</v>
      </c>
      <c r="T29" s="1571" t="s">
        <v>11</v>
      </c>
      <c r="U29" s="1572">
        <f t="shared" si="13"/>
        <v>100</v>
      </c>
      <c r="V29" s="1571" t="s">
        <v>11</v>
      </c>
      <c r="W29" s="1572">
        <f t="shared" si="14"/>
        <v>100</v>
      </c>
      <c r="X29" s="1565"/>
      <c r="Y29" s="3497"/>
      <c r="Z29" s="1573">
        <f t="shared" si="15"/>
        <v>111</v>
      </c>
      <c r="AA29" s="1574">
        <f t="shared" si="3"/>
        <v>1</v>
      </c>
      <c r="AB29" s="1574">
        <f t="shared" si="4"/>
        <v>1</v>
      </c>
      <c r="AC29" s="1574">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1"/>
      <c r="M30" s="2133"/>
      <c r="N30" s="2133"/>
      <c r="O30" s="2140"/>
      <c r="P30" s="3497"/>
      <c r="Q30" s="1570">
        <f t="shared" si="11"/>
        <v>111</v>
      </c>
      <c r="R30" s="1571" t="s">
        <v>11</v>
      </c>
      <c r="S30" s="1572">
        <f t="shared" si="12"/>
        <v>100</v>
      </c>
      <c r="T30" s="1571" t="s">
        <v>11</v>
      </c>
      <c r="U30" s="1572">
        <f t="shared" si="13"/>
        <v>100</v>
      </c>
      <c r="V30" s="1571" t="s">
        <v>11</v>
      </c>
      <c r="W30" s="1572">
        <f t="shared" si="14"/>
        <v>100</v>
      </c>
      <c r="X30" s="1565"/>
      <c r="Y30" s="3497"/>
      <c r="Z30" s="1573">
        <f t="shared" si="15"/>
        <v>111</v>
      </c>
      <c r="AA30" s="1574">
        <f t="shared" si="3"/>
        <v>1</v>
      </c>
      <c r="AB30" s="1574">
        <f t="shared" si="4"/>
        <v>1</v>
      </c>
      <c r="AC30" s="1574">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1"/>
      <c r="M31" s="2133"/>
      <c r="N31" s="2133"/>
      <c r="O31" s="2140"/>
      <c r="P31" s="3497"/>
      <c r="Q31" s="1570">
        <f t="shared" si="11"/>
        <v>111</v>
      </c>
      <c r="R31" s="1571" t="s">
        <v>11</v>
      </c>
      <c r="S31" s="1572">
        <f t="shared" si="12"/>
        <v>100</v>
      </c>
      <c r="T31" s="1571" t="s">
        <v>11</v>
      </c>
      <c r="U31" s="1572">
        <f t="shared" si="13"/>
        <v>100</v>
      </c>
      <c r="V31" s="1571" t="s">
        <v>11</v>
      </c>
      <c r="W31" s="1572">
        <f t="shared" si="14"/>
        <v>100</v>
      </c>
      <c r="X31" s="1565"/>
      <c r="Y31" s="3497"/>
      <c r="Z31" s="1573">
        <f t="shared" si="15"/>
        <v>111</v>
      </c>
      <c r="AA31" s="1574">
        <f t="shared" si="3"/>
        <v>1</v>
      </c>
      <c r="AB31" s="1574">
        <f t="shared" si="4"/>
        <v>1</v>
      </c>
      <c r="AC31" s="1574">
        <f t="shared" si="5"/>
        <v>1</v>
      </c>
    </row>
    <row r="32" spans="1:29" ht="15">
      <c r="A32" s="2904" t="s">
        <v>2758</v>
      </c>
      <c r="B32" s="172" t="s">
        <v>725</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41"/>
      <c r="M32" s="2133"/>
      <c r="N32" s="2133"/>
      <c r="O32" s="2140"/>
      <c r="P32" s="3498" t="s">
        <v>550</v>
      </c>
      <c r="Q32" s="1570" t="str">
        <f t="shared" si="11"/>
        <v>建筑类型</v>
      </c>
      <c r="R32" s="1571" t="s">
        <v>11</v>
      </c>
      <c r="S32" s="1572">
        <f t="shared" si="12"/>
        <v>100</v>
      </c>
      <c r="T32" s="1571" t="s">
        <v>11</v>
      </c>
      <c r="U32" s="1572">
        <f t="shared" si="13"/>
        <v>100</v>
      </c>
      <c r="V32" s="1571" t="s">
        <v>11</v>
      </c>
      <c r="W32" s="1572">
        <f t="shared" si="14"/>
        <v>100</v>
      </c>
      <c r="X32" s="1565"/>
      <c r="Y32" s="3499" t="s">
        <v>550</v>
      </c>
      <c r="Z32" s="1573" t="str">
        <f t="shared" si="15"/>
        <v>建筑类型</v>
      </c>
      <c r="AA32" s="1574">
        <f t="shared" si="3"/>
        <v>1</v>
      </c>
      <c r="AB32" s="1574">
        <f t="shared" si="4"/>
        <v>1</v>
      </c>
      <c r="AC32" s="1574">
        <f t="shared" si="5"/>
        <v>1</v>
      </c>
    </row>
    <row r="33" spans="1:29" s="1336" customFormat="1" ht="15">
      <c r="A33" s="600"/>
      <c r="B33" s="524" t="s">
        <v>726</v>
      </c>
      <c r="C33" s="877"/>
      <c r="D33" s="255">
        <v>100</v>
      </c>
      <c r="E33" s="531"/>
      <c r="F33" s="860" t="e">
        <f>LOOKUP(E33,103:103,104:104)-LOOKUP(C33,103:103,104:104)+100</f>
        <v>#N/A</v>
      </c>
      <c r="G33" s="530"/>
      <c r="H33" s="255" t="e">
        <f>LOOKUP(G33,103:103,104:104)-LOOKUP(C33,103:103,104:104)+100</f>
        <v>#N/A</v>
      </c>
      <c r="I33" s="531"/>
      <c r="J33" s="255" t="e">
        <f>LOOKUP(I33,103:103,104:104)-LOOKUP(C33,103:103,104:104)+100</f>
        <v>#N/A</v>
      </c>
      <c r="K33" s="862"/>
      <c r="L33" s="2139"/>
      <c r="M33" s="2170"/>
      <c r="N33" s="2170"/>
      <c r="O33" s="2142"/>
      <c r="P33" s="3499"/>
      <c r="Q33" s="1603" t="str">
        <f t="shared" si="11"/>
        <v>项目建筑规模</v>
      </c>
      <c r="R33" s="1575" t="s">
        <v>11</v>
      </c>
      <c r="S33" s="1576" t="e">
        <f t="shared" si="12"/>
        <v>#N/A</v>
      </c>
      <c r="T33" s="1575" t="s">
        <v>11</v>
      </c>
      <c r="U33" s="1576" t="e">
        <f t="shared" si="13"/>
        <v>#N/A</v>
      </c>
      <c r="V33" s="1575" t="s">
        <v>11</v>
      </c>
      <c r="W33" s="1576" t="e">
        <f t="shared" si="14"/>
        <v>#N/A</v>
      </c>
      <c r="X33" s="1577"/>
      <c r="Y33" s="3499"/>
      <c r="Z33" s="1578" t="str">
        <f t="shared" si="15"/>
        <v>项目建筑规模</v>
      </c>
      <c r="AA33" s="1574" t="e">
        <f t="shared" si="3"/>
        <v>#N/A</v>
      </c>
      <c r="AB33" s="1574" t="e">
        <f t="shared" si="4"/>
        <v>#N/A</v>
      </c>
      <c r="AC33" s="1574"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41"/>
      <c r="M34" s="2133"/>
      <c r="N34" s="2133"/>
      <c r="O34" s="2140"/>
      <c r="P34" s="3499"/>
      <c r="Q34" s="1570" t="str">
        <f t="shared" si="11"/>
        <v>建筑结构</v>
      </c>
      <c r="R34" s="1571" t="s">
        <v>11</v>
      </c>
      <c r="S34" s="1572">
        <f t="shared" si="12"/>
        <v>100</v>
      </c>
      <c r="T34" s="1571" t="s">
        <v>11</v>
      </c>
      <c r="U34" s="1572">
        <f t="shared" si="13"/>
        <v>100</v>
      </c>
      <c r="V34" s="1571" t="s">
        <v>11</v>
      </c>
      <c r="W34" s="1572">
        <f t="shared" si="14"/>
        <v>100</v>
      </c>
      <c r="X34" s="1565"/>
      <c r="Y34" s="3499"/>
      <c r="Z34" s="1573" t="str">
        <f t="shared" si="15"/>
        <v>建筑结构</v>
      </c>
      <c r="AA34" s="1574">
        <f t="shared" si="3"/>
        <v>1</v>
      </c>
      <c r="AB34" s="1574">
        <f t="shared" si="4"/>
        <v>1</v>
      </c>
      <c r="AC34" s="1574">
        <f t="shared" si="5"/>
        <v>1</v>
      </c>
    </row>
    <row r="35" spans="1:29" ht="15">
      <c r="A35" s="591"/>
      <c r="B35" s="524" t="s">
        <v>728</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41"/>
      <c r="M35" s="2133"/>
      <c r="N35" s="2133"/>
      <c r="O35" s="2140"/>
      <c r="P35" s="3499"/>
      <c r="Q35" s="1570" t="str">
        <f t="shared" si="11"/>
        <v>建筑品质</v>
      </c>
      <c r="R35" s="1571" t="s">
        <v>11</v>
      </c>
      <c r="S35" s="1572">
        <f t="shared" si="12"/>
        <v>100</v>
      </c>
      <c r="T35" s="1571" t="s">
        <v>11</v>
      </c>
      <c r="U35" s="1572">
        <f t="shared" si="13"/>
        <v>100</v>
      </c>
      <c r="V35" s="1571" t="s">
        <v>11</v>
      </c>
      <c r="W35" s="1572">
        <f t="shared" si="14"/>
        <v>100</v>
      </c>
      <c r="X35" s="1565"/>
      <c r="Y35" s="3499"/>
      <c r="Z35" s="1573" t="str">
        <f t="shared" si="15"/>
        <v>建筑品质</v>
      </c>
      <c r="AA35" s="1574">
        <f t="shared" si="3"/>
        <v>1</v>
      </c>
      <c r="AB35" s="1574">
        <f t="shared" si="4"/>
        <v>1</v>
      </c>
      <c r="AC35" s="1574">
        <f t="shared" si="5"/>
        <v>1</v>
      </c>
    </row>
    <row r="36" spans="1:29" ht="15">
      <c r="A36" s="591"/>
      <c r="B36" s="524" t="s">
        <v>729</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41"/>
      <c r="M36" s="2133"/>
      <c r="N36" s="2133"/>
      <c r="O36" s="2140"/>
      <c r="P36" s="3499"/>
      <c r="Q36" s="1570" t="str">
        <f t="shared" si="11"/>
        <v>公共部分装修</v>
      </c>
      <c r="R36" s="1571" t="s">
        <v>11</v>
      </c>
      <c r="S36" s="1572">
        <f t="shared" si="12"/>
        <v>100</v>
      </c>
      <c r="T36" s="1571" t="s">
        <v>11</v>
      </c>
      <c r="U36" s="1572">
        <f t="shared" si="13"/>
        <v>100</v>
      </c>
      <c r="V36" s="1571" t="s">
        <v>11</v>
      </c>
      <c r="W36" s="1572">
        <f t="shared" si="14"/>
        <v>100</v>
      </c>
      <c r="X36" s="1565"/>
      <c r="Y36" s="3499"/>
      <c r="Z36" s="1573" t="str">
        <f t="shared" si="15"/>
        <v>公共部分装修</v>
      </c>
      <c r="AA36" s="1574">
        <f t="shared" si="3"/>
        <v>1</v>
      </c>
      <c r="AB36" s="1574">
        <f t="shared" si="4"/>
        <v>1</v>
      </c>
      <c r="AC36" s="1574">
        <f t="shared" si="5"/>
        <v>1</v>
      </c>
    </row>
    <row r="37" spans="1:29" s="1217" customFormat="1" ht="15">
      <c r="A37" s="597"/>
      <c r="B37" s="524" t="s">
        <v>730</v>
      </c>
      <c r="C37" s="880"/>
      <c r="D37" s="255">
        <v>100</v>
      </c>
      <c r="E37" s="881"/>
      <c r="F37" s="860" t="e">
        <f>LOOKUP(E37,112:112,113:113)-LOOKUP(C37,112:112,113:113)+100</f>
        <v>#N/A</v>
      </c>
      <c r="G37" s="882"/>
      <c r="H37" s="255" t="e">
        <f>LOOKUP(G37,112:112,113:113)-LOOKUP(C37,112:112,113:113)+100</f>
        <v>#N/A</v>
      </c>
      <c r="I37" s="881"/>
      <c r="J37" s="255" t="e">
        <f>LOOKUP(I37,112:112,113:113)-LOOKUP(C37,112:112,113:113)+100</f>
        <v>#N/A</v>
      </c>
      <c r="K37" s="861"/>
      <c r="L37" s="2134"/>
      <c r="M37" s="2135"/>
      <c r="N37" s="2135"/>
      <c r="O37" s="2136"/>
      <c r="P37" s="3499"/>
      <c r="Q37" s="1148" t="str">
        <f t="shared" si="11"/>
        <v>成新度</v>
      </c>
      <c r="R37" s="1566" t="s">
        <v>11</v>
      </c>
      <c r="S37" s="1567" t="e">
        <f t="shared" si="12"/>
        <v>#N/A</v>
      </c>
      <c r="T37" s="1566" t="s">
        <v>11</v>
      </c>
      <c r="U37" s="1567" t="e">
        <f t="shared" si="13"/>
        <v>#N/A</v>
      </c>
      <c r="V37" s="1566" t="s">
        <v>11</v>
      </c>
      <c r="W37" s="1567" t="e">
        <f t="shared" si="14"/>
        <v>#N/A</v>
      </c>
      <c r="X37" s="1568"/>
      <c r="Y37" s="3499"/>
      <c r="Z37" s="1147" t="str">
        <f t="shared" si="15"/>
        <v>成新度</v>
      </c>
      <c r="AA37" s="1569" t="e">
        <f t="shared" si="3"/>
        <v>#N/A</v>
      </c>
      <c r="AB37" s="1569" t="e">
        <f t="shared" si="4"/>
        <v>#N/A</v>
      </c>
      <c r="AC37" s="1569" t="e">
        <f t="shared" si="5"/>
        <v>#N/A</v>
      </c>
    </row>
    <row r="38" spans="1:29" ht="15">
      <c r="A38" s="591"/>
      <c r="B38" s="524" t="s">
        <v>731</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41"/>
      <c r="M38" s="2133"/>
      <c r="N38" s="2133"/>
      <c r="O38" s="2140"/>
      <c r="P38" s="3499" t="s">
        <v>550</v>
      </c>
      <c r="Q38" s="1570" t="str">
        <f t="shared" si="11"/>
        <v>物业管理</v>
      </c>
      <c r="R38" s="1571" t="s">
        <v>11</v>
      </c>
      <c r="S38" s="1572">
        <f t="shared" si="12"/>
        <v>100</v>
      </c>
      <c r="T38" s="1571" t="s">
        <v>11</v>
      </c>
      <c r="U38" s="1572">
        <f t="shared" si="13"/>
        <v>100</v>
      </c>
      <c r="V38" s="1571" t="s">
        <v>11</v>
      </c>
      <c r="W38" s="1572">
        <f t="shared" si="14"/>
        <v>100</v>
      </c>
      <c r="X38" s="1565"/>
      <c r="Y38" s="3499" t="s">
        <v>550</v>
      </c>
      <c r="Z38" s="1573" t="str">
        <f t="shared" si="15"/>
        <v>物业管理</v>
      </c>
      <c r="AA38" s="1574">
        <f t="shared" si="3"/>
        <v>1</v>
      </c>
      <c r="AB38" s="1574">
        <f t="shared" si="4"/>
        <v>1</v>
      </c>
      <c r="AC38" s="1574">
        <f t="shared" si="5"/>
        <v>1</v>
      </c>
    </row>
    <row r="39" spans="1:29" ht="15">
      <c r="A39" s="591"/>
      <c r="B39" s="1894" t="s">
        <v>2567</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41"/>
      <c r="M39" s="2133"/>
      <c r="N39" s="2133"/>
      <c r="O39" s="2140"/>
      <c r="P39" s="3499"/>
      <c r="Q39" s="1570" t="str">
        <f t="shared" si="11"/>
        <v>市政基础设施</v>
      </c>
      <c r="R39" s="1571" t="s">
        <v>11</v>
      </c>
      <c r="S39" s="1572">
        <f t="shared" si="12"/>
        <v>100</v>
      </c>
      <c r="T39" s="1571" t="s">
        <v>11</v>
      </c>
      <c r="U39" s="1572">
        <f t="shared" si="13"/>
        <v>100</v>
      </c>
      <c r="V39" s="1571" t="s">
        <v>11</v>
      </c>
      <c r="W39" s="1572">
        <f t="shared" si="14"/>
        <v>100</v>
      </c>
      <c r="X39" s="1565"/>
      <c r="Y39" s="3499"/>
      <c r="Z39" s="1573" t="str">
        <f t="shared" si="15"/>
        <v>市政基础设施</v>
      </c>
      <c r="AA39" s="1574">
        <f t="shared" si="3"/>
        <v>1</v>
      </c>
      <c r="AB39" s="1574">
        <f t="shared" si="4"/>
        <v>1</v>
      </c>
      <c r="AC39" s="1574">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41"/>
      <c r="M40" s="2133"/>
      <c r="N40" s="2133"/>
      <c r="O40" s="2140"/>
      <c r="P40" s="3499"/>
      <c r="Q40" s="1570" t="str">
        <f t="shared" si="11"/>
        <v>房型</v>
      </c>
      <c r="R40" s="1571" t="s">
        <v>11</v>
      </c>
      <c r="S40" s="1572">
        <f t="shared" si="12"/>
        <v>100</v>
      </c>
      <c r="T40" s="1571" t="s">
        <v>11</v>
      </c>
      <c r="U40" s="1572">
        <f t="shared" si="13"/>
        <v>100</v>
      </c>
      <c r="V40" s="1571" t="s">
        <v>11</v>
      </c>
      <c r="W40" s="1572">
        <f t="shared" si="14"/>
        <v>100</v>
      </c>
      <c r="X40" s="1565"/>
      <c r="Y40" s="3499"/>
      <c r="Z40" s="1573" t="str">
        <f t="shared" si="15"/>
        <v>房型</v>
      </c>
      <c r="AA40" s="1574">
        <f t="shared" si="3"/>
        <v>1</v>
      </c>
      <c r="AB40" s="1574">
        <f t="shared" si="4"/>
        <v>1</v>
      </c>
      <c r="AC40" s="1574">
        <f t="shared" si="5"/>
        <v>1</v>
      </c>
    </row>
    <row r="41" spans="1:29" s="1336" customFormat="1" ht="28.5">
      <c r="A41" s="600"/>
      <c r="B41" s="524" t="s">
        <v>733</v>
      </c>
      <c r="C41" s="877"/>
      <c r="D41" s="255">
        <v>100</v>
      </c>
      <c r="E41" s="531"/>
      <c r="F41" s="860">
        <f>SUMIF(120:120,E41,121:121)-SUMIF(120:120,C41,121:121)+100</f>
        <v>100</v>
      </c>
      <c r="G41" s="530"/>
      <c r="H41" s="255">
        <f>SUMIF(120:120,G41,121:121)-SUMIF(120:120,C41,121:121)+100</f>
        <v>100</v>
      </c>
      <c r="I41" s="583"/>
      <c r="J41" s="537">
        <f>SUMIF(120:120,I41,121:121)-SUMIF(120:120,C41,121:121)+100</f>
        <v>100</v>
      </c>
      <c r="K41" s="862"/>
      <c r="L41" s="2139"/>
      <c r="M41" s="2170"/>
      <c r="N41" s="2170"/>
      <c r="O41" s="2142"/>
      <c r="P41" s="3499"/>
      <c r="Q41" s="1603" t="str">
        <f t="shared" si="11"/>
        <v>单套/主力户型建筑面积</v>
      </c>
      <c r="R41" s="1575" t="s">
        <v>11</v>
      </c>
      <c r="S41" s="1576">
        <f t="shared" si="12"/>
        <v>100</v>
      </c>
      <c r="T41" s="1575" t="s">
        <v>11</v>
      </c>
      <c r="U41" s="1576">
        <f t="shared" si="13"/>
        <v>100</v>
      </c>
      <c r="V41" s="1575" t="s">
        <v>11</v>
      </c>
      <c r="W41" s="1576">
        <f t="shared" si="14"/>
        <v>100</v>
      </c>
      <c r="X41" s="1577"/>
      <c r="Y41" s="3499"/>
      <c r="Z41" s="1578" t="str">
        <f t="shared" si="15"/>
        <v>单套/主力户型建筑面积</v>
      </c>
      <c r="AA41" s="1574">
        <f t="shared" si="3"/>
        <v>1</v>
      </c>
      <c r="AB41" s="1574">
        <f t="shared" si="4"/>
        <v>1</v>
      </c>
      <c r="AC41" s="1574">
        <f t="shared" si="5"/>
        <v>1</v>
      </c>
    </row>
    <row r="42" spans="1:29" ht="15">
      <c r="A42" s="591"/>
      <c r="B42" s="524" t="s">
        <v>734</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41"/>
      <c r="M42" s="2133"/>
      <c r="N42" s="2133"/>
      <c r="O42" s="2140"/>
      <c r="P42" s="3499"/>
      <c r="Q42" s="1570" t="str">
        <f t="shared" si="11"/>
        <v>内部装修</v>
      </c>
      <c r="R42" s="1571" t="s">
        <v>11</v>
      </c>
      <c r="S42" s="1572">
        <f t="shared" si="12"/>
        <v>100</v>
      </c>
      <c r="T42" s="1571" t="s">
        <v>11</v>
      </c>
      <c r="U42" s="1572">
        <f t="shared" si="13"/>
        <v>100</v>
      </c>
      <c r="V42" s="1571" t="s">
        <v>11</v>
      </c>
      <c r="W42" s="1572">
        <f t="shared" si="14"/>
        <v>100</v>
      </c>
      <c r="X42" s="1565"/>
      <c r="Y42" s="3499"/>
      <c r="Z42" s="1573" t="str">
        <f t="shared" si="15"/>
        <v>内部装修</v>
      </c>
      <c r="AA42" s="1574">
        <f t="shared" si="3"/>
        <v>1</v>
      </c>
      <c r="AB42" s="1574">
        <f t="shared" si="4"/>
        <v>1</v>
      </c>
      <c r="AC42" s="1574">
        <f t="shared" si="5"/>
        <v>1</v>
      </c>
    </row>
    <row r="43" spans="1:29" ht="27">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41"/>
      <c r="M43" s="2133"/>
      <c r="N43" s="2133"/>
      <c r="O43" s="2140"/>
      <c r="P43" s="3499"/>
      <c r="Q43" s="1570" t="str">
        <f t="shared" si="11"/>
        <v>内部装修维护情况</v>
      </c>
      <c r="R43" s="1571" t="s">
        <v>11</v>
      </c>
      <c r="S43" s="1572">
        <f t="shared" si="12"/>
        <v>100</v>
      </c>
      <c r="T43" s="1571" t="s">
        <v>11</v>
      </c>
      <c r="U43" s="1572">
        <f t="shared" si="13"/>
        <v>100</v>
      </c>
      <c r="V43" s="1571" t="s">
        <v>11</v>
      </c>
      <c r="W43" s="1572">
        <f t="shared" si="14"/>
        <v>100</v>
      </c>
      <c r="X43" s="1565"/>
      <c r="Y43" s="3499"/>
      <c r="Z43" s="1573" t="str">
        <f t="shared" si="15"/>
        <v>内部装修维护情况</v>
      </c>
      <c r="AA43" s="1574">
        <f t="shared" si="3"/>
        <v>1</v>
      </c>
      <c r="AB43" s="1574">
        <f t="shared" si="4"/>
        <v>1</v>
      </c>
      <c r="AC43" s="1574">
        <f t="shared" si="5"/>
        <v>1</v>
      </c>
    </row>
    <row r="44" spans="1:29" s="1217" customFormat="1" ht="15">
      <c r="A44" s="597"/>
      <c r="B44" s="874">
        <v>111</v>
      </c>
      <c r="C44" s="877"/>
      <c r="D44" s="255">
        <v>100</v>
      </c>
      <c r="E44" s="877"/>
      <c r="F44" s="860">
        <f>SUMIF(126:126,E44,127:127)-SUMIF(126:126,C44,127:127)+100</f>
        <v>100</v>
      </c>
      <c r="G44" s="877"/>
      <c r="H44" s="255">
        <f>SUMIF(126:126,G44,127:127)-SUMIF(126:126,C44,127:127)+100</f>
        <v>100</v>
      </c>
      <c r="I44" s="877"/>
      <c r="J44" s="255">
        <f>SUMIF(126:126,I44,127:127)-SUMIF(126:126,C44,127:127)+100</f>
        <v>100</v>
      </c>
      <c r="K44" s="862"/>
      <c r="L44" s="2134"/>
      <c r="M44" s="2135"/>
      <c r="N44" s="2135"/>
      <c r="O44" s="2136"/>
      <c r="P44" s="3499"/>
      <c r="Q44" s="1148">
        <f t="shared" si="11"/>
        <v>111</v>
      </c>
      <c r="R44" s="1566" t="s">
        <v>11</v>
      </c>
      <c r="S44" s="1567">
        <f t="shared" si="12"/>
        <v>100</v>
      </c>
      <c r="T44" s="1566" t="s">
        <v>11</v>
      </c>
      <c r="U44" s="1567">
        <f t="shared" si="13"/>
        <v>100</v>
      </c>
      <c r="V44" s="1566" t="s">
        <v>11</v>
      </c>
      <c r="W44" s="1567">
        <f t="shared" si="14"/>
        <v>100</v>
      </c>
      <c r="X44" s="1568"/>
      <c r="Y44" s="3499"/>
      <c r="Z44" s="1147">
        <f t="shared" si="15"/>
        <v>111</v>
      </c>
      <c r="AA44" s="1569">
        <f t="shared" si="3"/>
        <v>1</v>
      </c>
      <c r="AB44" s="1569">
        <f t="shared" si="4"/>
        <v>1</v>
      </c>
      <c r="AC44" s="1569">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1"/>
      <c r="M45" s="2133"/>
      <c r="N45" s="2133"/>
      <c r="O45" s="2140"/>
      <c r="P45" s="3499"/>
      <c r="Q45" s="1570">
        <f t="shared" si="11"/>
        <v>111</v>
      </c>
      <c r="R45" s="1571" t="s">
        <v>11</v>
      </c>
      <c r="S45" s="1572">
        <f t="shared" si="12"/>
        <v>100</v>
      </c>
      <c r="T45" s="1571" t="s">
        <v>11</v>
      </c>
      <c r="U45" s="1572">
        <f t="shared" si="13"/>
        <v>100</v>
      </c>
      <c r="V45" s="1571" t="s">
        <v>11</v>
      </c>
      <c r="W45" s="1572">
        <f t="shared" si="14"/>
        <v>100</v>
      </c>
      <c r="X45" s="1565"/>
      <c r="Y45" s="3499"/>
      <c r="Z45" s="1573">
        <f t="shared" si="15"/>
        <v>111</v>
      </c>
      <c r="AA45" s="1574">
        <f t="shared" si="3"/>
        <v>1</v>
      </c>
      <c r="AB45" s="1574">
        <f t="shared" si="4"/>
        <v>1</v>
      </c>
      <c r="AC45" s="1574">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1"/>
      <c r="M46" s="2133"/>
      <c r="N46" s="2133"/>
      <c r="O46" s="2140"/>
      <c r="P46" s="3551"/>
      <c r="Q46" s="1570">
        <f t="shared" si="11"/>
        <v>111</v>
      </c>
      <c r="R46" s="1571" t="s">
        <v>10</v>
      </c>
      <c r="S46" s="1572">
        <f t="shared" si="12"/>
        <v>100</v>
      </c>
      <c r="T46" s="1571" t="s">
        <v>10</v>
      </c>
      <c r="U46" s="1572">
        <f t="shared" si="13"/>
        <v>100</v>
      </c>
      <c r="V46" s="1571" t="s">
        <v>10</v>
      </c>
      <c r="W46" s="1572">
        <f t="shared" si="14"/>
        <v>100</v>
      </c>
      <c r="X46" s="1565"/>
      <c r="Y46" s="3551"/>
      <c r="Z46" s="1573">
        <f t="shared" si="15"/>
        <v>111</v>
      </c>
      <c r="AA46" s="1574">
        <f t="shared" si="3"/>
        <v>1</v>
      </c>
      <c r="AB46" s="1574">
        <f t="shared" si="4"/>
        <v>1</v>
      </c>
      <c r="AC46" s="1574">
        <f t="shared" si="5"/>
        <v>1</v>
      </c>
    </row>
    <row r="47" spans="1:29" ht="15">
      <c r="A47" s="604" t="s">
        <v>736</v>
      </c>
      <c r="B47" s="884"/>
      <c r="C47" s="2626" t="s">
        <v>9</v>
      </c>
      <c r="D47" s="2627"/>
      <c r="E47" s="2628"/>
      <c r="F47" s="2629"/>
      <c r="G47" s="2630"/>
      <c r="H47" s="2631"/>
      <c r="I47" s="2628"/>
      <c r="J47" s="2631"/>
      <c r="K47" s="1604"/>
      <c r="L47" s="2143"/>
      <c r="M47" s="2144"/>
      <c r="N47" s="2133"/>
      <c r="O47" s="2144"/>
      <c r="P47" s="3462" t="str">
        <f>A47</f>
        <v>成交单价（元/平方米）</v>
      </c>
      <c r="Q47" s="3462"/>
      <c r="R47" s="3550">
        <f>E47</f>
        <v>0</v>
      </c>
      <c r="S47" s="3550"/>
      <c r="T47" s="3550">
        <f>G47</f>
        <v>0</v>
      </c>
      <c r="U47" s="3550"/>
      <c r="V47" s="3550">
        <f>I47</f>
        <v>0</v>
      </c>
      <c r="W47" s="3550"/>
      <c r="X47" s="1557"/>
      <c r="Y47" s="1579"/>
      <c r="Z47" s="1557"/>
      <c r="AA47" s="1557"/>
      <c r="AB47" s="1557"/>
      <c r="AC47" s="1557"/>
    </row>
    <row r="48" spans="1:29" ht="15.75" thickBot="1">
      <c r="A48" s="612" t="s">
        <v>2763</v>
      </c>
      <c r="B48" s="885"/>
      <c r="C48" s="2632" t="e">
        <f>R49</f>
        <v>#DIV/0!</v>
      </c>
      <c r="D48" s="2633"/>
      <c r="E48" s="2634" t="e">
        <f>R48</f>
        <v>#DIV/0!</v>
      </c>
      <c r="F48" s="2634"/>
      <c r="G48" s="2632" t="e">
        <f>T48</f>
        <v>#DIV/0!</v>
      </c>
      <c r="H48" s="2633"/>
      <c r="I48" s="2634" t="e">
        <f>V48</f>
        <v>#DIV/0!</v>
      </c>
      <c r="J48" s="2633"/>
      <c r="K48" s="1605"/>
      <c r="L48" s="2143"/>
      <c r="M48" s="2144"/>
      <c r="N48" s="2144"/>
      <c r="O48" s="2144"/>
      <c r="P48" s="3462" t="str">
        <f>A48</f>
        <v>比较价格（元/平方米）</v>
      </c>
      <c r="Q48" s="3462"/>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1557"/>
      <c r="Y48" s="1557"/>
      <c r="Z48" s="1557"/>
      <c r="AA48" s="1557"/>
      <c r="AB48" s="1557"/>
      <c r="AC48" s="1557"/>
    </row>
    <row r="49" spans="1:29" ht="15.75" thickBot="1">
      <c r="A49" s="618" t="s">
        <v>2939</v>
      </c>
      <c r="B49" s="619"/>
      <c r="C49" s="2635" t="e">
        <f>R49</f>
        <v>#DIV/0!</v>
      </c>
      <c r="D49" s="2635"/>
      <c r="E49" s="2635"/>
      <c r="F49" s="2635"/>
      <c r="G49" s="2635"/>
      <c r="H49" s="2635"/>
      <c r="I49" s="2635"/>
      <c r="J49" s="2635"/>
      <c r="K49" s="1606"/>
      <c r="L49" s="2143"/>
      <c r="M49" s="2144"/>
      <c r="N49" s="2144"/>
      <c r="O49" s="2144"/>
      <c r="P49" s="3459" t="str">
        <f>A49</f>
        <v>估价对象XX用房的比较价格（楼面单价，元/平方米）</v>
      </c>
      <c r="Q49" s="3460"/>
      <c r="R49" s="3549" t="e">
        <f>IF(F1="售价",ROUND(AVERAGE(R48:V48),0),ROUND(AVERAGE(R48:V48),1))</f>
        <v>#DIV/0!</v>
      </c>
      <c r="S49" s="3549"/>
      <c r="T49" s="3549"/>
      <c r="U49" s="3549"/>
      <c r="V49" s="3549"/>
      <c r="W49" s="354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2" t="s">
        <v>529</v>
      </c>
      <c r="B58" s="643"/>
      <c r="C58" s="2801" t="str">
        <f>YEAR(C7)&amp;"-"&amp;MONTH(C7)</f>
        <v>2019-7</v>
      </c>
      <c r="D58" s="2801">
        <f>EDATE(C58,-1)</f>
        <v>43617</v>
      </c>
      <c r="E58" s="2801">
        <f t="shared" ref="E58:O58" si="16">EDATE(D58,-1)</f>
        <v>43586</v>
      </c>
      <c r="F58" s="2801">
        <f t="shared" si="16"/>
        <v>43556</v>
      </c>
      <c r="G58" s="2801">
        <f t="shared" si="16"/>
        <v>43525</v>
      </c>
      <c r="H58" s="2801">
        <f t="shared" si="16"/>
        <v>43497</v>
      </c>
      <c r="I58" s="2801">
        <f t="shared" si="16"/>
        <v>43466</v>
      </c>
      <c r="J58" s="2801">
        <f t="shared" si="16"/>
        <v>43435</v>
      </c>
      <c r="K58" s="2801">
        <f t="shared" si="16"/>
        <v>43405</v>
      </c>
      <c r="L58" s="2801">
        <f t="shared" si="16"/>
        <v>43374</v>
      </c>
      <c r="M58" s="2801">
        <f t="shared" si="16"/>
        <v>43344</v>
      </c>
      <c r="N58" s="2801">
        <f t="shared" si="16"/>
        <v>43313</v>
      </c>
      <c r="O58" s="2801">
        <f t="shared" si="16"/>
        <v>43282</v>
      </c>
      <c r="P58" s="2159"/>
      <c r="Q58" s="2160"/>
      <c r="R58" s="2160"/>
      <c r="S58" s="2160"/>
      <c r="T58" s="2160"/>
      <c r="U58" s="2160"/>
      <c r="V58" s="2160"/>
      <c r="W58" s="2160"/>
      <c r="X58" s="2160"/>
      <c r="Y58" s="2160"/>
      <c r="Z58" s="2160"/>
      <c r="AA58" s="2160"/>
      <c r="AB58" s="2160"/>
      <c r="AC58" s="2160"/>
    </row>
    <row r="59" spans="1:29" s="1217" customFormat="1" ht="15">
      <c r="A59" s="644"/>
      <c r="B59" s="645"/>
      <c r="C59" s="646">
        <v>100</v>
      </c>
      <c r="D59" s="647"/>
      <c r="E59" s="647"/>
      <c r="F59" s="647"/>
      <c r="G59" s="647"/>
      <c r="H59" s="647"/>
      <c r="I59" s="647"/>
      <c r="J59" s="647"/>
      <c r="K59" s="647"/>
      <c r="L59" s="647"/>
      <c r="M59" s="647"/>
      <c r="N59" s="647"/>
      <c r="O59" s="647"/>
      <c r="P59" s="2157"/>
      <c r="Q59" s="1992"/>
      <c r="R59" s="1992"/>
      <c r="S59" s="1992"/>
      <c r="T59" s="1992"/>
      <c r="U59" s="1992"/>
      <c r="V59" s="1992"/>
      <c r="W59" s="1992"/>
      <c r="X59" s="1992"/>
      <c r="Y59" s="1992"/>
      <c r="Z59" s="1992"/>
      <c r="AA59" s="1992"/>
      <c r="AB59" s="1992"/>
      <c r="AC59" s="1992"/>
    </row>
    <row r="60" spans="1:29" s="1217" customFormat="1" ht="15.75" thickBot="1">
      <c r="A60" s="650" t="s">
        <v>575</v>
      </c>
      <c r="B60" s="651"/>
      <c r="C60" s="652"/>
      <c r="D60" s="653"/>
      <c r="E60" s="653"/>
      <c r="F60" s="653"/>
      <c r="G60" s="653"/>
      <c r="H60" s="653"/>
      <c r="I60" s="653"/>
      <c r="J60" s="653"/>
      <c r="K60" s="653"/>
      <c r="L60" s="653"/>
      <c r="M60" s="654"/>
      <c r="N60" s="653"/>
      <c r="O60" s="655"/>
      <c r="P60" s="2157"/>
      <c r="Q60" s="2157"/>
      <c r="R60" s="1992"/>
      <c r="S60" s="1992"/>
      <c r="T60" s="1992"/>
      <c r="U60" s="1992"/>
      <c r="V60" s="1992"/>
      <c r="W60" s="1992"/>
      <c r="X60" s="1992"/>
      <c r="Y60" s="1992"/>
      <c r="Z60" s="1992"/>
      <c r="AA60" s="1992"/>
      <c r="AB60" s="1992"/>
      <c r="AC60" s="1992"/>
    </row>
    <row r="61" spans="1:29" s="1217" customFormat="1" ht="15">
      <c r="A61" s="656" t="s">
        <v>531</v>
      </c>
      <c r="B61" s="645"/>
      <c r="C61" s="657" t="s">
        <v>576</v>
      </c>
      <c r="D61" s="658"/>
      <c r="E61" s="658"/>
      <c r="F61" s="658"/>
      <c r="G61" s="658"/>
      <c r="H61" s="658"/>
      <c r="I61" s="658"/>
      <c r="J61" s="658"/>
      <c r="K61" s="658"/>
      <c r="L61" s="659"/>
      <c r="M61" s="660"/>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6"/>
      <c r="B62" s="645"/>
      <c r="C62" s="886">
        <v>100</v>
      </c>
      <c r="D62" s="647"/>
      <c r="E62" s="647"/>
      <c r="F62" s="647"/>
      <c r="G62" s="647"/>
      <c r="H62" s="647"/>
      <c r="I62" s="647"/>
      <c r="J62" s="647"/>
      <c r="K62" s="647"/>
      <c r="L62" s="647"/>
      <c r="M62" s="649"/>
      <c r="N62" s="2161"/>
      <c r="O62" s="2161"/>
      <c r="P62" s="2157"/>
      <c r="Q62" s="2157"/>
      <c r="R62" s="1992"/>
      <c r="S62" s="1992"/>
      <c r="T62" s="1992"/>
      <c r="U62" s="1992"/>
      <c r="V62" s="1992"/>
      <c r="W62" s="1992"/>
      <c r="X62" s="1992"/>
      <c r="Y62" s="1992"/>
      <c r="Z62" s="1992"/>
      <c r="AA62" s="1992"/>
      <c r="AB62" s="1992"/>
      <c r="AC62" s="1992"/>
    </row>
    <row r="63" spans="1:29">
      <c r="A63" s="661" t="s">
        <v>577</v>
      </c>
      <c r="B63" s="662" t="s">
        <v>534</v>
      </c>
      <c r="C63" s="701">
        <f>C9</f>
        <v>0</v>
      </c>
      <c r="D63" s="595"/>
      <c r="E63" s="595"/>
      <c r="F63" s="595"/>
      <c r="G63" s="595"/>
      <c r="H63" s="595"/>
      <c r="I63" s="595"/>
      <c r="J63" s="595"/>
      <c r="K63" s="663"/>
      <c r="L63" s="664"/>
      <c r="M63" s="665"/>
      <c r="N63" s="2163"/>
      <c r="O63" s="2163"/>
      <c r="P63" s="2164"/>
      <c r="Q63" s="2157"/>
      <c r="R63" s="2144"/>
      <c r="S63" s="2144"/>
      <c r="T63" s="2144"/>
      <c r="U63" s="2144"/>
      <c r="V63" s="2144"/>
      <c r="W63" s="2144"/>
      <c r="X63" s="2144"/>
      <c r="Y63" s="2144"/>
      <c r="Z63" s="2144"/>
      <c r="AA63" s="2144"/>
      <c r="AB63" s="2144"/>
      <c r="AC63" s="2144"/>
    </row>
    <row r="64" spans="1:29" ht="15.75" thickBot="1">
      <c r="A64" s="666"/>
      <c r="B64" s="667"/>
      <c r="C64" s="668"/>
      <c r="D64" s="668"/>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678" t="s">
        <v>538</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6"/>
      <c r="B68" s="680"/>
      <c r="C68" s="538"/>
      <c r="D68" s="538"/>
      <c r="E68" s="538"/>
      <c r="F68" s="538"/>
      <c r="G68" s="538"/>
      <c r="H68" s="538"/>
      <c r="I68" s="538"/>
      <c r="J68" s="538"/>
      <c r="K68" s="681"/>
      <c r="L68" s="682"/>
      <c r="M68" s="683"/>
      <c r="N68" s="2163"/>
      <c r="O68" s="2163"/>
      <c r="P68" s="2164"/>
      <c r="Q68" s="2157"/>
      <c r="R68" s="2144"/>
      <c r="S68" s="2144"/>
      <c r="T68" s="2144"/>
      <c r="U68" s="2144"/>
      <c r="V68" s="2144"/>
      <c r="W68" s="2144"/>
      <c r="X68" s="2144"/>
      <c r="Y68" s="2144"/>
      <c r="Z68" s="2144"/>
      <c r="AA68" s="2144"/>
      <c r="AB68" s="2144"/>
      <c r="AC68" s="2144"/>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4"/>
      <c r="B70" s="670">
        <f>B12</f>
        <v>111</v>
      </c>
      <c r="C70" s="685"/>
      <c r="D70" s="685"/>
      <c r="E70" s="685"/>
      <c r="F70" s="685"/>
      <c r="G70" s="685"/>
      <c r="H70" s="686"/>
      <c r="I70" s="686"/>
      <c r="J70" s="686"/>
      <c r="K70" s="686"/>
      <c r="L70" s="687"/>
      <c r="M70" s="688"/>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4"/>
      <c r="B71" s="675"/>
      <c r="C71" s="689"/>
      <c r="D71" s="668"/>
      <c r="E71" s="668"/>
      <c r="F71" s="668"/>
      <c r="G71" s="668"/>
      <c r="H71" s="668"/>
      <c r="I71" s="668"/>
      <c r="J71" s="668"/>
      <c r="K71" s="668"/>
      <c r="L71" s="668"/>
      <c r="M71" s="669"/>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4"/>
      <c r="B72" s="670">
        <f>B13</f>
        <v>111</v>
      </c>
      <c r="C72" s="685"/>
      <c r="D72" s="685"/>
      <c r="E72" s="685"/>
      <c r="F72" s="685"/>
      <c r="G72" s="685"/>
      <c r="H72" s="686"/>
      <c r="I72" s="686"/>
      <c r="J72" s="686"/>
      <c r="K72" s="686"/>
      <c r="L72" s="687"/>
      <c r="M72" s="688"/>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4"/>
      <c r="B73" s="675"/>
      <c r="C73" s="689"/>
      <c r="D73" s="689"/>
      <c r="E73" s="689"/>
      <c r="F73" s="689"/>
      <c r="G73" s="689"/>
      <c r="H73" s="690"/>
      <c r="I73" s="690"/>
      <c r="J73" s="690"/>
      <c r="K73" s="690"/>
      <c r="L73" s="690"/>
      <c r="M73" s="691"/>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4"/>
      <c r="B74" s="678">
        <f>B14</f>
        <v>111</v>
      </c>
      <c r="C74" s="685"/>
      <c r="D74" s="685"/>
      <c r="E74" s="685"/>
      <c r="F74" s="685"/>
      <c r="G74" s="658"/>
      <c r="H74" s="692"/>
      <c r="I74" s="692"/>
      <c r="J74" s="692"/>
      <c r="K74" s="692"/>
      <c r="L74" s="693"/>
      <c r="M74" s="694"/>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5"/>
      <c r="B75" s="696"/>
      <c r="C75" s="697"/>
      <c r="D75" s="697"/>
      <c r="E75" s="697"/>
      <c r="F75" s="697"/>
      <c r="G75" s="697"/>
      <c r="H75" s="698"/>
      <c r="I75" s="698"/>
      <c r="J75" s="698"/>
      <c r="K75" s="698"/>
      <c r="L75" s="698"/>
      <c r="M75" s="699"/>
      <c r="N75" s="2166"/>
      <c r="O75" s="2166"/>
      <c r="P75" s="2167"/>
      <c r="Q75" s="2168"/>
      <c r="R75" s="2169"/>
      <c r="S75" s="2169"/>
      <c r="T75" s="2169"/>
      <c r="U75" s="2169"/>
      <c r="V75" s="2169"/>
      <c r="W75" s="2169"/>
      <c r="X75" s="2169"/>
      <c r="Y75" s="2169"/>
      <c r="Z75" s="2169"/>
      <c r="AA75" s="2169"/>
      <c r="AB75" s="2169"/>
      <c r="AC75" s="2169"/>
    </row>
    <row r="76" spans="1:29">
      <c r="A76" s="661" t="s">
        <v>539</v>
      </c>
      <c r="B76" s="662" t="s">
        <v>578</v>
      </c>
      <c r="C76" s="700" t="s">
        <v>579</v>
      </c>
      <c r="D76" s="700" t="s">
        <v>580</v>
      </c>
      <c r="E76" s="700" t="s">
        <v>581</v>
      </c>
      <c r="F76" s="700" t="s">
        <v>582</v>
      </c>
      <c r="G76" s="700" t="s">
        <v>583</v>
      </c>
      <c r="H76" s="701"/>
      <c r="I76" s="701"/>
      <c r="J76" s="701"/>
      <c r="K76" s="702"/>
      <c r="L76" s="703"/>
      <c r="M76" s="704"/>
      <c r="N76" s="2163"/>
      <c r="O76" s="2163"/>
      <c r="P76" s="2173"/>
      <c r="Q76" s="2157"/>
      <c r="R76" s="2144"/>
      <c r="S76" s="2144"/>
      <c r="T76" s="2144"/>
      <c r="U76" s="2144"/>
      <c r="V76" s="2144"/>
      <c r="W76" s="2144"/>
      <c r="X76" s="2144"/>
      <c r="Y76" s="2144"/>
      <c r="Z76" s="2144"/>
      <c r="AA76" s="2144"/>
      <c r="AB76" s="2144"/>
      <c r="AC76" s="214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586</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ht="15.75" thickTop="1">
      <c r="A80" s="666"/>
      <c r="B80" s="1895" t="s">
        <v>2560</v>
      </c>
      <c r="C80" s="705" t="s">
        <v>579</v>
      </c>
      <c r="D80" s="705" t="s">
        <v>580</v>
      </c>
      <c r="E80" s="705" t="s">
        <v>581</v>
      </c>
      <c r="F80" s="705" t="s">
        <v>582</v>
      </c>
      <c r="G80" s="705" t="s">
        <v>583</v>
      </c>
      <c r="H80" s="671"/>
      <c r="I80" s="671"/>
      <c r="J80" s="671"/>
      <c r="K80" s="672"/>
      <c r="L80" s="673"/>
      <c r="M80" s="674"/>
      <c r="N80" s="2163"/>
      <c r="O80" s="2163"/>
      <c r="P80" s="2164"/>
      <c r="Q80" s="2157"/>
      <c r="R80" s="2144"/>
      <c r="S80" s="2144"/>
      <c r="T80" s="2144"/>
      <c r="U80" s="2144"/>
      <c r="V80" s="2144"/>
      <c r="W80" s="2144"/>
      <c r="X80" s="2144"/>
      <c r="Y80" s="2144"/>
      <c r="Z80" s="2144"/>
      <c r="AA80" s="2144"/>
      <c r="AB80" s="2144"/>
      <c r="AC80" s="214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5"/>
      <c r="O81" s="2165"/>
      <c r="P81" s="2164"/>
      <c r="Q81" s="2157"/>
      <c r="R81" s="2144"/>
      <c r="S81" s="2144"/>
      <c r="T81" s="2144"/>
      <c r="U81" s="2144"/>
      <c r="V81" s="2144"/>
      <c r="W81" s="2144"/>
      <c r="X81" s="2144"/>
      <c r="Y81" s="2144"/>
      <c r="Z81" s="2144"/>
      <c r="AA81" s="2144"/>
      <c r="AB81" s="2144"/>
      <c r="AC81" s="2144"/>
    </row>
    <row r="82" spans="1:29" ht="15.75" thickTop="1">
      <c r="A82" s="666"/>
      <c r="B82" s="2596" t="s">
        <v>2561</v>
      </c>
      <c r="C82" s="2597" t="s">
        <v>2562</v>
      </c>
      <c r="D82" s="2597" t="s">
        <v>2563</v>
      </c>
      <c r="E82" s="2597" t="s">
        <v>2564</v>
      </c>
      <c r="F82" s="2597" t="s">
        <v>2565</v>
      </c>
      <c r="G82" s="2597" t="s">
        <v>2566</v>
      </c>
      <c r="H82" s="671"/>
      <c r="I82" s="671"/>
      <c r="J82" s="671"/>
      <c r="K82" s="671"/>
      <c r="L82" s="671"/>
      <c r="M82" s="2600"/>
      <c r="N82" s="2165"/>
      <c r="O82" s="2165"/>
      <c r="P82" s="2164"/>
      <c r="Q82" s="2157"/>
      <c r="R82" s="2144"/>
      <c r="S82" s="2144"/>
      <c r="T82" s="2144"/>
      <c r="U82" s="2144"/>
      <c r="V82" s="2144"/>
      <c r="W82" s="2144"/>
      <c r="X82" s="2144"/>
      <c r="Y82" s="2144"/>
      <c r="Z82" s="2144"/>
      <c r="AA82" s="2144"/>
      <c r="AB82" s="2144"/>
      <c r="AC82" s="2144"/>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5"/>
      <c r="O83" s="2165"/>
      <c r="P83" s="2164"/>
      <c r="Q83" s="2157"/>
      <c r="R83" s="2144"/>
      <c r="S83" s="2144"/>
      <c r="T83" s="2144"/>
      <c r="U83" s="2144"/>
      <c r="V83" s="2144"/>
      <c r="W83" s="2144"/>
      <c r="X83" s="2144"/>
      <c r="Y83" s="2144"/>
      <c r="Z83" s="2144"/>
      <c r="AA83" s="2144"/>
      <c r="AB83" s="2144"/>
      <c r="AC83" s="2144"/>
    </row>
    <row r="84" spans="1:29" ht="15.75" thickTop="1">
      <c r="A84" s="666"/>
      <c r="B84" s="670" t="s">
        <v>744</v>
      </c>
      <c r="C84" s="705" t="s">
        <v>579</v>
      </c>
      <c r="D84" s="705" t="s">
        <v>580</v>
      </c>
      <c r="E84" s="705" t="s">
        <v>581</v>
      </c>
      <c r="F84" s="705" t="s">
        <v>582</v>
      </c>
      <c r="G84" s="705" t="s">
        <v>583</v>
      </c>
      <c r="H84" s="671"/>
      <c r="I84" s="671"/>
      <c r="J84" s="671"/>
      <c r="K84" s="672"/>
      <c r="L84" s="673"/>
      <c r="M84" s="674"/>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6"/>
      <c r="B86" s="1895" t="s">
        <v>2260</v>
      </c>
      <c r="C86" s="685"/>
      <c r="D86" s="685"/>
      <c r="E86" s="685"/>
      <c r="F86" s="685"/>
      <c r="G86" s="685"/>
      <c r="H86" s="685"/>
      <c r="I86" s="685"/>
      <c r="J86" s="685"/>
      <c r="K86" s="685"/>
      <c r="L86" s="887"/>
      <c r="M86" s="888"/>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6"/>
      <c r="B88" s="670" t="s">
        <v>746</v>
      </c>
      <c r="C88" s="685"/>
      <c r="D88" s="685"/>
      <c r="E88" s="685"/>
      <c r="F88" s="889"/>
      <c r="G88" s="685"/>
      <c r="H88" s="685"/>
      <c r="I88" s="685"/>
      <c r="J88" s="685"/>
      <c r="K88" s="685"/>
      <c r="L88" s="685"/>
      <c r="M88" s="888"/>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4"/>
      <c r="B90" s="670" t="str">
        <f>B27</f>
        <v>道路级别</v>
      </c>
      <c r="C90" s="685"/>
      <c r="D90" s="685"/>
      <c r="E90" s="685"/>
      <c r="F90" s="685"/>
      <c r="G90" s="685"/>
      <c r="H90" s="686"/>
      <c r="I90" s="686"/>
      <c r="J90" s="686"/>
      <c r="K90" s="686"/>
      <c r="L90" s="687"/>
      <c r="M90" s="688"/>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4"/>
      <c r="B91" s="675"/>
      <c r="C91" s="689"/>
      <c r="D91" s="689"/>
      <c r="E91" s="689"/>
      <c r="F91" s="689"/>
      <c r="G91" s="689"/>
      <c r="H91" s="690"/>
      <c r="I91" s="690"/>
      <c r="J91" s="690"/>
      <c r="K91" s="690"/>
      <c r="L91" s="690"/>
      <c r="M91" s="691"/>
      <c r="N91" s="2166"/>
      <c r="O91" s="2166"/>
      <c r="P91" s="2167"/>
      <c r="Q91" s="2168"/>
      <c r="R91" s="2169"/>
      <c r="S91" s="2169"/>
      <c r="T91" s="2169"/>
      <c r="U91" s="2169"/>
      <c r="V91" s="2169"/>
      <c r="W91" s="2169"/>
      <c r="X91" s="2169"/>
      <c r="Y91" s="2169"/>
      <c r="Z91" s="2169"/>
      <c r="AA91" s="2169"/>
      <c r="AB91" s="2169"/>
      <c r="AC91" s="2169"/>
    </row>
    <row r="92" spans="1:29" ht="15.75" thickTop="1">
      <c r="A92" s="666"/>
      <c r="B92" s="670">
        <f>B28</f>
        <v>111</v>
      </c>
      <c r="C92" s="685"/>
      <c r="D92" s="685"/>
      <c r="E92" s="685"/>
      <c r="F92" s="685"/>
      <c r="G92" s="715"/>
      <c r="H92" s="715"/>
      <c r="I92" s="715"/>
      <c r="J92" s="715"/>
      <c r="K92" s="716"/>
      <c r="L92" s="717"/>
      <c r="M92" s="718"/>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89"/>
      <c r="D93" s="668"/>
      <c r="E93" s="668"/>
      <c r="F93" s="668"/>
      <c r="G93" s="668"/>
      <c r="H93" s="668"/>
      <c r="I93" s="668"/>
      <c r="J93" s="668"/>
      <c r="K93" s="668"/>
      <c r="L93" s="668"/>
      <c r="M93" s="669"/>
      <c r="N93" s="2165"/>
      <c r="O93" s="2165"/>
      <c r="P93" s="2164"/>
      <c r="Q93" s="2157"/>
      <c r="R93" s="2144"/>
      <c r="S93" s="2144"/>
      <c r="T93" s="2144"/>
      <c r="U93" s="2144"/>
      <c r="V93" s="2144"/>
      <c r="W93" s="2144"/>
      <c r="X93" s="2144"/>
      <c r="Y93" s="2144"/>
      <c r="Z93" s="2144"/>
      <c r="AA93" s="2144"/>
      <c r="AB93" s="2144"/>
      <c r="AC93" s="2144"/>
    </row>
    <row r="94" spans="1:29" ht="15.75" thickTop="1">
      <c r="A94" s="666"/>
      <c r="B94" s="670">
        <f>B29</f>
        <v>111</v>
      </c>
      <c r="C94" s="685"/>
      <c r="D94" s="685"/>
      <c r="E94" s="685"/>
      <c r="F94" s="685"/>
      <c r="G94" s="715"/>
      <c r="H94" s="715"/>
      <c r="I94" s="715"/>
      <c r="J94" s="715"/>
      <c r="K94" s="716"/>
      <c r="L94" s="717"/>
      <c r="M94" s="718"/>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89"/>
      <c r="D95" s="689"/>
      <c r="E95" s="689"/>
      <c r="F95" s="689"/>
      <c r="G95" s="668"/>
      <c r="H95" s="668"/>
      <c r="I95" s="668"/>
      <c r="J95" s="668"/>
      <c r="K95" s="668"/>
      <c r="L95" s="668"/>
      <c r="M95" s="669"/>
      <c r="N95" s="2165"/>
      <c r="O95" s="2165"/>
      <c r="P95" s="2164"/>
      <c r="Q95" s="2157"/>
      <c r="R95" s="2144"/>
      <c r="S95" s="2144"/>
      <c r="T95" s="2144"/>
      <c r="U95" s="2144"/>
      <c r="V95" s="2144"/>
      <c r="W95" s="2144"/>
      <c r="X95" s="2144"/>
      <c r="Y95" s="2144"/>
      <c r="Z95" s="2144"/>
      <c r="AA95" s="2144"/>
      <c r="AB95" s="2144"/>
      <c r="AC95" s="2144"/>
    </row>
    <row r="96" spans="1:29" ht="15.75" thickTop="1">
      <c r="A96" s="666"/>
      <c r="B96" s="670">
        <f>B30</f>
        <v>111</v>
      </c>
      <c r="C96" s="685"/>
      <c r="D96" s="685"/>
      <c r="E96" s="685"/>
      <c r="F96" s="685"/>
      <c r="G96" s="715"/>
      <c r="H96" s="715"/>
      <c r="I96" s="715"/>
      <c r="J96" s="715"/>
      <c r="K96" s="716"/>
      <c r="L96" s="717"/>
      <c r="M96" s="718"/>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97"/>
      <c r="D97" s="697"/>
      <c r="E97" s="697"/>
      <c r="F97" s="697"/>
      <c r="G97" s="668"/>
      <c r="H97" s="668"/>
      <c r="I97" s="668"/>
      <c r="J97" s="668"/>
      <c r="K97" s="668"/>
      <c r="L97" s="668"/>
      <c r="M97" s="669"/>
      <c r="N97" s="2165"/>
      <c r="O97" s="2165"/>
      <c r="P97" s="2164"/>
      <c r="Q97" s="2157"/>
      <c r="R97" s="2144"/>
      <c r="S97" s="2144"/>
      <c r="T97" s="2144"/>
      <c r="U97" s="2144"/>
      <c r="V97" s="2144"/>
      <c r="W97" s="2144"/>
      <c r="X97" s="2144"/>
      <c r="Y97" s="2144"/>
      <c r="Z97" s="2144"/>
      <c r="AA97" s="2144"/>
      <c r="AB97" s="2144"/>
      <c r="AC97" s="2144"/>
    </row>
    <row r="98" spans="1:29" ht="15.75" thickTop="1">
      <c r="A98" s="666"/>
      <c r="B98" s="678">
        <f>B31</f>
        <v>111</v>
      </c>
      <c r="C98" s="719"/>
      <c r="D98" s="719"/>
      <c r="E98" s="719"/>
      <c r="F98" s="719"/>
      <c r="G98" s="719"/>
      <c r="H98" s="719"/>
      <c r="I98" s="719"/>
      <c r="J98" s="719"/>
      <c r="K98" s="720"/>
      <c r="L98" s="721"/>
      <c r="M98" s="722"/>
      <c r="N98" s="2163"/>
      <c r="O98" s="2163"/>
      <c r="P98" s="2164"/>
      <c r="Q98" s="2157"/>
      <c r="R98" s="2144"/>
      <c r="S98" s="2144"/>
      <c r="T98" s="2144"/>
      <c r="U98" s="2144"/>
      <c r="V98" s="2144"/>
      <c r="W98" s="2144"/>
      <c r="X98" s="2144"/>
      <c r="Y98" s="2144"/>
      <c r="Z98" s="2144"/>
      <c r="AA98" s="2144"/>
      <c r="AB98" s="2144"/>
      <c r="AC98" s="2144"/>
    </row>
    <row r="99" spans="1:29" ht="15.75" thickBot="1">
      <c r="A99" s="890"/>
      <c r="B99" s="696"/>
      <c r="C99" s="723"/>
      <c r="D99" s="723"/>
      <c r="E99" s="723"/>
      <c r="F99" s="723"/>
      <c r="G99" s="723"/>
      <c r="H99" s="723"/>
      <c r="I99" s="723"/>
      <c r="J99" s="723"/>
      <c r="K99" s="723"/>
      <c r="L99" s="723"/>
      <c r="M99" s="724"/>
      <c r="N99" s="2165"/>
      <c r="O99" s="2165"/>
      <c r="P99" s="2164"/>
      <c r="Q99" s="2157"/>
      <c r="R99" s="2144"/>
      <c r="S99" s="2144"/>
      <c r="T99" s="2144"/>
      <c r="U99" s="2144"/>
      <c r="V99" s="2144"/>
      <c r="W99" s="2144"/>
      <c r="X99" s="2144"/>
      <c r="Y99" s="2144"/>
      <c r="Z99" s="2144"/>
      <c r="AA99" s="2144"/>
      <c r="AB99" s="2144"/>
      <c r="AC99" s="2144"/>
    </row>
    <row r="100" spans="1:29">
      <c r="A100" s="661" t="s">
        <v>551</v>
      </c>
      <c r="B100" s="662" t="s">
        <v>747</v>
      </c>
      <c r="C100" s="595"/>
      <c r="D100" s="595"/>
      <c r="E100" s="595"/>
      <c r="F100" s="595"/>
      <c r="G100" s="595"/>
      <c r="H100" s="595"/>
      <c r="I100" s="595"/>
      <c r="J100" s="595"/>
      <c r="K100" s="663"/>
      <c r="L100" s="664"/>
      <c r="M100" s="665"/>
      <c r="N100" s="2163"/>
      <c r="O100" s="2163"/>
      <c r="P100" s="2164"/>
      <c r="Q100" s="2157"/>
      <c r="R100" s="2144"/>
      <c r="S100" s="2144"/>
      <c r="T100" s="2144"/>
      <c r="U100" s="2144"/>
      <c r="V100" s="2144"/>
      <c r="W100" s="2144"/>
      <c r="X100" s="2144"/>
      <c r="Y100" s="2144"/>
      <c r="Z100" s="2144"/>
      <c r="AA100" s="2144"/>
      <c r="AB100" s="2144"/>
      <c r="AC100" s="2144"/>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6"/>
      <c r="B102" s="670" t="s">
        <v>748</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5"/>
      <c r="B103" s="726"/>
      <c r="C103" s="727"/>
      <c r="D103" s="727"/>
      <c r="E103" s="727"/>
      <c r="F103" s="727"/>
      <c r="G103" s="727"/>
      <c r="H103" s="727"/>
      <c r="I103" s="727"/>
      <c r="J103" s="728"/>
      <c r="K103" s="728"/>
      <c r="L103" s="729"/>
      <c r="M103" s="730"/>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4"/>
      <c r="B104" s="675"/>
      <c r="C104" s="689"/>
      <c r="D104" s="668"/>
      <c r="E104" s="668"/>
      <c r="F104" s="668"/>
      <c r="G104" s="668"/>
      <c r="H104" s="668"/>
      <c r="I104" s="668"/>
      <c r="J104" s="668"/>
      <c r="K104" s="668"/>
      <c r="L104" s="668"/>
      <c r="M104" s="668"/>
      <c r="N104" s="2165"/>
      <c r="O104" s="2165"/>
      <c r="P104" s="2167"/>
      <c r="Q104" s="2168"/>
      <c r="R104" s="2169"/>
      <c r="S104" s="2169"/>
      <c r="T104" s="2169"/>
      <c r="U104" s="2169"/>
      <c r="V104" s="2169"/>
      <c r="W104" s="2169"/>
      <c r="X104" s="2169"/>
      <c r="Y104" s="2169"/>
      <c r="Z104" s="2169"/>
      <c r="AA104" s="2169"/>
      <c r="AB104" s="2169"/>
      <c r="AC104" s="2169"/>
    </row>
    <row r="105" spans="1:29" ht="15" thickTop="1">
      <c r="A105" s="732"/>
      <c r="B105" s="670" t="s">
        <v>749</v>
      </c>
      <c r="C105" s="685"/>
      <c r="D105" s="685"/>
      <c r="E105" s="715"/>
      <c r="F105" s="71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2"/>
      <c r="B107" s="670" t="s">
        <v>750</v>
      </c>
      <c r="C107" s="715"/>
      <c r="D107" s="715"/>
      <c r="E107" s="715"/>
      <c r="F107" s="715"/>
      <c r="G107" s="715"/>
      <c r="H107" s="715"/>
      <c r="I107" s="715"/>
      <c r="J107" s="715"/>
      <c r="K107" s="716"/>
      <c r="L107" s="717"/>
      <c r="M107" s="718"/>
      <c r="N107" s="2163"/>
      <c r="O107" s="2163"/>
      <c r="P107" s="2164"/>
      <c r="Q107" s="2157"/>
      <c r="R107" s="2144"/>
      <c r="S107" s="2144"/>
      <c r="T107" s="2144"/>
      <c r="U107" s="2144"/>
      <c r="V107" s="2144"/>
      <c r="W107" s="2144"/>
      <c r="X107" s="2144"/>
      <c r="Y107" s="2144"/>
      <c r="Z107" s="2144"/>
      <c r="AA107" s="2144"/>
      <c r="AB107" s="2144"/>
      <c r="AC107" s="2144"/>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2"/>
      <c r="B109" s="670" t="s">
        <v>751</v>
      </c>
      <c r="C109" s="685"/>
      <c r="D109" s="685"/>
      <c r="E109" s="685"/>
      <c r="F109" s="715"/>
      <c r="G109" s="715"/>
      <c r="H109" s="715"/>
      <c r="I109" s="715"/>
      <c r="J109" s="715"/>
      <c r="K109" s="716"/>
      <c r="L109" s="717"/>
      <c r="M109" s="718"/>
      <c r="N109" s="2163"/>
      <c r="O109" s="2163"/>
      <c r="P109" s="2164"/>
      <c r="Q109" s="2157"/>
      <c r="R109" s="2144"/>
      <c r="S109" s="2144"/>
      <c r="T109" s="2144"/>
      <c r="U109" s="2144"/>
      <c r="V109" s="2144"/>
      <c r="W109" s="2144"/>
      <c r="X109" s="2144"/>
      <c r="Y109" s="2144"/>
      <c r="Z109" s="2144"/>
      <c r="AA109" s="2144"/>
      <c r="AB109" s="2144"/>
      <c r="AC109" s="2144"/>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5"/>
      <c r="O110" s="2165"/>
      <c r="P110" s="2164"/>
      <c r="Q110" s="2157"/>
      <c r="R110" s="2144"/>
      <c r="S110" s="2144"/>
      <c r="T110" s="2144"/>
      <c r="U110" s="2144"/>
      <c r="V110" s="2144"/>
      <c r="W110" s="2144"/>
      <c r="X110" s="2144"/>
      <c r="Y110" s="2144"/>
      <c r="Z110" s="2144"/>
      <c r="AA110" s="2144"/>
      <c r="AB110" s="2144"/>
      <c r="AC110" s="2144"/>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6"/>
      <c r="O111" s="2166"/>
      <c r="P111" s="2167"/>
      <c r="Q111" s="2168"/>
      <c r="R111" s="2169"/>
      <c r="S111" s="2169"/>
      <c r="T111" s="2169"/>
      <c r="U111" s="2169"/>
      <c r="V111" s="2169"/>
      <c r="W111" s="2169"/>
      <c r="X111" s="2169"/>
      <c r="Y111" s="2169"/>
      <c r="Z111" s="2169"/>
      <c r="AA111" s="2169"/>
      <c r="AB111" s="2169"/>
      <c r="AC111" s="2169"/>
    </row>
    <row r="112" spans="1:29" s="1336" customFormat="1">
      <c r="A112" s="725"/>
      <c r="B112" s="678"/>
      <c r="C112" s="891">
        <v>0.5</v>
      </c>
      <c r="D112" s="891">
        <v>0.6</v>
      </c>
      <c r="E112" s="891">
        <v>0.7</v>
      </c>
      <c r="F112" s="891">
        <v>0.8</v>
      </c>
      <c r="G112" s="891">
        <v>0.9</v>
      </c>
      <c r="H112" s="891">
        <v>1.0001</v>
      </c>
      <c r="I112" s="891"/>
      <c r="J112" s="892"/>
      <c r="K112" s="892"/>
      <c r="L112" s="893"/>
      <c r="M112" s="894"/>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6"/>
      <c r="O113" s="2166"/>
      <c r="P113" s="2167"/>
      <c r="Q113" s="2168"/>
      <c r="R113" s="2169"/>
      <c r="S113" s="2169"/>
      <c r="T113" s="2169"/>
      <c r="U113" s="2169"/>
      <c r="V113" s="2169"/>
      <c r="W113" s="2169"/>
      <c r="X113" s="2169"/>
      <c r="Y113" s="2169"/>
      <c r="Z113" s="2169"/>
      <c r="AA113" s="2169"/>
      <c r="AB113" s="2169"/>
      <c r="AC113" s="2169"/>
    </row>
    <row r="114" spans="1:29" ht="15" thickTop="1">
      <c r="A114" s="732"/>
      <c r="B114" s="670" t="s">
        <v>753</v>
      </c>
      <c r="C114" s="685"/>
      <c r="D114" s="685"/>
      <c r="E114" s="715"/>
      <c r="F114" s="715"/>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2"/>
      <c r="B116" s="1895" t="s">
        <v>2559</v>
      </c>
      <c r="C116" s="685"/>
      <c r="D116" s="685"/>
      <c r="E116" s="685"/>
      <c r="F116" s="685"/>
      <c r="G116" s="68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t="s">
        <v>754</v>
      </c>
      <c r="C118" s="715"/>
      <c r="D118" s="715"/>
      <c r="E118" s="715"/>
      <c r="F118" s="715"/>
      <c r="G118" s="715"/>
      <c r="H118" s="715"/>
      <c r="I118" s="715"/>
      <c r="J118" s="715"/>
      <c r="K118" s="716"/>
      <c r="L118" s="717"/>
      <c r="M118" s="71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5"/>
      <c r="O119" s="2165"/>
      <c r="P119" s="2164"/>
      <c r="Q119" s="2157"/>
      <c r="R119" s="2144"/>
      <c r="S119" s="2144"/>
      <c r="T119" s="2144"/>
      <c r="U119" s="2144"/>
      <c r="V119" s="2144"/>
      <c r="W119" s="2144"/>
      <c r="X119" s="2144"/>
      <c r="Y119" s="2144"/>
      <c r="Z119" s="2144"/>
      <c r="AA119" s="2144"/>
      <c r="AB119" s="2144"/>
      <c r="AC119" s="2144"/>
    </row>
    <row r="120" spans="1:29" s="1336" customFormat="1" ht="28.5" thickTop="1">
      <c r="A120" s="725"/>
      <c r="B120" s="670" t="s">
        <v>733</v>
      </c>
      <c r="C120" s="685"/>
      <c r="D120" s="685"/>
      <c r="E120" s="685"/>
      <c r="F120" s="685"/>
      <c r="G120" s="685"/>
      <c r="H120" s="685"/>
      <c r="I120" s="685"/>
      <c r="J120" s="685"/>
      <c r="K120" s="685"/>
      <c r="L120" s="887"/>
      <c r="M120" s="888"/>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4"/>
      <c r="B121" s="667"/>
      <c r="C121" s="689"/>
      <c r="D121" s="668"/>
      <c r="E121" s="668"/>
      <c r="F121" s="668"/>
      <c r="G121" s="668"/>
      <c r="H121" s="668"/>
      <c r="I121" s="668"/>
      <c r="J121" s="668"/>
      <c r="K121" s="668"/>
      <c r="L121" s="668"/>
      <c r="M121" s="668"/>
      <c r="N121" s="2166"/>
      <c r="O121" s="2166"/>
      <c r="P121" s="2167"/>
      <c r="Q121" s="2168"/>
      <c r="R121" s="2169"/>
      <c r="S121" s="2169"/>
      <c r="T121" s="2169"/>
      <c r="U121" s="2169"/>
      <c r="V121" s="2169"/>
      <c r="W121" s="2169"/>
      <c r="X121" s="2169"/>
      <c r="Y121" s="2169"/>
      <c r="Z121" s="2169"/>
      <c r="AA121" s="2169"/>
      <c r="AB121" s="2169"/>
      <c r="AC121" s="2169"/>
    </row>
    <row r="122" spans="1:29" ht="15" thickTop="1">
      <c r="A122" s="732"/>
      <c r="B122" s="670" t="s">
        <v>755</v>
      </c>
      <c r="C122" s="685"/>
      <c r="D122" s="685"/>
      <c r="E122" s="685"/>
      <c r="F122" s="715"/>
      <c r="G122" s="715"/>
      <c r="H122" s="715"/>
      <c r="I122" s="715"/>
      <c r="J122" s="715"/>
      <c r="K122" s="716"/>
      <c r="L122" s="717"/>
      <c r="M122" s="718"/>
      <c r="N122" s="2163"/>
      <c r="O122" s="2163"/>
      <c r="P122" s="2164"/>
      <c r="Q122" s="2157"/>
      <c r="R122" s="2144"/>
      <c r="S122" s="2144"/>
      <c r="T122" s="2144"/>
      <c r="U122" s="2144"/>
      <c r="V122" s="2144"/>
      <c r="W122" s="2144"/>
      <c r="X122" s="2144"/>
      <c r="Y122" s="2144"/>
      <c r="Z122" s="2144"/>
      <c r="AA122" s="2144"/>
      <c r="AB122" s="2144"/>
      <c r="AC122" s="2144"/>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3"/>
      <c r="O124" s="2163"/>
      <c r="P124" s="2167"/>
      <c r="Q124" s="2157"/>
      <c r="R124" s="2144"/>
      <c r="S124" s="2144"/>
      <c r="T124" s="2144"/>
      <c r="U124" s="2144"/>
      <c r="V124" s="2144"/>
      <c r="W124" s="2144"/>
      <c r="X124" s="2144"/>
      <c r="Y124" s="2144"/>
      <c r="Z124" s="2144"/>
      <c r="AA124" s="2144"/>
      <c r="AB124" s="2144"/>
      <c r="AC124" s="214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5"/>
      <c r="B126" s="670">
        <f>B44</f>
        <v>111</v>
      </c>
      <c r="C126" s="685"/>
      <c r="D126" s="685"/>
      <c r="E126" s="685"/>
      <c r="F126" s="685"/>
      <c r="G126" s="685"/>
      <c r="H126" s="686"/>
      <c r="I126" s="686"/>
      <c r="J126" s="686"/>
      <c r="K126" s="686"/>
      <c r="L126" s="687"/>
      <c r="M126" s="688"/>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4"/>
      <c r="B127" s="675"/>
      <c r="C127" s="689"/>
      <c r="D127" s="668"/>
      <c r="E127" s="668"/>
      <c r="F127" s="668"/>
      <c r="G127" s="689"/>
      <c r="H127" s="690"/>
      <c r="I127" s="690"/>
      <c r="J127" s="690"/>
      <c r="K127" s="690"/>
      <c r="L127" s="690"/>
      <c r="M127" s="691"/>
      <c r="N127" s="2166"/>
      <c r="O127" s="2166"/>
      <c r="P127" s="2167"/>
      <c r="Q127" s="2168"/>
      <c r="R127" s="2169"/>
      <c r="S127" s="2169"/>
      <c r="T127" s="2169"/>
      <c r="U127" s="2169"/>
      <c r="V127" s="2169"/>
      <c r="W127" s="2169"/>
      <c r="X127" s="2169"/>
      <c r="Y127" s="2169"/>
      <c r="Z127" s="2169"/>
      <c r="AA127" s="2169"/>
      <c r="AB127" s="2169"/>
      <c r="AC127" s="2169"/>
    </row>
    <row r="128" spans="1:29" ht="15" thickTop="1">
      <c r="A128" s="732"/>
      <c r="B128" s="670">
        <f>B45</f>
        <v>111</v>
      </c>
      <c r="C128" s="685"/>
      <c r="D128" s="685"/>
      <c r="E128" s="685"/>
      <c r="F128" s="685"/>
      <c r="G128" s="715"/>
      <c r="H128" s="715"/>
      <c r="I128" s="715"/>
      <c r="J128" s="715"/>
      <c r="K128" s="716"/>
      <c r="L128" s="717"/>
      <c r="M128" s="718"/>
      <c r="N128" s="2163"/>
      <c r="O128" s="2163"/>
      <c r="P128" s="2164"/>
      <c r="Q128" s="2157"/>
      <c r="R128" s="2144"/>
      <c r="S128" s="2144"/>
      <c r="T128" s="2144"/>
      <c r="U128" s="2144"/>
      <c r="V128" s="2144"/>
      <c r="W128" s="2144"/>
      <c r="X128" s="2144"/>
      <c r="Y128" s="2144"/>
      <c r="Z128" s="2144"/>
      <c r="AA128" s="2144"/>
      <c r="AB128" s="2144"/>
      <c r="AC128" s="2144"/>
    </row>
    <row r="129" spans="1:29" ht="15.75" thickBot="1">
      <c r="A129" s="666"/>
      <c r="B129" s="675"/>
      <c r="C129" s="689"/>
      <c r="D129" s="689"/>
      <c r="E129" s="689"/>
      <c r="F129" s="689"/>
      <c r="G129" s="668"/>
      <c r="H129" s="668"/>
      <c r="I129" s="668"/>
      <c r="J129" s="668"/>
      <c r="K129" s="668"/>
      <c r="L129" s="668"/>
      <c r="M129" s="669"/>
      <c r="N129" s="2165"/>
      <c r="O129" s="2165"/>
      <c r="P129" s="2164"/>
      <c r="Q129" s="2157"/>
      <c r="R129" s="2144"/>
      <c r="S129" s="2144"/>
      <c r="T129" s="2144"/>
      <c r="U129" s="2144"/>
      <c r="V129" s="2144"/>
      <c r="W129" s="2144"/>
      <c r="X129" s="2144"/>
      <c r="Y129" s="2144"/>
      <c r="Z129" s="2144"/>
      <c r="AA129" s="2144"/>
      <c r="AB129" s="2144"/>
      <c r="AC129" s="2144"/>
    </row>
    <row r="130" spans="1:29" ht="15" thickTop="1">
      <c r="A130" s="732"/>
      <c r="B130" s="678">
        <f>B46</f>
        <v>111</v>
      </c>
      <c r="C130" s="685"/>
      <c r="D130" s="685"/>
      <c r="E130" s="685"/>
      <c r="F130" s="685"/>
      <c r="G130" s="719"/>
      <c r="H130" s="719"/>
      <c r="I130" s="719"/>
      <c r="J130" s="719"/>
      <c r="K130" s="658"/>
      <c r="L130" s="659"/>
      <c r="M130" s="722"/>
      <c r="N130" s="2163"/>
      <c r="O130" s="2163"/>
      <c r="P130" s="2164"/>
      <c r="Q130" s="2157"/>
      <c r="R130" s="2144"/>
      <c r="S130" s="2144"/>
      <c r="T130" s="2144"/>
      <c r="U130" s="2144"/>
      <c r="V130" s="2144"/>
      <c r="W130" s="2144"/>
      <c r="X130" s="2144"/>
      <c r="Y130" s="2144"/>
      <c r="Z130" s="2144"/>
      <c r="AA130" s="2144"/>
      <c r="AB130" s="2144"/>
      <c r="AC130" s="2144"/>
    </row>
    <row r="131" spans="1:29" ht="15.75" thickBot="1">
      <c r="A131" s="890"/>
      <c r="B131" s="696"/>
      <c r="C131" s="697"/>
      <c r="D131" s="697"/>
      <c r="E131" s="697"/>
      <c r="F131" s="697"/>
      <c r="G131" s="723"/>
      <c r="H131" s="723"/>
      <c r="I131" s="723"/>
      <c r="J131" s="723"/>
      <c r="K131" s="723"/>
      <c r="L131" s="723"/>
      <c r="M131" s="724"/>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2261</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2262</v>
      </c>
      <c r="C137" s="1918"/>
      <c r="D137" s="1918"/>
      <c r="E137" s="1918"/>
      <c r="F137" s="1918"/>
      <c r="G137" s="1919"/>
      <c r="H137" s="1920"/>
      <c r="I137" s="1921" t="s">
        <v>2263</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2264</v>
      </c>
      <c r="D138" s="1924" t="s">
        <v>2265</v>
      </c>
      <c r="E138" s="1925" t="s">
        <v>2266</v>
      </c>
      <c r="F138" s="1926" t="s">
        <v>2267</v>
      </c>
      <c r="G138" s="1924" t="s">
        <v>2268</v>
      </c>
      <c r="H138" s="1927" t="s">
        <v>2269</v>
      </c>
      <c r="I138" s="1928"/>
      <c r="J138" s="1924" t="s">
        <v>2270</v>
      </c>
      <c r="K138" s="1927" t="s">
        <v>2271</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2272</v>
      </c>
      <c r="E139" s="1898">
        <v>100</v>
      </c>
      <c r="F139" s="1899">
        <v>102.5</v>
      </c>
      <c r="G139" s="1929" t="s">
        <v>2273</v>
      </c>
      <c r="H139" s="1900">
        <v>105</v>
      </c>
      <c r="I139" s="1930" t="s">
        <v>2274</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2275</v>
      </c>
      <c r="J140" s="843">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2276</v>
      </c>
      <c r="J141" s="843">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2277</v>
      </c>
      <c r="J142" s="843">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2278</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2279</v>
      </c>
      <c r="E144" s="1904">
        <v>102</v>
      </c>
      <c r="F144" s="1910">
        <v>100</v>
      </c>
      <c r="G144" s="1933" t="s">
        <v>2279</v>
      </c>
      <c r="H144" s="1906">
        <v>105</v>
      </c>
      <c r="I144" s="1932" t="s">
        <v>2278</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2280</v>
      </c>
      <c r="C145" s="1911">
        <f>ROUND(MAX(C139:C144)/MIN(C139:C144)-1,3)</f>
        <v>7.2999999999999995E-2</v>
      </c>
      <c r="D145" s="1935"/>
      <c r="E145" s="1935"/>
      <c r="F145" s="1936" t="s">
        <v>2281</v>
      </c>
      <c r="G145" s="1937"/>
      <c r="H145" s="1938"/>
      <c r="I145" s="1939" t="s">
        <v>2278</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2290</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2291</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9"/>
      <c r="E1" s="503"/>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467</v>
      </c>
      <c r="B2" s="847"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519</v>
      </c>
      <c r="B3" s="507" t="e">
        <f>C49</f>
        <v>#DIV/0!</v>
      </c>
      <c r="C3" s="849" t="s">
        <v>722</v>
      </c>
      <c r="D3" s="848">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5"/>
    </row>
    <row r="4" spans="1:29" ht="15">
      <c r="A4" s="509" t="s">
        <v>521</v>
      </c>
      <c r="B4" s="510"/>
      <c r="C4" s="3468" t="s">
        <v>522</v>
      </c>
      <c r="D4" s="3469"/>
      <c r="E4" s="3502" t="s">
        <v>523</v>
      </c>
      <c r="F4" s="3503"/>
      <c r="G4" s="3468" t="s">
        <v>524</v>
      </c>
      <c r="H4" s="3469"/>
      <c r="I4" s="3468" t="s">
        <v>525</v>
      </c>
      <c r="J4" s="3469"/>
      <c r="K4" s="511" t="s">
        <v>526</v>
      </c>
      <c r="L4" s="2132"/>
      <c r="M4" s="2133"/>
      <c r="N4" s="2133"/>
      <c r="O4" s="2133"/>
      <c r="P4" s="3470" t="s">
        <v>527</v>
      </c>
      <c r="Q4" s="3471"/>
      <c r="R4" s="3476" t="s">
        <v>523</v>
      </c>
      <c r="S4" s="3477"/>
      <c r="T4" s="3476" t="s">
        <v>524</v>
      </c>
      <c r="U4" s="3477"/>
      <c r="V4" s="3463" t="s">
        <v>525</v>
      </c>
      <c r="W4" s="3463"/>
      <c r="X4" s="1565"/>
      <c r="Y4" s="3476" t="s">
        <v>527</v>
      </c>
      <c r="Z4" s="3477"/>
      <c r="AA4" s="3465" t="s">
        <v>523</v>
      </c>
      <c r="AB4" s="3463" t="s">
        <v>524</v>
      </c>
      <c r="AC4" s="3465" t="s">
        <v>525</v>
      </c>
    </row>
    <row r="5" spans="1:29" ht="15">
      <c r="A5" s="512"/>
      <c r="B5" s="513"/>
      <c r="C5" s="3484" t="s">
        <v>2933</v>
      </c>
      <c r="D5" s="3485"/>
      <c r="E5" s="3504" t="s">
        <v>2934</v>
      </c>
      <c r="F5" s="3505"/>
      <c r="G5" s="3484" t="s">
        <v>2935</v>
      </c>
      <c r="H5" s="3485"/>
      <c r="I5" s="3484" t="s">
        <v>2936</v>
      </c>
      <c r="J5" s="3485"/>
      <c r="K5" s="511"/>
      <c r="L5" s="2132"/>
      <c r="M5" s="2133"/>
      <c r="N5" s="2133"/>
      <c r="O5" s="2133"/>
      <c r="P5" s="3472"/>
      <c r="Q5" s="3473"/>
      <c r="R5" s="3478"/>
      <c r="S5" s="3479"/>
      <c r="T5" s="3478"/>
      <c r="U5" s="3479"/>
      <c r="V5" s="3463"/>
      <c r="W5" s="3463"/>
      <c r="X5" s="1565"/>
      <c r="Y5" s="3478"/>
      <c r="Z5" s="3479"/>
      <c r="AA5" s="3466"/>
      <c r="AB5" s="3463"/>
      <c r="AC5" s="3466"/>
    </row>
    <row r="6" spans="1:29" ht="15.75" thickBot="1">
      <c r="A6" s="514"/>
      <c r="B6" s="515"/>
      <c r="C6" s="3482" t="s">
        <v>2937</v>
      </c>
      <c r="D6" s="3483"/>
      <c r="E6" s="3500" t="s">
        <v>2937</v>
      </c>
      <c r="F6" s="3501"/>
      <c r="G6" s="3482" t="s">
        <v>2937</v>
      </c>
      <c r="H6" s="3483"/>
      <c r="I6" s="3482" t="s">
        <v>2937</v>
      </c>
      <c r="J6" s="3483"/>
      <c r="K6" s="511" t="s">
        <v>528</v>
      </c>
      <c r="L6" s="2132"/>
      <c r="M6" s="2133"/>
      <c r="N6" s="2133"/>
      <c r="O6" s="2133"/>
      <c r="P6" s="3474"/>
      <c r="Q6" s="3475"/>
      <c r="R6" s="3478"/>
      <c r="S6" s="3479"/>
      <c r="T6" s="3480"/>
      <c r="U6" s="3481"/>
      <c r="V6" s="3463"/>
      <c r="W6" s="3463"/>
      <c r="X6" s="1565"/>
      <c r="Y6" s="3480"/>
      <c r="Z6" s="3481"/>
      <c r="AA6" s="3467"/>
      <c r="AB6" s="3463"/>
      <c r="AC6" s="3467"/>
    </row>
    <row r="7" spans="1:29" s="1217" customFormat="1" ht="15.75" thickBot="1">
      <c r="A7" s="2909"/>
      <c r="B7" s="2916" t="s">
        <v>529</v>
      </c>
      <c r="C7" s="516">
        <f>'数据-取费表'!B2</f>
        <v>43650</v>
      </c>
      <c r="D7" s="517">
        <v>100</v>
      </c>
      <c r="E7" s="518"/>
      <c r="F7" s="519">
        <f>SUMIF(58:58,YEAR(E7)&amp;"-"&amp;MONTH(E7),59:59)</f>
        <v>0</v>
      </c>
      <c r="G7" s="518"/>
      <c r="H7" s="517">
        <f>SUMIF(58:58,YEAR(G7)&amp;"-"&amp;MONTH(G7),59:59)</f>
        <v>0</v>
      </c>
      <c r="I7" s="518"/>
      <c r="J7" s="517">
        <f>SUMIF(58:58,YEAR(I7)&amp;"-"&amp;MONTH(I7),59:59)</f>
        <v>0</v>
      </c>
      <c r="K7" s="521"/>
      <c r="L7" s="2134"/>
      <c r="M7" s="2135"/>
      <c r="N7" s="2135"/>
      <c r="O7" s="2135"/>
      <c r="P7" s="3493" t="s">
        <v>530</v>
      </c>
      <c r="Q7" s="3495"/>
      <c r="R7" s="1566" t="s">
        <v>8</v>
      </c>
      <c r="S7" s="1567">
        <f t="shared" ref="S7:S15" si="0">F7</f>
        <v>0</v>
      </c>
      <c r="T7" s="1566" t="s">
        <v>8</v>
      </c>
      <c r="U7" s="1567">
        <f t="shared" ref="U7:U15" si="1">H7</f>
        <v>0</v>
      </c>
      <c r="V7" s="1566" t="s">
        <v>8</v>
      </c>
      <c r="W7" s="1567">
        <f t="shared" ref="W7:W15"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522"/>
      <c r="F8" s="519">
        <f>SUMIF(61:61,E8,62:62)-SUMIF(61:61,C8,62:62)+100</f>
        <v>0</v>
      </c>
      <c r="G8" s="522"/>
      <c r="H8" s="517">
        <f>SUMIF(61:61,G8,62:62)-SUMIF(61:61,C8,62:62)+100</f>
        <v>0</v>
      </c>
      <c r="I8" s="522"/>
      <c r="J8" s="517">
        <f>SUMIF(61:61,I8,62:62)-SUMIF(61:61,C8,62:62)+100</f>
        <v>0</v>
      </c>
      <c r="K8" s="521"/>
      <c r="L8" s="2134"/>
      <c r="M8" s="2135"/>
      <c r="N8" s="2135"/>
      <c r="O8" s="2135"/>
      <c r="P8" s="3493" t="s">
        <v>533</v>
      </c>
      <c r="Q8" s="3494"/>
      <c r="R8" s="1566" t="s">
        <v>8</v>
      </c>
      <c r="S8" s="1567">
        <f t="shared" si="0"/>
        <v>0</v>
      </c>
      <c r="T8" s="1566" t="s">
        <v>8</v>
      </c>
      <c r="U8" s="1567">
        <f t="shared" si="1"/>
        <v>0</v>
      </c>
      <c r="V8" s="1566" t="s">
        <v>8</v>
      </c>
      <c r="W8" s="1567">
        <f t="shared" si="2"/>
        <v>0</v>
      </c>
      <c r="X8" s="1568"/>
      <c r="Y8" s="3493" t="s">
        <v>533</v>
      </c>
      <c r="Z8" s="3494"/>
      <c r="AA8" s="1569" t="e">
        <f t="shared" ref="AA8:AA46" si="3">D8/F8</f>
        <v>#DIV/0!</v>
      </c>
      <c r="AB8" s="1569" t="e">
        <f t="shared" ref="AB8:AB46" si="4">D8/H8</f>
        <v>#DIV/0!</v>
      </c>
      <c r="AC8" s="1569" t="e">
        <f t="shared" ref="AC8:AC46" si="5">D8/J8</f>
        <v>#DIV/0!</v>
      </c>
    </row>
    <row r="9" spans="1:29" s="1217" customFormat="1" ht="15">
      <c r="A9" s="2911"/>
      <c r="B9" s="2918" t="s">
        <v>2759</v>
      </c>
      <c r="C9" s="854"/>
      <c r="D9" s="254">
        <v>100</v>
      </c>
      <c r="E9" s="857"/>
      <c r="F9" s="254">
        <f>SUMIF(63:63,E9,64:64)-SUMIF(63:63,C9,64:64)+100</f>
        <v>100</v>
      </c>
      <c r="G9" s="855"/>
      <c r="H9" s="254">
        <f>SUMIF(63:63,G9,64:64)-SUMIF(63:63,C9,64:64)+100</f>
        <v>100</v>
      </c>
      <c r="I9" s="855"/>
      <c r="J9" s="254">
        <f>SUMIF(63:63,I9,64:64)-SUMIF(63:63,C9,64:64)+100</f>
        <v>100</v>
      </c>
      <c r="K9" s="521"/>
      <c r="L9" s="2134"/>
      <c r="M9" s="2135"/>
      <c r="N9" s="2135"/>
      <c r="O9" s="2136"/>
      <c r="P9" s="3462" t="s">
        <v>535</v>
      </c>
      <c r="Q9" s="1148" t="str">
        <f t="shared" ref="Q9:Q15" si="6">B9</f>
        <v>用途</v>
      </c>
      <c r="R9" s="1566" t="s">
        <v>8</v>
      </c>
      <c r="S9" s="1567">
        <f t="shared" si="0"/>
        <v>100</v>
      </c>
      <c r="T9" s="1566" t="s">
        <v>8</v>
      </c>
      <c r="U9" s="1567">
        <f t="shared" si="1"/>
        <v>100</v>
      </c>
      <c r="V9" s="1566" t="s">
        <v>8</v>
      </c>
      <c r="W9" s="1567">
        <f t="shared" si="2"/>
        <v>100</v>
      </c>
      <c r="X9" s="1568"/>
      <c r="Y9" s="3383"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SUMIF(65:65,E10,66:66)-SUMIF(65:65,C10,66:66)+100</f>
        <v>100</v>
      </c>
      <c r="G10" s="859"/>
      <c r="H10" s="255">
        <f>SUMIF(65:65,G10,66:66)-SUMIF(65:65,C10,66:66)+100</f>
        <v>100</v>
      </c>
      <c r="I10" s="858"/>
      <c r="J10" s="255">
        <f>SUMIF(65:65,I10,66:66)-SUMIF(65:65,C10,66:66)+100</f>
        <v>100</v>
      </c>
      <c r="K10" s="581"/>
      <c r="L10" s="2137"/>
      <c r="M10" s="2177"/>
      <c r="N10" s="2177"/>
      <c r="O10" s="2138"/>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LOOKUP(E11,68:68,69:69)-LOOKUP(C11,68:68,69:69)+100</f>
        <v>#N/A</v>
      </c>
      <c r="G11" s="531"/>
      <c r="H11" s="255" t="e">
        <f>LOOKUP(G11,68:68,69:69)-LOOKUP(C11,68:68,69:69)+100</f>
        <v>#N/A</v>
      </c>
      <c r="I11" s="530"/>
      <c r="J11" s="255" t="e">
        <f>LOOKUP(I11,68:68,69:69)-LOOKUP(C11,68:68,69:69)+100</f>
        <v>#N/A</v>
      </c>
      <c r="K11" s="581"/>
      <c r="L11" s="2139"/>
      <c r="M11" s="2133"/>
      <c r="N11" s="2133"/>
      <c r="O11" s="2140"/>
      <c r="P11" s="3462"/>
      <c r="Q11" s="1148" t="str">
        <f t="shared" si="6"/>
        <v>容积率</v>
      </c>
      <c r="R11" s="1566" t="s">
        <v>8</v>
      </c>
      <c r="S11" s="1567" t="e">
        <f t="shared" si="0"/>
        <v>#N/A</v>
      </c>
      <c r="T11" s="1566" t="s">
        <v>8</v>
      </c>
      <c r="U11" s="1567" t="e">
        <f t="shared" si="1"/>
        <v>#N/A</v>
      </c>
      <c r="V11" s="1566" t="s">
        <v>8</v>
      </c>
      <c r="W11" s="1567" t="e">
        <f t="shared" si="2"/>
        <v>#N/A</v>
      </c>
      <c r="X11" s="1568"/>
      <c r="Y11" s="3383"/>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36"/>
      <c r="F12" s="255">
        <f>SUMIF(70:70,E12,71:71)-SUMIF(70:70,C12,71:71)+100</f>
        <v>100</v>
      </c>
      <c r="G12" s="909"/>
      <c r="H12" s="255">
        <f>SUMIF(70:70,G12,71:71)-SUMIF(70:70,C12,71:71)+100</f>
        <v>100</v>
      </c>
      <c r="I12" s="536"/>
      <c r="J12" s="255">
        <f>SUMIF(70:70,I12,71:71)-SUMIF(70:70,C12,71:71)+100</f>
        <v>100</v>
      </c>
      <c r="K12" s="578"/>
      <c r="L12" s="2134"/>
      <c r="M12" s="2135"/>
      <c r="N12" s="2135"/>
      <c r="O12" s="2136"/>
      <c r="P12" s="3462"/>
      <c r="Q12" s="1148">
        <f t="shared" si="6"/>
        <v>111</v>
      </c>
      <c r="R12" s="1566" t="s">
        <v>8</v>
      </c>
      <c r="S12" s="1567">
        <f t="shared" si="0"/>
        <v>100</v>
      </c>
      <c r="T12" s="1566" t="s">
        <v>8</v>
      </c>
      <c r="U12" s="1567">
        <f t="shared" si="1"/>
        <v>100</v>
      </c>
      <c r="V12" s="1566" t="s">
        <v>8</v>
      </c>
      <c r="W12" s="1567">
        <f t="shared" si="2"/>
        <v>100</v>
      </c>
      <c r="X12" s="1568"/>
      <c r="Y12" s="3383"/>
      <c r="Z12" s="1147">
        <f t="shared" si="7"/>
        <v>111</v>
      </c>
      <c r="AA12" s="1569">
        <f>D12/F12</f>
        <v>1</v>
      </c>
      <c r="AB12" s="1569">
        <f>D12/H12</f>
        <v>1</v>
      </c>
      <c r="AC12" s="1569">
        <f>D12/J12</f>
        <v>1</v>
      </c>
    </row>
    <row r="13" spans="1:29" ht="15">
      <c r="A13" s="2914"/>
      <c r="B13" s="2920">
        <v>111</v>
      </c>
      <c r="C13" s="536"/>
      <c r="D13" s="537">
        <v>100</v>
      </c>
      <c r="E13" s="536"/>
      <c r="F13" s="255">
        <f>SUMIF(72:72,E13,73:73)-SUMIF(72:72,C13,73:73)+100</f>
        <v>100</v>
      </c>
      <c r="G13" s="909"/>
      <c r="H13" s="537">
        <f>SUMIF(72:72,G13,73:73)-SUMIF(72:72,C13,73:73)+100</f>
        <v>100</v>
      </c>
      <c r="I13" s="536"/>
      <c r="J13" s="537">
        <f>SUMIF(72:72,I13,73:73)-SUMIF(72:72,C13,73:73)+100</f>
        <v>100</v>
      </c>
      <c r="K13" s="578"/>
      <c r="L13" s="2141"/>
      <c r="M13" s="2133"/>
      <c r="N13" s="2133"/>
      <c r="O13" s="2140"/>
      <c r="P13" s="3462"/>
      <c r="Q13" s="1148">
        <f t="shared" si="6"/>
        <v>111</v>
      </c>
      <c r="R13" s="1566" t="s">
        <v>8</v>
      </c>
      <c r="S13" s="1567">
        <f t="shared" si="0"/>
        <v>100</v>
      </c>
      <c r="T13" s="1566" t="s">
        <v>8</v>
      </c>
      <c r="U13" s="1567">
        <f t="shared" si="1"/>
        <v>100</v>
      </c>
      <c r="V13" s="1566" t="s">
        <v>8</v>
      </c>
      <c r="W13" s="1567">
        <f t="shared" si="2"/>
        <v>100</v>
      </c>
      <c r="X13" s="1568"/>
      <c r="Y13" s="3383"/>
      <c r="Z13" s="1147">
        <f t="shared" si="7"/>
        <v>111</v>
      </c>
      <c r="AA13" s="1569">
        <f t="shared" si="3"/>
        <v>1</v>
      </c>
      <c r="AB13" s="1569">
        <f t="shared" si="4"/>
        <v>1</v>
      </c>
      <c r="AC13" s="1569">
        <f t="shared" si="5"/>
        <v>1</v>
      </c>
    </row>
    <row r="14" spans="1:29" ht="15.75" thickBot="1">
      <c r="A14" s="2915"/>
      <c r="B14" s="2921">
        <v>111</v>
      </c>
      <c r="C14" s="542"/>
      <c r="D14" s="543">
        <v>100</v>
      </c>
      <c r="E14" s="542"/>
      <c r="F14" s="543">
        <f>SUMIF(74:74,E14,75:75)-SUMIF(74:74,C14,75:75)+100</f>
        <v>100</v>
      </c>
      <c r="G14" s="909"/>
      <c r="H14" s="543">
        <f>SUMIF(74:74,G14,75:75)-SUMIF(74:74,C14,75:75)+100</f>
        <v>100</v>
      </c>
      <c r="I14" s="536"/>
      <c r="J14" s="543">
        <f>SUMIF(74:74,I14,75:75)-SUMIF(74:74,C14,75:75)+100</f>
        <v>100</v>
      </c>
      <c r="K14" s="578"/>
      <c r="L14" s="2141"/>
      <c r="M14" s="2133"/>
      <c r="N14" s="2133"/>
      <c r="O14" s="2140"/>
      <c r="P14" s="3462"/>
      <c r="Q14" s="1148">
        <f t="shared" si="6"/>
        <v>111</v>
      </c>
      <c r="R14" s="1566" t="s">
        <v>8</v>
      </c>
      <c r="S14" s="1567">
        <f t="shared" si="0"/>
        <v>100</v>
      </c>
      <c r="T14" s="1566" t="s">
        <v>8</v>
      </c>
      <c r="U14" s="1567">
        <f t="shared" si="1"/>
        <v>100</v>
      </c>
      <c r="V14" s="1566" t="s">
        <v>8</v>
      </c>
      <c r="W14" s="1567">
        <f t="shared" si="2"/>
        <v>100</v>
      </c>
      <c r="X14" s="1568"/>
      <c r="Y14" s="3383"/>
      <c r="Z14" s="1147">
        <f t="shared" si="7"/>
        <v>111</v>
      </c>
      <c r="AA14" s="1569">
        <f t="shared" si="3"/>
        <v>1</v>
      </c>
      <c r="AB14" s="1569">
        <f t="shared" si="4"/>
        <v>1</v>
      </c>
      <c r="AC14" s="1569">
        <f t="shared" si="5"/>
        <v>1</v>
      </c>
    </row>
    <row r="15" spans="1:29" ht="71.25">
      <c r="A15" s="2907" t="s">
        <v>2757</v>
      </c>
      <c r="B15" s="166"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41"/>
      <c r="M15" s="2133"/>
      <c r="N15" s="2133"/>
      <c r="O15" s="2140"/>
      <c r="P15" s="3496" t="s">
        <v>540</v>
      </c>
      <c r="Q15" s="1570" t="str">
        <f t="shared" si="6"/>
        <v>商业繁华度</v>
      </c>
      <c r="R15" s="1571" t="s">
        <v>8</v>
      </c>
      <c r="S15" s="1572">
        <f t="shared" si="0"/>
        <v>100</v>
      </c>
      <c r="T15" s="1571" t="s">
        <v>8</v>
      </c>
      <c r="U15" s="1572">
        <f t="shared" si="1"/>
        <v>100</v>
      </c>
      <c r="V15" s="1571" t="s">
        <v>8</v>
      </c>
      <c r="W15" s="1572">
        <f t="shared" si="2"/>
        <v>100</v>
      </c>
      <c r="X15" s="1565"/>
      <c r="Y15" s="3496" t="s">
        <v>540</v>
      </c>
      <c r="Z15" s="1573" t="str">
        <f t="shared" si="7"/>
        <v>商业繁华度</v>
      </c>
      <c r="AA15" s="1574">
        <f t="shared" si="3"/>
        <v>1</v>
      </c>
      <c r="AB15" s="1574">
        <f t="shared" si="4"/>
        <v>1</v>
      </c>
      <c r="AC15" s="1574">
        <f t="shared" si="5"/>
        <v>1</v>
      </c>
    </row>
    <row r="16" spans="1:29" ht="15">
      <c r="A16" s="529"/>
      <c r="B16" s="866"/>
      <c r="C16" s="573"/>
      <c r="D16" s="552"/>
      <c r="E16" s="573"/>
      <c r="F16" s="554"/>
      <c r="G16" s="573"/>
      <c r="H16" s="556"/>
      <c r="I16" s="573"/>
      <c r="J16" s="552"/>
      <c r="K16" s="896"/>
      <c r="L16" s="2141"/>
      <c r="M16" s="2133"/>
      <c r="N16" s="2133"/>
      <c r="O16" s="2140"/>
      <c r="P16" s="3497"/>
      <c r="Q16" s="1570"/>
      <c r="R16" s="1571"/>
      <c r="S16" s="1572"/>
      <c r="T16" s="1571"/>
      <c r="U16" s="1572"/>
      <c r="V16" s="1571"/>
      <c r="W16" s="1572"/>
      <c r="X16" s="1565"/>
      <c r="Y16" s="3497"/>
      <c r="Z16" s="1573"/>
      <c r="AA16" s="1574">
        <v>1</v>
      </c>
      <c r="AB16" s="1574">
        <v>1</v>
      </c>
      <c r="AC16" s="1574">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41"/>
      <c r="M17" s="2133"/>
      <c r="N17" s="2133"/>
      <c r="O17" s="2140"/>
      <c r="P17" s="3497"/>
      <c r="Q17" s="1570" t="str">
        <f>B17</f>
        <v>交通便捷度</v>
      </c>
      <c r="R17" s="1571" t="s">
        <v>8</v>
      </c>
      <c r="S17" s="1572">
        <f>F17</f>
        <v>100</v>
      </c>
      <c r="T17" s="1571" t="s">
        <v>8</v>
      </c>
      <c r="U17" s="1572">
        <f>H17</f>
        <v>100</v>
      </c>
      <c r="V17" s="1571" t="s">
        <v>8</v>
      </c>
      <c r="W17" s="1572">
        <f>J17</f>
        <v>100</v>
      </c>
      <c r="X17" s="1565"/>
      <c r="Y17" s="3497"/>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1"/>
      <c r="M18" s="2133"/>
      <c r="N18" s="2133"/>
      <c r="O18" s="2140"/>
      <c r="P18" s="3497"/>
      <c r="Q18" s="1570"/>
      <c r="R18" s="1571"/>
      <c r="S18" s="1572"/>
      <c r="T18" s="1571"/>
      <c r="U18" s="1572"/>
      <c r="V18" s="1571"/>
      <c r="W18" s="1572"/>
      <c r="X18" s="1565"/>
      <c r="Y18" s="3497"/>
      <c r="Z18" s="1573"/>
      <c r="AA18" s="1574">
        <v>1</v>
      </c>
      <c r="AB18" s="1574">
        <v>1</v>
      </c>
      <c r="AC18" s="1574">
        <v>1</v>
      </c>
    </row>
    <row r="19" spans="1:29" ht="42.75">
      <c r="A19" s="529"/>
      <c r="B19" s="2599" t="s">
        <v>2549</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41"/>
      <c r="M19" s="2133"/>
      <c r="N19" s="2133"/>
      <c r="O19" s="2140"/>
      <c r="P19" s="3497"/>
      <c r="Q19" s="1570" t="str">
        <f>B19</f>
        <v>公共配套设施</v>
      </c>
      <c r="R19" s="1571" t="s">
        <v>8</v>
      </c>
      <c r="S19" s="1572">
        <f>F19</f>
        <v>100</v>
      </c>
      <c r="T19" s="1571" t="s">
        <v>8</v>
      </c>
      <c r="U19" s="1572">
        <f>H19</f>
        <v>100</v>
      </c>
      <c r="V19" s="1571" t="s">
        <v>8</v>
      </c>
      <c r="W19" s="1572">
        <f>J19</f>
        <v>100</v>
      </c>
      <c r="X19" s="1565"/>
      <c r="Y19" s="3497"/>
      <c r="Z19" s="1573" t="str">
        <f>Q19</f>
        <v>公共配套设施</v>
      </c>
      <c r="AA19" s="1574">
        <f t="shared" si="3"/>
        <v>1</v>
      </c>
      <c r="AB19" s="1574">
        <f t="shared" si="4"/>
        <v>1</v>
      </c>
      <c r="AC19" s="1574">
        <f t="shared" si="5"/>
        <v>1</v>
      </c>
    </row>
    <row r="20" spans="1:29" ht="15">
      <c r="A20" s="529"/>
      <c r="B20" s="592"/>
      <c r="C20" s="573"/>
      <c r="D20" s="552"/>
      <c r="E20" s="553"/>
      <c r="F20" s="554"/>
      <c r="G20" s="555"/>
      <c r="H20" s="552"/>
      <c r="I20" s="553"/>
      <c r="J20" s="552"/>
      <c r="K20" s="896"/>
      <c r="L20" s="2141"/>
      <c r="M20" s="2133"/>
      <c r="N20" s="2133"/>
      <c r="O20" s="2140"/>
      <c r="P20" s="3497"/>
      <c r="Q20" s="1570"/>
      <c r="R20" s="1571"/>
      <c r="S20" s="1572"/>
      <c r="T20" s="1571"/>
      <c r="U20" s="1572"/>
      <c r="V20" s="1571"/>
      <c r="W20" s="1572"/>
      <c r="X20" s="1565"/>
      <c r="Y20" s="3497"/>
      <c r="Z20" s="1573"/>
      <c r="AA20" s="1574">
        <v>1</v>
      </c>
      <c r="AB20" s="1574">
        <v>1</v>
      </c>
      <c r="AC20" s="1574">
        <v>1</v>
      </c>
    </row>
    <row r="21" spans="1:29" ht="28.5">
      <c r="A21" s="529"/>
      <c r="B21" s="2592" t="s">
        <v>2561</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41"/>
      <c r="M21" s="2133"/>
      <c r="N21" s="2133"/>
      <c r="O21" s="2140"/>
      <c r="P21" s="3497"/>
      <c r="Q21" s="2578" t="str">
        <f>B21</f>
        <v>基础设施水平</v>
      </c>
      <c r="R21" s="1571" t="s">
        <v>8</v>
      </c>
      <c r="S21" s="1572">
        <f>F21</f>
        <v>100</v>
      </c>
      <c r="T21" s="1571" t="s">
        <v>8</v>
      </c>
      <c r="U21" s="1572">
        <f>H21</f>
        <v>100</v>
      </c>
      <c r="V21" s="1571" t="s">
        <v>8</v>
      </c>
      <c r="W21" s="1572">
        <f>J21</f>
        <v>100</v>
      </c>
      <c r="X21" s="2580"/>
      <c r="Y21" s="3497"/>
      <c r="Z21" s="2579" t="str">
        <f>Q21</f>
        <v>基础设施水平</v>
      </c>
      <c r="AA21" s="1574">
        <f t="shared" ref="AA21" si="8">D21/F21</f>
        <v>1</v>
      </c>
      <c r="AB21" s="1574">
        <f t="shared" ref="AB21" si="9">D21/H21</f>
        <v>1</v>
      </c>
      <c r="AC21" s="1574">
        <f t="shared" ref="AC21" si="10">D21/J21</f>
        <v>1</v>
      </c>
    </row>
    <row r="22" spans="1:29" ht="15">
      <c r="A22" s="529"/>
      <c r="B22" s="919"/>
      <c r="C22" s="870"/>
      <c r="D22" s="552"/>
      <c r="E22" s="573"/>
      <c r="F22" s="554"/>
      <c r="G22" s="573"/>
      <c r="H22" s="552"/>
      <c r="I22" s="573"/>
      <c r="J22" s="552"/>
      <c r="K22" s="2601"/>
      <c r="L22" s="2141"/>
      <c r="M22" s="2133"/>
      <c r="N22" s="2133"/>
      <c r="O22" s="2140"/>
      <c r="P22" s="3497"/>
      <c r="Q22" s="2578"/>
      <c r="R22" s="1571"/>
      <c r="S22" s="1572"/>
      <c r="T22" s="1571"/>
      <c r="U22" s="1572"/>
      <c r="V22" s="1571"/>
      <c r="W22" s="1572"/>
      <c r="X22" s="2580"/>
      <c r="Y22" s="3497"/>
      <c r="Z22" s="2579"/>
      <c r="AA22" s="1574">
        <v>1</v>
      </c>
      <c r="AB22" s="1574">
        <v>1</v>
      </c>
      <c r="AC22" s="1574">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41"/>
      <c r="M23" s="2133"/>
      <c r="N23" s="2133"/>
      <c r="O23" s="2140"/>
      <c r="P23" s="3497"/>
      <c r="Q23" s="1570" t="str">
        <f>B23</f>
        <v>自然及人文环境</v>
      </c>
      <c r="R23" s="1571" t="s">
        <v>8</v>
      </c>
      <c r="S23" s="1572">
        <f>F23</f>
        <v>100</v>
      </c>
      <c r="T23" s="1571" t="s">
        <v>8</v>
      </c>
      <c r="U23" s="1572">
        <f>H23</f>
        <v>100</v>
      </c>
      <c r="V23" s="1571" t="s">
        <v>8</v>
      </c>
      <c r="W23" s="1572">
        <f>J23</f>
        <v>100</v>
      </c>
      <c r="X23" s="1565"/>
      <c r="Y23" s="3497"/>
      <c r="Z23" s="1573" t="str">
        <f>Q23</f>
        <v>自然及人文环境</v>
      </c>
      <c r="AA23" s="1574">
        <f t="shared" si="3"/>
        <v>1</v>
      </c>
      <c r="AB23" s="1574">
        <f t="shared" si="4"/>
        <v>1</v>
      </c>
      <c r="AC23" s="1574">
        <f t="shared" si="5"/>
        <v>1</v>
      </c>
    </row>
    <row r="24" spans="1:29" ht="15">
      <c r="A24" s="529"/>
      <c r="B24" s="592"/>
      <c r="C24" s="573"/>
      <c r="D24" s="552"/>
      <c r="E24" s="553"/>
      <c r="F24" s="554"/>
      <c r="G24" s="555"/>
      <c r="H24" s="552"/>
      <c r="I24" s="553"/>
      <c r="J24" s="552"/>
      <c r="K24" s="896"/>
      <c r="L24" s="2141"/>
      <c r="M24" s="2133"/>
      <c r="N24" s="2133"/>
      <c r="O24" s="2140"/>
      <c r="P24" s="3497"/>
      <c r="Q24" s="1570"/>
      <c r="R24" s="1571"/>
      <c r="S24" s="1572"/>
      <c r="T24" s="1571"/>
      <c r="U24" s="1572"/>
      <c r="V24" s="1571"/>
      <c r="W24" s="1572"/>
      <c r="X24" s="1565"/>
      <c r="Y24" s="3497"/>
      <c r="Z24" s="1573"/>
      <c r="AA24" s="1574">
        <v>1</v>
      </c>
      <c r="AB24" s="1574">
        <v>1</v>
      </c>
      <c r="AC24" s="1574">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41"/>
      <c r="M25" s="2133"/>
      <c r="N25" s="2133"/>
      <c r="O25" s="2140"/>
      <c r="P25" s="3497"/>
      <c r="Q25" s="1570" t="str">
        <f t="shared" ref="Q25:Q46" si="11">B25</f>
        <v>临街状况</v>
      </c>
      <c r="R25" s="1571" t="s">
        <v>8</v>
      </c>
      <c r="S25" s="1572">
        <f>F25</f>
        <v>100</v>
      </c>
      <c r="T25" s="1571" t="s">
        <v>8</v>
      </c>
      <c r="U25" s="1572">
        <f>H25</f>
        <v>100</v>
      </c>
      <c r="V25" s="1571" t="s">
        <v>8</v>
      </c>
      <c r="W25" s="1572">
        <f>J25</f>
        <v>100</v>
      </c>
      <c r="X25" s="1565"/>
      <c r="Y25" s="3497"/>
      <c r="Z25" s="1573" t="str">
        <f>Q25</f>
        <v>临街状况</v>
      </c>
      <c r="AA25" s="1574">
        <f t="shared" si="3"/>
        <v>1</v>
      </c>
      <c r="AB25" s="1574">
        <f t="shared" si="4"/>
        <v>1</v>
      </c>
      <c r="AC25" s="1574">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41"/>
      <c r="M26" s="2133"/>
      <c r="N26" s="2133"/>
      <c r="O26" s="2140"/>
      <c r="P26" s="3497"/>
      <c r="Q26" s="1570" t="str">
        <f t="shared" si="11"/>
        <v>平面位置/可视性</v>
      </c>
      <c r="R26" s="1571" t="s">
        <v>8</v>
      </c>
      <c r="S26" s="1572">
        <f>F26</f>
        <v>100</v>
      </c>
      <c r="T26" s="1571" t="s">
        <v>8</v>
      </c>
      <c r="U26" s="1572">
        <f>H26</f>
        <v>100</v>
      </c>
      <c r="V26" s="1571" t="s">
        <v>8</v>
      </c>
      <c r="W26" s="1572">
        <f>J26</f>
        <v>100</v>
      </c>
      <c r="X26" s="1565"/>
      <c r="Y26" s="3497"/>
      <c r="Z26" s="1573" t="str">
        <f>Q26</f>
        <v>平面位置/可视性</v>
      </c>
      <c r="AA26" s="1574">
        <f t="shared" si="3"/>
        <v>1</v>
      </c>
      <c r="AB26" s="1574">
        <f t="shared" si="4"/>
        <v>1</v>
      </c>
      <c r="AC26" s="1574">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4"/>
      <c r="M27" s="2135"/>
      <c r="N27" s="2135"/>
      <c r="O27" s="2136"/>
      <c r="P27" s="3497"/>
      <c r="Q27" s="1148" t="str">
        <f t="shared" si="11"/>
        <v>人流量</v>
      </c>
      <c r="R27" s="1566" t="s">
        <v>8</v>
      </c>
      <c r="S27" s="1567">
        <f>F27</f>
        <v>100</v>
      </c>
      <c r="T27" s="1566" t="s">
        <v>8</v>
      </c>
      <c r="U27" s="1567">
        <f>H27</f>
        <v>100</v>
      </c>
      <c r="V27" s="1566" t="s">
        <v>8</v>
      </c>
      <c r="W27" s="1567">
        <f>J27</f>
        <v>100</v>
      </c>
      <c r="X27" s="1568"/>
      <c r="Y27" s="3497"/>
      <c r="Z27" s="1147" t="str">
        <f>Q27</f>
        <v>人流量</v>
      </c>
      <c r="AA27" s="1574">
        <f>D27/F27</f>
        <v>1</v>
      </c>
      <c r="AB27" s="1574">
        <f>D27/H27</f>
        <v>1</v>
      </c>
      <c r="AC27" s="1574">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41"/>
      <c r="M28" s="2133"/>
      <c r="N28" s="2133"/>
      <c r="O28" s="2140"/>
      <c r="P28" s="3497"/>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97"/>
      <c r="Z28" s="1573" t="str">
        <f t="shared" ref="Z28:Z46" si="15">Q28</f>
        <v>楼层</v>
      </c>
      <c r="AA28" s="1574">
        <f t="shared" si="3"/>
        <v>1</v>
      </c>
      <c r="AB28" s="1574">
        <f t="shared" si="4"/>
        <v>1</v>
      </c>
      <c r="AC28" s="1574">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1"/>
      <c r="M29" s="2133"/>
      <c r="N29" s="2133"/>
      <c r="O29" s="2140"/>
      <c r="P29" s="3497"/>
      <c r="Q29" s="1570">
        <f t="shared" si="11"/>
        <v>111</v>
      </c>
      <c r="R29" s="1571" t="s">
        <v>8</v>
      </c>
      <c r="S29" s="1572">
        <f t="shared" si="12"/>
        <v>100</v>
      </c>
      <c r="T29" s="1571" t="s">
        <v>8</v>
      </c>
      <c r="U29" s="1572">
        <f t="shared" si="13"/>
        <v>100</v>
      </c>
      <c r="V29" s="1571" t="s">
        <v>8</v>
      </c>
      <c r="W29" s="1572">
        <f t="shared" si="14"/>
        <v>100</v>
      </c>
      <c r="X29" s="1565"/>
      <c r="Y29" s="3497"/>
      <c r="Z29" s="1573">
        <f t="shared" si="15"/>
        <v>111</v>
      </c>
      <c r="AA29" s="1574">
        <f t="shared" si="3"/>
        <v>1</v>
      </c>
      <c r="AB29" s="1574">
        <f t="shared" si="4"/>
        <v>1</v>
      </c>
      <c r="AC29" s="1574">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1"/>
      <c r="M30" s="2133"/>
      <c r="N30" s="2133"/>
      <c r="O30" s="2140"/>
      <c r="P30" s="3497"/>
      <c r="Q30" s="1570">
        <f t="shared" si="11"/>
        <v>111</v>
      </c>
      <c r="R30" s="1571" t="s">
        <v>8</v>
      </c>
      <c r="S30" s="1572">
        <f t="shared" si="12"/>
        <v>100</v>
      </c>
      <c r="T30" s="1571" t="s">
        <v>8</v>
      </c>
      <c r="U30" s="1572">
        <f t="shared" si="13"/>
        <v>100</v>
      </c>
      <c r="V30" s="1571" t="s">
        <v>8</v>
      </c>
      <c r="W30" s="1572">
        <f t="shared" si="14"/>
        <v>100</v>
      </c>
      <c r="X30" s="1565"/>
      <c r="Y30" s="3497"/>
      <c r="Z30" s="1573">
        <f t="shared" si="15"/>
        <v>111</v>
      </c>
      <c r="AA30" s="1574">
        <f t="shared" si="3"/>
        <v>1</v>
      </c>
      <c r="AB30" s="1574">
        <f t="shared" si="4"/>
        <v>1</v>
      </c>
      <c r="AC30" s="1574">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1"/>
      <c r="M31" s="2133"/>
      <c r="N31" s="2133"/>
      <c r="O31" s="2140"/>
      <c r="P31" s="3497"/>
      <c r="Q31" s="1570">
        <f t="shared" si="11"/>
        <v>111</v>
      </c>
      <c r="R31" s="1571" t="s">
        <v>8</v>
      </c>
      <c r="S31" s="1572">
        <f t="shared" si="12"/>
        <v>100</v>
      </c>
      <c r="T31" s="1571" t="s">
        <v>8</v>
      </c>
      <c r="U31" s="1572">
        <f t="shared" si="13"/>
        <v>100</v>
      </c>
      <c r="V31" s="1571" t="s">
        <v>8</v>
      </c>
      <c r="W31" s="1572">
        <f t="shared" si="14"/>
        <v>100</v>
      </c>
      <c r="X31" s="1565"/>
      <c r="Y31" s="3497"/>
      <c r="Z31" s="1573">
        <f t="shared" si="15"/>
        <v>111</v>
      </c>
      <c r="AA31" s="1574">
        <f t="shared" si="3"/>
        <v>1</v>
      </c>
      <c r="AB31" s="1574">
        <f t="shared" si="4"/>
        <v>1</v>
      </c>
      <c r="AC31" s="1574">
        <f t="shared" si="5"/>
        <v>1</v>
      </c>
    </row>
    <row r="32" spans="1:29" ht="15">
      <c r="A32" s="2904"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1"/>
      <c r="M32" s="2133"/>
      <c r="N32" s="2133"/>
      <c r="O32" s="2140"/>
      <c r="P32" s="3498" t="s">
        <v>550</v>
      </c>
      <c r="Q32" s="1570" t="str">
        <f t="shared" si="11"/>
        <v>商业类型</v>
      </c>
      <c r="R32" s="1571" t="s">
        <v>8</v>
      </c>
      <c r="S32" s="1572">
        <f t="shared" si="12"/>
        <v>100</v>
      </c>
      <c r="T32" s="1571" t="s">
        <v>8</v>
      </c>
      <c r="U32" s="1572">
        <f t="shared" si="13"/>
        <v>100</v>
      </c>
      <c r="V32" s="1571" t="s">
        <v>8</v>
      </c>
      <c r="W32" s="1572">
        <f t="shared" si="14"/>
        <v>100</v>
      </c>
      <c r="X32" s="1565"/>
      <c r="Y32" s="3499" t="s">
        <v>550</v>
      </c>
      <c r="Z32" s="1573" t="str">
        <f t="shared" si="15"/>
        <v>商业类型</v>
      </c>
      <c r="AA32" s="1574">
        <f t="shared" si="3"/>
        <v>1</v>
      </c>
      <c r="AB32" s="1574">
        <f t="shared" si="4"/>
        <v>1</v>
      </c>
      <c r="AC32" s="1574">
        <f t="shared" si="5"/>
        <v>1</v>
      </c>
    </row>
    <row r="33" spans="1:29" s="1336" customFormat="1" ht="15">
      <c r="A33" s="600"/>
      <c r="B33" s="524" t="s">
        <v>726</v>
      </c>
      <c r="C33" s="877"/>
      <c r="D33" s="255">
        <v>100</v>
      </c>
      <c r="E33" s="531"/>
      <c r="F33" s="860" t="e">
        <f>LOOKUP(E33,103:103,104:104)-LOOKUP(C33,103:103,104:104)+100</f>
        <v>#N/A</v>
      </c>
      <c r="G33" s="530"/>
      <c r="H33" s="255" t="e">
        <f>LOOKUP(G33,103:103,104:104)-LOOKUP(C33,103:103,104:104)+100</f>
        <v>#N/A</v>
      </c>
      <c r="I33" s="530"/>
      <c r="J33" s="255" t="e">
        <f>LOOKUP(I33,103:103,104:104)-LOOKUP(C33,103:103,104:104)+100</f>
        <v>#N/A</v>
      </c>
      <c r="K33" s="578"/>
      <c r="L33" s="2139"/>
      <c r="M33" s="2170"/>
      <c r="N33" s="2170"/>
      <c r="O33" s="2142"/>
      <c r="P33" s="3499"/>
      <c r="Q33" s="1603" t="str">
        <f t="shared" si="11"/>
        <v>项目建筑规模</v>
      </c>
      <c r="R33" s="1575" t="s">
        <v>8</v>
      </c>
      <c r="S33" s="1576" t="e">
        <f t="shared" si="12"/>
        <v>#N/A</v>
      </c>
      <c r="T33" s="1575" t="s">
        <v>8</v>
      </c>
      <c r="U33" s="1576" t="e">
        <f t="shared" si="13"/>
        <v>#N/A</v>
      </c>
      <c r="V33" s="1575" t="s">
        <v>8</v>
      </c>
      <c r="W33" s="1576" t="e">
        <f t="shared" si="14"/>
        <v>#N/A</v>
      </c>
      <c r="X33" s="1577"/>
      <c r="Y33" s="3499"/>
      <c r="Z33" s="1578" t="str">
        <f t="shared" si="15"/>
        <v>项目建筑规模</v>
      </c>
      <c r="AA33" s="1574" t="e">
        <f t="shared" si="3"/>
        <v>#N/A</v>
      </c>
      <c r="AB33" s="1574" t="e">
        <f t="shared" si="4"/>
        <v>#N/A</v>
      </c>
      <c r="AC33" s="1574"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41"/>
      <c r="M34" s="2133"/>
      <c r="N34" s="2133"/>
      <c r="O34" s="2140"/>
      <c r="P34" s="3499"/>
      <c r="Q34" s="1570" t="str">
        <f t="shared" si="11"/>
        <v>建筑结构</v>
      </c>
      <c r="R34" s="1571" t="s">
        <v>8</v>
      </c>
      <c r="S34" s="1572">
        <f t="shared" si="12"/>
        <v>100</v>
      </c>
      <c r="T34" s="1571" t="s">
        <v>8</v>
      </c>
      <c r="U34" s="1572">
        <f t="shared" si="13"/>
        <v>100</v>
      </c>
      <c r="V34" s="1571" t="s">
        <v>8</v>
      </c>
      <c r="W34" s="1572">
        <f t="shared" si="14"/>
        <v>100</v>
      </c>
      <c r="X34" s="1565"/>
      <c r="Y34" s="3499"/>
      <c r="Z34" s="1573" t="str">
        <f t="shared" si="15"/>
        <v>建筑结构</v>
      </c>
      <c r="AA34" s="1574">
        <f t="shared" si="3"/>
        <v>1</v>
      </c>
      <c r="AB34" s="1574">
        <f t="shared" si="4"/>
        <v>1</v>
      </c>
      <c r="AC34" s="1574">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1"/>
      <c r="M35" s="2133"/>
      <c r="N35" s="2133"/>
      <c r="O35" s="2140"/>
      <c r="P35" s="3499"/>
      <c r="Q35" s="1570" t="str">
        <f t="shared" si="11"/>
        <v>公共部分装修</v>
      </c>
      <c r="R35" s="1571" t="s">
        <v>8</v>
      </c>
      <c r="S35" s="1572">
        <f t="shared" si="12"/>
        <v>100</v>
      </c>
      <c r="T35" s="1571" t="s">
        <v>8</v>
      </c>
      <c r="U35" s="1572">
        <f t="shared" si="13"/>
        <v>100</v>
      </c>
      <c r="V35" s="1571" t="s">
        <v>8</v>
      </c>
      <c r="W35" s="1572">
        <f t="shared" si="14"/>
        <v>100</v>
      </c>
      <c r="X35" s="1565"/>
      <c r="Y35" s="3499"/>
      <c r="Z35" s="1573" t="str">
        <f t="shared" si="15"/>
        <v>公共部分装修</v>
      </c>
      <c r="AA35" s="1574">
        <f t="shared" si="3"/>
        <v>1</v>
      </c>
      <c r="AB35" s="1574">
        <f t="shared" si="4"/>
        <v>1</v>
      </c>
      <c r="AC35" s="1574">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41"/>
      <c r="M36" s="2133"/>
      <c r="N36" s="2133"/>
      <c r="O36" s="2140"/>
      <c r="P36" s="3499"/>
      <c r="Q36" s="1570" t="str">
        <f t="shared" si="11"/>
        <v>成新度</v>
      </c>
      <c r="R36" s="1571" t="s">
        <v>8</v>
      </c>
      <c r="S36" s="1572" t="e">
        <f t="shared" si="12"/>
        <v>#N/A</v>
      </c>
      <c r="T36" s="1571" t="s">
        <v>8</v>
      </c>
      <c r="U36" s="1572" t="e">
        <f t="shared" si="13"/>
        <v>#N/A</v>
      </c>
      <c r="V36" s="1571" t="s">
        <v>8</v>
      </c>
      <c r="W36" s="1572" t="e">
        <f t="shared" si="14"/>
        <v>#N/A</v>
      </c>
      <c r="X36" s="1565"/>
      <c r="Y36" s="3499"/>
      <c r="Z36" s="1573" t="str">
        <f t="shared" si="15"/>
        <v>成新度</v>
      </c>
      <c r="AA36" s="1574" t="e">
        <f t="shared" si="3"/>
        <v>#N/A</v>
      </c>
      <c r="AB36" s="1574" t="e">
        <f t="shared" si="4"/>
        <v>#N/A</v>
      </c>
      <c r="AC36" s="1574" t="e">
        <f t="shared" si="5"/>
        <v>#N/A</v>
      </c>
    </row>
    <row r="37" spans="1:29" s="1217" customFormat="1" ht="15">
      <c r="A37" s="597"/>
      <c r="B37" s="1894" t="s">
        <v>2568</v>
      </c>
      <c r="C37" s="596"/>
      <c r="D37" s="255">
        <v>100</v>
      </c>
      <c r="E37" s="596"/>
      <c r="F37" s="572">
        <f>SUMIF(112:112,E37,113:113)-SUMIF(112:112,C37,113:113)+100</f>
        <v>100</v>
      </c>
      <c r="G37" s="596"/>
      <c r="H37" s="537">
        <f>SUMIF(112:112,G37,113:113)-SUMIF(112:112,C37,113:113)+100</f>
        <v>100</v>
      </c>
      <c r="I37" s="596"/>
      <c r="J37" s="537">
        <f>SUMIF(112:112,I37,113:113)-SUMIF(112:112,C37,113:113)+100</f>
        <v>100</v>
      </c>
      <c r="K37" s="581"/>
      <c r="L37" s="2134"/>
      <c r="M37" s="2135"/>
      <c r="N37" s="2135"/>
      <c r="O37" s="2136"/>
      <c r="P37" s="3499"/>
      <c r="Q37" s="1148" t="str">
        <f t="shared" si="11"/>
        <v>市政基础设施</v>
      </c>
      <c r="R37" s="1566" t="s">
        <v>8</v>
      </c>
      <c r="S37" s="1567">
        <f t="shared" si="12"/>
        <v>100</v>
      </c>
      <c r="T37" s="1566" t="s">
        <v>8</v>
      </c>
      <c r="U37" s="1567">
        <f t="shared" si="13"/>
        <v>100</v>
      </c>
      <c r="V37" s="1566" t="s">
        <v>8</v>
      </c>
      <c r="W37" s="1567">
        <f t="shared" si="14"/>
        <v>100</v>
      </c>
      <c r="X37" s="1568"/>
      <c r="Y37" s="3499"/>
      <c r="Z37" s="1147" t="str">
        <f t="shared" si="15"/>
        <v>市政基础设施</v>
      </c>
      <c r="AA37" s="1569">
        <f t="shared" si="3"/>
        <v>1</v>
      </c>
      <c r="AB37" s="1569">
        <f t="shared" si="4"/>
        <v>1</v>
      </c>
      <c r="AC37" s="1569">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1"/>
      <c r="M38" s="2133"/>
      <c r="N38" s="2133"/>
      <c r="O38" s="2140"/>
      <c r="P38" s="3499" t="s">
        <v>766</v>
      </c>
      <c r="Q38" s="1570" t="str">
        <f t="shared" si="11"/>
        <v>业态</v>
      </c>
      <c r="R38" s="1571" t="s">
        <v>8</v>
      </c>
      <c r="S38" s="1572">
        <f t="shared" si="12"/>
        <v>100</v>
      </c>
      <c r="T38" s="1571" t="s">
        <v>8</v>
      </c>
      <c r="U38" s="1572">
        <f t="shared" si="13"/>
        <v>100</v>
      </c>
      <c r="V38" s="1571" t="s">
        <v>8</v>
      </c>
      <c r="W38" s="1572">
        <f t="shared" si="14"/>
        <v>100</v>
      </c>
      <c r="X38" s="1565"/>
      <c r="Y38" s="3499" t="s">
        <v>766</v>
      </c>
      <c r="Z38" s="1573" t="str">
        <f t="shared" si="15"/>
        <v>业态</v>
      </c>
      <c r="AA38" s="1574">
        <f t="shared" si="3"/>
        <v>1</v>
      </c>
      <c r="AB38" s="1574">
        <f t="shared" si="4"/>
        <v>1</v>
      </c>
      <c r="AC38" s="1574">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1"/>
      <c r="M39" s="2133"/>
      <c r="N39" s="2133"/>
      <c r="O39" s="2140"/>
      <c r="P39" s="3499"/>
      <c r="Q39" s="1570" t="str">
        <f t="shared" si="11"/>
        <v>层高</v>
      </c>
      <c r="R39" s="1571" t="s">
        <v>8</v>
      </c>
      <c r="S39" s="1572">
        <f t="shared" si="12"/>
        <v>100</v>
      </c>
      <c r="T39" s="1571" t="s">
        <v>8</v>
      </c>
      <c r="U39" s="1572">
        <f t="shared" si="13"/>
        <v>100</v>
      </c>
      <c r="V39" s="1571" t="s">
        <v>8</v>
      </c>
      <c r="W39" s="1572">
        <f t="shared" si="14"/>
        <v>100</v>
      </c>
      <c r="X39" s="1565"/>
      <c r="Y39" s="3499"/>
      <c r="Z39" s="1573" t="str">
        <f t="shared" si="15"/>
        <v>层高</v>
      </c>
      <c r="AA39" s="1574">
        <f t="shared" si="3"/>
        <v>1</v>
      </c>
      <c r="AB39" s="1574">
        <f t="shared" si="4"/>
        <v>1</v>
      </c>
      <c r="AC39" s="1574">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41"/>
      <c r="M40" s="2133"/>
      <c r="N40" s="2133"/>
      <c r="O40" s="2140"/>
      <c r="P40" s="3499"/>
      <c r="Q40" s="1570" t="str">
        <f t="shared" si="11"/>
        <v>单套建筑面积</v>
      </c>
      <c r="R40" s="1571" t="s">
        <v>8</v>
      </c>
      <c r="S40" s="1572">
        <f t="shared" si="12"/>
        <v>100</v>
      </c>
      <c r="T40" s="1571" t="s">
        <v>8</v>
      </c>
      <c r="U40" s="1572">
        <f t="shared" si="13"/>
        <v>100</v>
      </c>
      <c r="V40" s="1571" t="s">
        <v>8</v>
      </c>
      <c r="W40" s="1572">
        <f t="shared" si="14"/>
        <v>100</v>
      </c>
      <c r="X40" s="1565"/>
      <c r="Y40" s="3499"/>
      <c r="Z40" s="1573" t="str">
        <f t="shared" si="15"/>
        <v>单套建筑面积</v>
      </c>
      <c r="AA40" s="1574">
        <f t="shared" si="3"/>
        <v>1</v>
      </c>
      <c r="AB40" s="1574">
        <f t="shared" si="4"/>
        <v>1</v>
      </c>
      <c r="AC40" s="1574">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9"/>
      <c r="M41" s="2170"/>
      <c r="N41" s="2170"/>
      <c r="O41" s="2142"/>
      <c r="P41" s="3499"/>
      <c r="Q41" s="1603" t="str">
        <f t="shared" si="11"/>
        <v>进深比</v>
      </c>
      <c r="R41" s="1575" t="s">
        <v>8</v>
      </c>
      <c r="S41" s="1576">
        <f t="shared" si="12"/>
        <v>100</v>
      </c>
      <c r="T41" s="1575" t="s">
        <v>8</v>
      </c>
      <c r="U41" s="1576">
        <f t="shared" si="13"/>
        <v>100</v>
      </c>
      <c r="V41" s="1575" t="s">
        <v>8</v>
      </c>
      <c r="W41" s="1576">
        <f t="shared" si="14"/>
        <v>100</v>
      </c>
      <c r="X41" s="1577"/>
      <c r="Y41" s="3499"/>
      <c r="Z41" s="1578" t="str">
        <f t="shared" si="15"/>
        <v>进深比</v>
      </c>
      <c r="AA41" s="1574">
        <f t="shared" si="3"/>
        <v>1</v>
      </c>
      <c r="AB41" s="1574">
        <f t="shared" si="4"/>
        <v>1</v>
      </c>
      <c r="AC41" s="1574">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1"/>
      <c r="M42" s="2133"/>
      <c r="N42" s="2133"/>
      <c r="O42" s="2140"/>
      <c r="P42" s="3499"/>
      <c r="Q42" s="1570" t="str">
        <f t="shared" si="11"/>
        <v>内部装修</v>
      </c>
      <c r="R42" s="1571" t="s">
        <v>8</v>
      </c>
      <c r="S42" s="1572">
        <f t="shared" si="12"/>
        <v>100</v>
      </c>
      <c r="T42" s="1571" t="s">
        <v>8</v>
      </c>
      <c r="U42" s="1572">
        <f t="shared" si="13"/>
        <v>100</v>
      </c>
      <c r="V42" s="1571" t="s">
        <v>8</v>
      </c>
      <c r="W42" s="1572">
        <f t="shared" si="14"/>
        <v>100</v>
      </c>
      <c r="X42" s="1565"/>
      <c r="Y42" s="3499"/>
      <c r="Z42" s="1573" t="str">
        <f t="shared" si="15"/>
        <v>内部装修</v>
      </c>
      <c r="AA42" s="1574">
        <f t="shared" si="3"/>
        <v>1</v>
      </c>
      <c r="AB42" s="1574">
        <f t="shared" si="4"/>
        <v>1</v>
      </c>
      <c r="AC42" s="1574">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1"/>
      <c r="M43" s="2133"/>
      <c r="N43" s="2133"/>
      <c r="O43" s="2140"/>
      <c r="P43" s="3499"/>
      <c r="Q43" s="1570" t="str">
        <f t="shared" si="11"/>
        <v>内部装修维护情况</v>
      </c>
      <c r="R43" s="1571" t="s">
        <v>8</v>
      </c>
      <c r="S43" s="1572">
        <f t="shared" si="12"/>
        <v>100</v>
      </c>
      <c r="T43" s="1571" t="s">
        <v>8</v>
      </c>
      <c r="U43" s="1572">
        <f t="shared" si="13"/>
        <v>100</v>
      </c>
      <c r="V43" s="1571" t="s">
        <v>8</v>
      </c>
      <c r="W43" s="1572">
        <f t="shared" si="14"/>
        <v>100</v>
      </c>
      <c r="X43" s="1565"/>
      <c r="Y43" s="3499"/>
      <c r="Z43" s="1573" t="str">
        <f t="shared" si="15"/>
        <v>内部装修维护情况</v>
      </c>
      <c r="AA43" s="1574">
        <f t="shared" si="3"/>
        <v>1</v>
      </c>
      <c r="AB43" s="1574">
        <f t="shared" si="4"/>
        <v>1</v>
      </c>
      <c r="AC43" s="1574">
        <f t="shared" si="5"/>
        <v>1</v>
      </c>
    </row>
    <row r="44" spans="1:29" s="1217" customFormat="1" ht="15">
      <c r="A44" s="597"/>
      <c r="B44" s="874">
        <v>111</v>
      </c>
      <c r="C44" s="877"/>
      <c r="D44" s="255">
        <v>100</v>
      </c>
      <c r="E44" s="536"/>
      <c r="F44" s="860">
        <f>SUMIF(126:126,E44,127:127)-SUMIF(126:126,C44,127:127)+100</f>
        <v>100</v>
      </c>
      <c r="G44" s="536"/>
      <c r="H44" s="255">
        <f>SUMIF(126:126,G44,127:127)-SUMIF(126:126,C44,127:127)+100</f>
        <v>100</v>
      </c>
      <c r="I44" s="536"/>
      <c r="J44" s="255">
        <f>SUMIF(126:126,I44,127:127)-SUMIF(126:126,C44,127:127)+100</f>
        <v>100</v>
      </c>
      <c r="K44" s="578"/>
      <c r="L44" s="2134"/>
      <c r="M44" s="2135"/>
      <c r="N44" s="2135"/>
      <c r="O44" s="2136"/>
      <c r="P44" s="3499"/>
      <c r="Q44" s="1148">
        <f t="shared" si="11"/>
        <v>111</v>
      </c>
      <c r="R44" s="1566" t="s">
        <v>8</v>
      </c>
      <c r="S44" s="1567">
        <f t="shared" si="12"/>
        <v>100</v>
      </c>
      <c r="T44" s="1566" t="s">
        <v>8</v>
      </c>
      <c r="U44" s="1567">
        <f t="shared" si="13"/>
        <v>100</v>
      </c>
      <c r="V44" s="1566" t="s">
        <v>8</v>
      </c>
      <c r="W44" s="1567">
        <f t="shared" si="14"/>
        <v>100</v>
      </c>
      <c r="X44" s="1568"/>
      <c r="Y44" s="3499"/>
      <c r="Z44" s="1147">
        <f t="shared" si="15"/>
        <v>111</v>
      </c>
      <c r="AA44" s="1569">
        <f t="shared" si="3"/>
        <v>1</v>
      </c>
      <c r="AB44" s="1569">
        <f t="shared" si="4"/>
        <v>1</v>
      </c>
      <c r="AC44" s="1569">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1"/>
      <c r="M45" s="2133"/>
      <c r="N45" s="2133"/>
      <c r="O45" s="2140"/>
      <c r="P45" s="3499"/>
      <c r="Q45" s="1570">
        <f t="shared" si="11"/>
        <v>111</v>
      </c>
      <c r="R45" s="1571" t="s">
        <v>8</v>
      </c>
      <c r="S45" s="1572">
        <f t="shared" si="12"/>
        <v>100</v>
      </c>
      <c r="T45" s="1571" t="s">
        <v>8</v>
      </c>
      <c r="U45" s="1572">
        <f t="shared" si="13"/>
        <v>100</v>
      </c>
      <c r="V45" s="1571" t="s">
        <v>8</v>
      </c>
      <c r="W45" s="1572">
        <f t="shared" si="14"/>
        <v>100</v>
      </c>
      <c r="X45" s="1565"/>
      <c r="Y45" s="3499"/>
      <c r="Z45" s="1573">
        <f t="shared" si="15"/>
        <v>111</v>
      </c>
      <c r="AA45" s="1574">
        <f t="shared" si="3"/>
        <v>1</v>
      </c>
      <c r="AB45" s="1574">
        <f t="shared" si="4"/>
        <v>1</v>
      </c>
      <c r="AC45" s="1574">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1"/>
      <c r="M46" s="2133"/>
      <c r="N46" s="2133"/>
      <c r="O46" s="2140"/>
      <c r="P46" s="3551"/>
      <c r="Q46" s="1570">
        <f t="shared" si="11"/>
        <v>111</v>
      </c>
      <c r="R46" s="1571" t="s">
        <v>8</v>
      </c>
      <c r="S46" s="1572">
        <f t="shared" si="12"/>
        <v>100</v>
      </c>
      <c r="T46" s="1571" t="s">
        <v>8</v>
      </c>
      <c r="U46" s="1572">
        <f t="shared" si="13"/>
        <v>100</v>
      </c>
      <c r="V46" s="1571" t="s">
        <v>8</v>
      </c>
      <c r="W46" s="1572">
        <f t="shared" si="14"/>
        <v>100</v>
      </c>
      <c r="X46" s="1565"/>
      <c r="Y46" s="3551"/>
      <c r="Z46" s="1573">
        <f t="shared" si="15"/>
        <v>111</v>
      </c>
      <c r="AA46" s="1574">
        <f t="shared" si="3"/>
        <v>1</v>
      </c>
      <c r="AB46" s="1574">
        <f t="shared" si="4"/>
        <v>1</v>
      </c>
      <c r="AC46" s="1574">
        <f t="shared" si="5"/>
        <v>1</v>
      </c>
    </row>
    <row r="47" spans="1:29" ht="15">
      <c r="A47" s="604" t="s">
        <v>736</v>
      </c>
      <c r="B47" s="884"/>
      <c r="C47" s="2626" t="s">
        <v>1</v>
      </c>
      <c r="D47" s="2627"/>
      <c r="E47" s="2628"/>
      <c r="F47" s="2629"/>
      <c r="G47" s="2630"/>
      <c r="H47" s="2631"/>
      <c r="I47" s="2628"/>
      <c r="J47" s="2631"/>
      <c r="K47" s="1609"/>
      <c r="L47" s="2143"/>
      <c r="M47" s="2144"/>
      <c r="N47" s="2133"/>
      <c r="O47" s="2144"/>
      <c r="P47" s="3462" t="str">
        <f>A47</f>
        <v>成交单价（元/平方米）</v>
      </c>
      <c r="Q47" s="3462"/>
      <c r="R47" s="3550">
        <f>E47</f>
        <v>0</v>
      </c>
      <c r="S47" s="3550"/>
      <c r="T47" s="3550">
        <f>G47</f>
        <v>0</v>
      </c>
      <c r="U47" s="3550"/>
      <c r="V47" s="3550">
        <f>I47</f>
        <v>0</v>
      </c>
      <c r="W47" s="3550"/>
      <c r="X47" s="1557"/>
      <c r="Y47" s="1579"/>
      <c r="Z47" s="1557"/>
      <c r="AA47" s="1557"/>
      <c r="AB47" s="1557"/>
      <c r="AC47" s="1557"/>
    </row>
    <row r="48" spans="1:29" ht="15.75" thickBot="1">
      <c r="A48" s="612" t="s">
        <v>2763</v>
      </c>
      <c r="B48" s="885"/>
      <c r="C48" s="2632" t="e">
        <f>R49</f>
        <v>#DIV/0!</v>
      </c>
      <c r="D48" s="2633"/>
      <c r="E48" s="2634" t="e">
        <f>R48</f>
        <v>#DIV/0!</v>
      </c>
      <c r="F48" s="2634"/>
      <c r="G48" s="2632" t="e">
        <f>T48</f>
        <v>#DIV/0!</v>
      </c>
      <c r="H48" s="2633"/>
      <c r="I48" s="2634" t="e">
        <f>V48</f>
        <v>#DIV/0!</v>
      </c>
      <c r="J48" s="2633"/>
      <c r="K48" s="1610"/>
      <c r="L48" s="2143"/>
      <c r="M48" s="2144"/>
      <c r="N48" s="2133"/>
      <c r="O48" s="2144"/>
      <c r="P48" s="3462" t="str">
        <f>A48</f>
        <v>比较价格（元/平方米）</v>
      </c>
      <c r="Q48" s="3462"/>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1557"/>
      <c r="Y48" s="1557"/>
      <c r="Z48" s="1557"/>
      <c r="AA48" s="1557"/>
      <c r="AB48" s="1557"/>
      <c r="AC48" s="1557"/>
    </row>
    <row r="49" spans="1:29" ht="15.75" thickBot="1">
      <c r="A49" s="618" t="s">
        <v>2939</v>
      </c>
      <c r="B49" s="619"/>
      <c r="C49" s="2635" t="e">
        <f>R49</f>
        <v>#DIV/0!</v>
      </c>
      <c r="D49" s="2635"/>
      <c r="E49" s="2635"/>
      <c r="F49" s="2635"/>
      <c r="G49" s="2635"/>
      <c r="H49" s="2635"/>
      <c r="I49" s="2635"/>
      <c r="J49" s="2635"/>
      <c r="K49" s="1611"/>
      <c r="L49" s="2143"/>
      <c r="M49" s="2144"/>
      <c r="N49" s="2133"/>
      <c r="O49" s="2144"/>
      <c r="P49" s="3459" t="str">
        <f>A49</f>
        <v>估价对象XX用房的比较价格（楼面单价，元/平方米）</v>
      </c>
      <c r="Q49" s="3460"/>
      <c r="R49" s="3549" t="e">
        <f>IF(F1="售价",ROUND(AVERAGE(R48:V48),0),ROUND(AVERAGE(R48:V48),1))</f>
        <v>#DIV/0!</v>
      </c>
      <c r="S49" s="3549"/>
      <c r="T49" s="3549"/>
      <c r="U49" s="3549"/>
      <c r="V49" s="3549"/>
      <c r="W49" s="354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2" t="s">
        <v>529</v>
      </c>
      <c r="B58" s="643"/>
      <c r="C58" s="2799" t="str">
        <f>YEAR(C7)&amp;"-"&amp;MONTH(C7)</f>
        <v>2019-7</v>
      </c>
      <c r="D58" s="2801">
        <f>EDATE(C58,-1)</f>
        <v>43617</v>
      </c>
      <c r="E58" s="2801">
        <f t="shared" ref="E58:O58" si="16">EDATE(D58,-1)</f>
        <v>43586</v>
      </c>
      <c r="F58" s="2801">
        <f t="shared" si="16"/>
        <v>43556</v>
      </c>
      <c r="G58" s="2801">
        <f t="shared" si="16"/>
        <v>43525</v>
      </c>
      <c r="H58" s="2801">
        <f t="shared" si="16"/>
        <v>43497</v>
      </c>
      <c r="I58" s="2801">
        <f t="shared" si="16"/>
        <v>43466</v>
      </c>
      <c r="J58" s="2801">
        <f t="shared" si="16"/>
        <v>43435</v>
      </c>
      <c r="K58" s="2801">
        <f t="shared" si="16"/>
        <v>43405</v>
      </c>
      <c r="L58" s="2801">
        <f t="shared" si="16"/>
        <v>43374</v>
      </c>
      <c r="M58" s="2801">
        <f t="shared" si="16"/>
        <v>43344</v>
      </c>
      <c r="N58" s="2801">
        <f t="shared" si="16"/>
        <v>43313</v>
      </c>
      <c r="O58" s="2801">
        <f t="shared" si="16"/>
        <v>43282</v>
      </c>
      <c r="P58" s="2159"/>
      <c r="Q58" s="2160"/>
      <c r="R58" s="2160"/>
      <c r="S58" s="2160"/>
      <c r="T58" s="2160"/>
      <c r="U58" s="2160"/>
      <c r="V58" s="2160"/>
      <c r="W58" s="2160"/>
      <c r="X58" s="2160"/>
      <c r="Y58" s="2160"/>
      <c r="Z58" s="2160"/>
      <c r="AA58" s="2160"/>
      <c r="AB58" s="2160"/>
      <c r="AC58" s="2160"/>
    </row>
    <row r="59" spans="1:29" s="1217" customFormat="1" ht="15">
      <c r="A59" s="644"/>
      <c r="B59" s="645"/>
      <c r="C59" s="646">
        <v>100</v>
      </c>
      <c r="D59" s="647"/>
      <c r="E59" s="647"/>
      <c r="F59" s="647"/>
      <c r="G59" s="647"/>
      <c r="H59" s="647"/>
      <c r="I59" s="647"/>
      <c r="J59" s="647"/>
      <c r="K59" s="647"/>
      <c r="L59" s="647"/>
      <c r="M59" s="648"/>
      <c r="N59" s="647"/>
      <c r="O59" s="649"/>
      <c r="P59" s="2157"/>
      <c r="Q59" s="1992"/>
      <c r="R59" s="1992"/>
      <c r="S59" s="1992"/>
      <c r="T59" s="1992"/>
      <c r="U59" s="1992"/>
      <c r="V59" s="1992"/>
      <c r="W59" s="1992"/>
      <c r="X59" s="1992"/>
      <c r="Y59" s="1992"/>
      <c r="Z59" s="1992"/>
      <c r="AA59" s="1992"/>
      <c r="AB59" s="1992"/>
      <c r="AC59" s="1992"/>
    </row>
    <row r="60" spans="1:29" s="1217" customFormat="1" ht="15.75" thickBot="1">
      <c r="A60" s="650" t="s">
        <v>575</v>
      </c>
      <c r="B60" s="651"/>
      <c r="C60" s="652"/>
      <c r="D60" s="653"/>
      <c r="E60" s="653"/>
      <c r="F60" s="653"/>
      <c r="G60" s="653"/>
      <c r="H60" s="653"/>
      <c r="I60" s="653"/>
      <c r="J60" s="653"/>
      <c r="K60" s="653"/>
      <c r="L60" s="653"/>
      <c r="M60" s="654"/>
      <c r="N60" s="653"/>
      <c r="O60" s="655"/>
      <c r="P60" s="2157"/>
      <c r="Q60" s="2157"/>
      <c r="R60" s="1992"/>
      <c r="S60" s="1992"/>
      <c r="T60" s="1992"/>
      <c r="U60" s="1992"/>
      <c r="V60" s="1992"/>
      <c r="W60" s="1992"/>
      <c r="X60" s="1992"/>
      <c r="Y60" s="1992"/>
      <c r="Z60" s="1992"/>
      <c r="AA60" s="1992"/>
      <c r="AB60" s="1992"/>
      <c r="AC60" s="1992"/>
    </row>
    <row r="61" spans="1:29" s="1217" customFormat="1" ht="15">
      <c r="A61" s="656" t="s">
        <v>531</v>
      </c>
      <c r="B61" s="645"/>
      <c r="C61" s="657" t="s">
        <v>576</v>
      </c>
      <c r="D61" s="658"/>
      <c r="E61" s="658"/>
      <c r="F61" s="658"/>
      <c r="G61" s="658"/>
      <c r="H61" s="658"/>
      <c r="I61" s="658"/>
      <c r="J61" s="658"/>
      <c r="K61" s="658"/>
      <c r="L61" s="659"/>
      <c r="M61" s="660"/>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6"/>
      <c r="B62" s="645"/>
      <c r="C62" s="886">
        <v>100</v>
      </c>
      <c r="D62" s="647"/>
      <c r="E62" s="647"/>
      <c r="F62" s="647"/>
      <c r="G62" s="647"/>
      <c r="H62" s="647"/>
      <c r="I62" s="647"/>
      <c r="J62" s="647"/>
      <c r="K62" s="647"/>
      <c r="L62" s="647"/>
      <c r="M62" s="649"/>
      <c r="N62" s="2161"/>
      <c r="O62" s="2161"/>
      <c r="P62" s="2157"/>
      <c r="Q62" s="2157"/>
      <c r="R62" s="1992"/>
      <c r="S62" s="1992"/>
      <c r="T62" s="1992"/>
      <c r="U62" s="1992"/>
      <c r="V62" s="1992"/>
      <c r="W62" s="1992"/>
      <c r="X62" s="1992"/>
      <c r="Y62" s="1992"/>
      <c r="Z62" s="1992"/>
      <c r="AA62" s="1992"/>
      <c r="AB62" s="1992"/>
      <c r="AC62" s="1202"/>
    </row>
    <row r="63" spans="1:29">
      <c r="A63" s="661" t="s">
        <v>577</v>
      </c>
      <c r="B63" s="662" t="s">
        <v>534</v>
      </c>
      <c r="C63" s="701">
        <f>C9</f>
        <v>0</v>
      </c>
      <c r="D63" s="595"/>
      <c r="E63" s="595"/>
      <c r="F63" s="595"/>
      <c r="G63" s="595"/>
      <c r="H63" s="595"/>
      <c r="I63" s="595"/>
      <c r="J63" s="595"/>
      <c r="K63" s="663"/>
      <c r="L63" s="664"/>
      <c r="M63" s="665"/>
      <c r="N63" s="2163"/>
      <c r="O63" s="2163"/>
      <c r="P63" s="2164"/>
      <c r="Q63" s="2157"/>
      <c r="R63" s="2144"/>
      <c r="S63" s="2144"/>
      <c r="T63" s="2144"/>
      <c r="U63" s="2144"/>
      <c r="V63" s="2144"/>
      <c r="W63" s="2144"/>
      <c r="X63" s="2144"/>
      <c r="Y63" s="2144"/>
      <c r="Z63" s="2144"/>
      <c r="AA63" s="2144"/>
      <c r="AB63" s="2144"/>
      <c r="AC63" s="2144"/>
    </row>
    <row r="64" spans="1:29" ht="15.75" thickBot="1">
      <c r="A64" s="666"/>
      <c r="B64" s="667"/>
      <c r="C64" s="668"/>
      <c r="D64" s="668"/>
      <c r="E64" s="668"/>
      <c r="F64" s="668"/>
      <c r="G64" s="668"/>
      <c r="H64" s="668"/>
      <c r="I64" s="668"/>
      <c r="J64" s="668"/>
      <c r="K64" s="668"/>
      <c r="L64" s="668"/>
      <c r="M64" s="669"/>
      <c r="N64" s="2165"/>
      <c r="O64" s="2165"/>
      <c r="P64" s="2164"/>
      <c r="Q64" s="2157"/>
      <c r="R64" s="2144"/>
      <c r="S64" s="2144"/>
      <c r="T64" s="2144"/>
      <c r="U64" s="2144"/>
      <c r="V64" s="2144"/>
      <c r="W64" s="2144"/>
      <c r="X64" s="2144"/>
      <c r="Y64" s="2144"/>
      <c r="Z64" s="2144"/>
      <c r="AA64" s="2144"/>
      <c r="AB64" s="2144"/>
      <c r="AC64" s="214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6"/>
      <c r="B68" s="680"/>
      <c r="C68" s="538"/>
      <c r="D68" s="538"/>
      <c r="E68" s="538"/>
      <c r="F68" s="538"/>
      <c r="G68" s="538"/>
      <c r="H68" s="538"/>
      <c r="I68" s="538"/>
      <c r="J68" s="538"/>
      <c r="K68" s="681"/>
      <c r="L68" s="682"/>
      <c r="M68" s="683"/>
      <c r="N68" s="2163"/>
      <c r="O68" s="2163"/>
      <c r="P68" s="2164"/>
      <c r="Q68" s="2157"/>
      <c r="R68" s="2144"/>
      <c r="S68" s="2144"/>
      <c r="T68" s="2144"/>
      <c r="U68" s="2144"/>
      <c r="V68" s="2144"/>
      <c r="W68" s="2144"/>
      <c r="X68" s="2144"/>
      <c r="Y68" s="2144"/>
      <c r="Z68" s="2144"/>
      <c r="AA68" s="2144"/>
      <c r="AB68" s="2144"/>
      <c r="AC68" s="2144"/>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4"/>
      <c r="B70" s="670">
        <f>B12</f>
        <v>111</v>
      </c>
      <c r="C70" s="685"/>
      <c r="D70" s="685"/>
      <c r="E70" s="685"/>
      <c r="F70" s="685"/>
      <c r="G70" s="685"/>
      <c r="H70" s="686"/>
      <c r="I70" s="686"/>
      <c r="J70" s="686"/>
      <c r="K70" s="686"/>
      <c r="L70" s="687"/>
      <c r="M70" s="688"/>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4"/>
      <c r="B71" s="675"/>
      <c r="C71" s="689"/>
      <c r="D71" s="668"/>
      <c r="E71" s="668"/>
      <c r="F71" s="668"/>
      <c r="G71" s="668"/>
      <c r="H71" s="668"/>
      <c r="I71" s="668"/>
      <c r="J71" s="668"/>
      <c r="K71" s="668"/>
      <c r="L71" s="668"/>
      <c r="M71" s="669"/>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4"/>
      <c r="B72" s="670">
        <f>B13</f>
        <v>111</v>
      </c>
      <c r="C72" s="685"/>
      <c r="D72" s="685"/>
      <c r="E72" s="685"/>
      <c r="F72" s="685"/>
      <c r="G72" s="685"/>
      <c r="H72" s="686"/>
      <c r="I72" s="686"/>
      <c r="J72" s="686"/>
      <c r="K72" s="686"/>
      <c r="L72" s="687"/>
      <c r="M72" s="688"/>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4"/>
      <c r="B73" s="675"/>
      <c r="C73" s="689"/>
      <c r="D73" s="668"/>
      <c r="E73" s="668"/>
      <c r="F73" s="668"/>
      <c r="G73" s="689"/>
      <c r="H73" s="690"/>
      <c r="I73" s="690"/>
      <c r="J73" s="690"/>
      <c r="K73" s="690"/>
      <c r="L73" s="690"/>
      <c r="M73" s="691"/>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4"/>
      <c r="B74" s="678">
        <f>B14</f>
        <v>111</v>
      </c>
      <c r="C74" s="685"/>
      <c r="D74" s="685"/>
      <c r="E74" s="685"/>
      <c r="F74" s="685"/>
      <c r="G74" s="658"/>
      <c r="H74" s="692"/>
      <c r="I74" s="692"/>
      <c r="J74" s="692"/>
      <c r="K74" s="692"/>
      <c r="L74" s="693"/>
      <c r="M74" s="694"/>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5"/>
      <c r="B75" s="696"/>
      <c r="C75" s="697"/>
      <c r="D75" s="697"/>
      <c r="E75" s="697"/>
      <c r="F75" s="697"/>
      <c r="G75" s="697"/>
      <c r="H75" s="698"/>
      <c r="I75" s="698"/>
      <c r="J75" s="698"/>
      <c r="K75" s="698"/>
      <c r="L75" s="698"/>
      <c r="M75" s="699"/>
      <c r="N75" s="2166"/>
      <c r="O75" s="2166"/>
      <c r="P75" s="2167"/>
      <c r="Q75" s="2168"/>
      <c r="R75" s="2169"/>
      <c r="S75" s="2169"/>
      <c r="T75" s="2169"/>
      <c r="U75" s="2169"/>
      <c r="V75" s="2169"/>
      <c r="W75" s="2169"/>
      <c r="X75" s="2169"/>
      <c r="Y75" s="2169"/>
      <c r="Z75" s="2169"/>
      <c r="AA75" s="2169"/>
      <c r="AB75" s="2169"/>
      <c r="AC75" s="2169"/>
    </row>
    <row r="76" spans="1:29">
      <c r="A76" s="661" t="s">
        <v>539</v>
      </c>
      <c r="B76" s="662" t="s">
        <v>578</v>
      </c>
      <c r="C76" s="700" t="s">
        <v>579</v>
      </c>
      <c r="D76" s="700" t="s">
        <v>580</v>
      </c>
      <c r="E76" s="700" t="s">
        <v>581</v>
      </c>
      <c r="F76" s="700" t="s">
        <v>582</v>
      </c>
      <c r="G76" s="700" t="s">
        <v>583</v>
      </c>
      <c r="H76" s="701"/>
      <c r="I76" s="701"/>
      <c r="J76" s="701"/>
      <c r="K76" s="702"/>
      <c r="L76" s="703"/>
      <c r="M76" s="704"/>
      <c r="N76" s="2163"/>
      <c r="O76" s="2163"/>
      <c r="P76" s="2173"/>
      <c r="Q76" s="2157"/>
      <c r="R76" s="2144"/>
      <c r="S76" s="2144"/>
      <c r="T76" s="2144"/>
      <c r="U76" s="2144"/>
      <c r="V76" s="2144"/>
      <c r="W76" s="2144"/>
      <c r="X76" s="2144"/>
      <c r="Y76" s="2144"/>
      <c r="Z76" s="2144"/>
      <c r="AA76" s="2144"/>
      <c r="AB76" s="2144"/>
      <c r="AC76" s="214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586</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ht="15.75" thickTop="1">
      <c r="A80" s="666"/>
      <c r="B80" s="1895" t="s">
        <v>2560</v>
      </c>
      <c r="C80" s="705" t="s">
        <v>579</v>
      </c>
      <c r="D80" s="705" t="s">
        <v>580</v>
      </c>
      <c r="E80" s="705" t="s">
        <v>581</v>
      </c>
      <c r="F80" s="705" t="s">
        <v>582</v>
      </c>
      <c r="G80" s="705" t="s">
        <v>583</v>
      </c>
      <c r="H80" s="671"/>
      <c r="I80" s="671"/>
      <c r="J80" s="671"/>
      <c r="K80" s="672"/>
      <c r="L80" s="673"/>
      <c r="M80" s="674"/>
      <c r="N80" s="2163"/>
      <c r="O80" s="2163"/>
      <c r="P80" s="2164"/>
      <c r="Q80" s="2157"/>
      <c r="R80" s="2144"/>
      <c r="S80" s="2144"/>
      <c r="T80" s="2144"/>
      <c r="U80" s="2144"/>
      <c r="V80" s="2144"/>
      <c r="W80" s="2144"/>
      <c r="X80" s="2144"/>
      <c r="Y80" s="2144"/>
      <c r="Z80" s="2144"/>
      <c r="AA80" s="2144"/>
      <c r="AB80" s="2144"/>
      <c r="AC80" s="214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5"/>
      <c r="O81" s="2165"/>
      <c r="P81" s="2164"/>
      <c r="Q81" s="2157"/>
      <c r="R81" s="2144"/>
      <c r="S81" s="2144"/>
      <c r="T81" s="2144"/>
      <c r="U81" s="2144"/>
      <c r="V81" s="2144"/>
      <c r="W81" s="2144"/>
      <c r="X81" s="2144"/>
      <c r="Y81" s="2144"/>
      <c r="Z81" s="2144"/>
      <c r="AA81" s="2144"/>
      <c r="AB81" s="2144"/>
      <c r="AC81" s="2144"/>
    </row>
    <row r="82" spans="1:29" ht="15.75" thickTop="1">
      <c r="A82" s="666"/>
      <c r="B82" s="2596" t="s">
        <v>2561</v>
      </c>
      <c r="C82" s="2597" t="s">
        <v>2562</v>
      </c>
      <c r="D82" s="2597" t="s">
        <v>2563</v>
      </c>
      <c r="E82" s="2597" t="s">
        <v>2564</v>
      </c>
      <c r="F82" s="2597" t="s">
        <v>2565</v>
      </c>
      <c r="G82" s="2597" t="s">
        <v>2566</v>
      </c>
      <c r="H82" s="671"/>
      <c r="I82" s="671"/>
      <c r="J82" s="671"/>
      <c r="K82" s="671"/>
      <c r="L82" s="671"/>
      <c r="M82" s="2600"/>
      <c r="N82" s="2165"/>
      <c r="O82" s="2165"/>
      <c r="P82" s="2164"/>
      <c r="Q82" s="2157"/>
      <c r="R82" s="2144"/>
      <c r="S82" s="2144"/>
      <c r="T82" s="2144"/>
      <c r="U82" s="2144"/>
      <c r="V82" s="2144"/>
      <c r="W82" s="2144"/>
      <c r="X82" s="2144"/>
      <c r="Y82" s="2144"/>
      <c r="Z82" s="2144"/>
      <c r="AA82" s="2144"/>
      <c r="AB82" s="2144"/>
      <c r="AC82" s="2144"/>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5"/>
      <c r="O83" s="2165"/>
      <c r="P83" s="2164"/>
      <c r="Q83" s="2157"/>
      <c r="R83" s="2144"/>
      <c r="S83" s="2144"/>
      <c r="T83" s="2144"/>
      <c r="U83" s="2144"/>
      <c r="V83" s="2144"/>
      <c r="W83" s="2144"/>
      <c r="X83" s="2144"/>
      <c r="Y83" s="2144"/>
      <c r="Z83" s="2144"/>
      <c r="AA83" s="2144"/>
      <c r="AB83" s="2144"/>
      <c r="AC83" s="2144"/>
    </row>
    <row r="84" spans="1:29" ht="15.75" thickTop="1">
      <c r="A84" s="666"/>
      <c r="B84" s="670" t="s">
        <v>744</v>
      </c>
      <c r="C84" s="705" t="s">
        <v>579</v>
      </c>
      <c r="D84" s="705" t="s">
        <v>580</v>
      </c>
      <c r="E84" s="705" t="s">
        <v>581</v>
      </c>
      <c r="F84" s="705" t="s">
        <v>582</v>
      </c>
      <c r="G84" s="705" t="s">
        <v>583</v>
      </c>
      <c r="H84" s="671"/>
      <c r="I84" s="671"/>
      <c r="J84" s="671"/>
      <c r="K84" s="672"/>
      <c r="L84" s="673"/>
      <c r="M84" s="674"/>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6"/>
      <c r="B86" s="670" t="s">
        <v>771</v>
      </c>
      <c r="C86" s="685"/>
      <c r="D86" s="685"/>
      <c r="E86" s="685"/>
      <c r="F86" s="685"/>
      <c r="G86" s="685"/>
      <c r="H86" s="685"/>
      <c r="I86" s="685"/>
      <c r="J86" s="685"/>
      <c r="K86" s="685"/>
      <c r="L86" s="887"/>
      <c r="M86" s="888"/>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6"/>
      <c r="B88" s="670" t="str">
        <f>B26</f>
        <v>平面位置/可视性</v>
      </c>
      <c r="C88" s="685"/>
      <c r="D88" s="685"/>
      <c r="E88" s="685"/>
      <c r="F88" s="889"/>
      <c r="G88" s="685"/>
      <c r="H88" s="685"/>
      <c r="I88" s="685"/>
      <c r="J88" s="685"/>
      <c r="K88" s="685"/>
      <c r="L88" s="685"/>
      <c r="M88" s="888"/>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6"/>
      <c r="B89" s="675"/>
      <c r="C89" s="689"/>
      <c r="D89" s="668"/>
      <c r="E89" s="668"/>
      <c r="F89" s="668"/>
      <c r="G89" s="668"/>
      <c r="H89" s="668"/>
      <c r="I89" s="668"/>
      <c r="J89" s="668"/>
      <c r="K89" s="668"/>
      <c r="L89" s="668"/>
      <c r="M89" s="668"/>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4"/>
      <c r="B90" s="670" t="str">
        <f>B27</f>
        <v>人流量</v>
      </c>
      <c r="C90" s="685"/>
      <c r="D90" s="685"/>
      <c r="E90" s="685"/>
      <c r="F90" s="685"/>
      <c r="G90" s="685"/>
      <c r="H90" s="686"/>
      <c r="I90" s="686"/>
      <c r="J90" s="686"/>
      <c r="K90" s="686"/>
      <c r="L90" s="687"/>
      <c r="M90" s="688"/>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6"/>
      <c r="B92" s="670" t="str">
        <f>B28</f>
        <v>楼层</v>
      </c>
      <c r="C92" s="685"/>
      <c r="D92" s="685"/>
      <c r="E92" s="685"/>
      <c r="F92" s="685"/>
      <c r="G92" s="685"/>
      <c r="H92" s="685"/>
      <c r="I92" s="685"/>
      <c r="J92" s="685"/>
      <c r="K92" s="685"/>
      <c r="L92" s="887"/>
      <c r="M92" s="888"/>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68"/>
      <c r="D93" s="668"/>
      <c r="E93" s="668"/>
      <c r="F93" s="668"/>
      <c r="G93" s="668"/>
      <c r="H93" s="668"/>
      <c r="I93" s="668"/>
      <c r="J93" s="668"/>
      <c r="K93" s="668"/>
      <c r="L93" s="668"/>
      <c r="M93" s="669"/>
      <c r="N93" s="2165"/>
      <c r="O93" s="2165"/>
      <c r="P93" s="2164"/>
      <c r="Q93" s="2157"/>
      <c r="R93" s="2144"/>
      <c r="S93" s="2144"/>
      <c r="T93" s="2144"/>
      <c r="U93" s="2144"/>
      <c r="V93" s="2144"/>
      <c r="W93" s="2144"/>
      <c r="X93" s="2144"/>
      <c r="Y93" s="2144"/>
      <c r="Z93" s="2144"/>
      <c r="AA93" s="2144"/>
      <c r="AB93" s="2144"/>
      <c r="AC93" s="2144"/>
    </row>
    <row r="94" spans="1:29" ht="15.75" thickTop="1">
      <c r="A94" s="666"/>
      <c r="B94" s="670">
        <f>B29</f>
        <v>111</v>
      </c>
      <c r="C94" s="685"/>
      <c r="D94" s="685"/>
      <c r="E94" s="685"/>
      <c r="F94" s="685"/>
      <c r="G94" s="715"/>
      <c r="H94" s="715"/>
      <c r="I94" s="715"/>
      <c r="J94" s="715"/>
      <c r="K94" s="716"/>
      <c r="L94" s="717"/>
      <c r="M94" s="718"/>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89"/>
      <c r="D95" s="668"/>
      <c r="E95" s="668"/>
      <c r="F95" s="668"/>
      <c r="G95" s="668"/>
      <c r="H95" s="668"/>
      <c r="I95" s="668"/>
      <c r="J95" s="668"/>
      <c r="K95" s="668"/>
      <c r="L95" s="668"/>
      <c r="M95" s="669"/>
      <c r="N95" s="2165"/>
      <c r="O95" s="2165"/>
      <c r="P95" s="2164"/>
      <c r="Q95" s="2157"/>
      <c r="R95" s="2144"/>
      <c r="S95" s="2144"/>
      <c r="T95" s="2144"/>
      <c r="U95" s="2144"/>
      <c r="V95" s="2144"/>
      <c r="W95" s="2144"/>
      <c r="X95" s="2144"/>
      <c r="Y95" s="2144"/>
      <c r="Z95" s="2144"/>
      <c r="AA95" s="2144"/>
      <c r="AB95" s="2144"/>
      <c r="AC95" s="2144"/>
    </row>
    <row r="96" spans="1:29" ht="15.75" thickTop="1">
      <c r="A96" s="666"/>
      <c r="B96" s="670">
        <f>B30</f>
        <v>111</v>
      </c>
      <c r="C96" s="685"/>
      <c r="D96" s="685"/>
      <c r="E96" s="685"/>
      <c r="F96" s="685"/>
      <c r="G96" s="715"/>
      <c r="H96" s="715"/>
      <c r="I96" s="715"/>
      <c r="J96" s="715"/>
      <c r="K96" s="716"/>
      <c r="L96" s="717"/>
      <c r="M96" s="718"/>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89"/>
      <c r="D97" s="668"/>
      <c r="E97" s="668"/>
      <c r="F97" s="668"/>
      <c r="G97" s="668"/>
      <c r="H97" s="668"/>
      <c r="I97" s="668"/>
      <c r="J97" s="668"/>
      <c r="K97" s="668"/>
      <c r="L97" s="668"/>
      <c r="M97" s="669"/>
      <c r="N97" s="2165"/>
      <c r="O97" s="2165"/>
      <c r="P97" s="2164"/>
      <c r="Q97" s="2157"/>
      <c r="R97" s="2144"/>
      <c r="S97" s="2144"/>
      <c r="T97" s="2144"/>
      <c r="U97" s="2144"/>
      <c r="V97" s="2144"/>
      <c r="W97" s="2144"/>
      <c r="X97" s="2144"/>
      <c r="Y97" s="2144"/>
      <c r="Z97" s="2144"/>
      <c r="AA97" s="2144"/>
      <c r="AB97" s="2144"/>
      <c r="AC97" s="2144"/>
    </row>
    <row r="98" spans="1:29" ht="15.75" thickTop="1">
      <c r="A98" s="666"/>
      <c r="B98" s="678">
        <f>B31</f>
        <v>111</v>
      </c>
      <c r="C98" s="685"/>
      <c r="D98" s="685"/>
      <c r="E98" s="685"/>
      <c r="F98" s="685"/>
      <c r="G98" s="719"/>
      <c r="H98" s="719"/>
      <c r="I98" s="719"/>
      <c r="J98" s="719"/>
      <c r="K98" s="720"/>
      <c r="L98" s="721"/>
      <c r="M98" s="722"/>
      <c r="N98" s="2163"/>
      <c r="O98" s="2163"/>
      <c r="P98" s="2164"/>
      <c r="Q98" s="2157"/>
      <c r="R98" s="2144"/>
      <c r="S98" s="2144"/>
      <c r="T98" s="2144"/>
      <c r="U98" s="2144"/>
      <c r="V98" s="2144"/>
      <c r="W98" s="2144"/>
      <c r="X98" s="2144"/>
      <c r="Y98" s="2144"/>
      <c r="Z98" s="2144"/>
      <c r="AA98" s="2144"/>
      <c r="AB98" s="2144"/>
      <c r="AC98" s="2144"/>
    </row>
    <row r="99" spans="1:29" ht="15.75" thickBot="1">
      <c r="A99" s="890"/>
      <c r="B99" s="696"/>
      <c r="C99" s="697"/>
      <c r="D99" s="697"/>
      <c r="E99" s="697"/>
      <c r="F99" s="697"/>
      <c r="G99" s="723"/>
      <c r="H99" s="723"/>
      <c r="I99" s="723"/>
      <c r="J99" s="723"/>
      <c r="K99" s="723"/>
      <c r="L99" s="723"/>
      <c r="M99" s="724"/>
      <c r="N99" s="2165"/>
      <c r="O99" s="2165"/>
      <c r="P99" s="2164"/>
      <c r="Q99" s="2157"/>
      <c r="R99" s="2144"/>
      <c r="S99" s="2144"/>
      <c r="T99" s="2144"/>
      <c r="U99" s="2144"/>
      <c r="V99" s="2144"/>
      <c r="W99" s="2144"/>
      <c r="X99" s="2144"/>
      <c r="Y99" s="2144"/>
      <c r="Z99" s="2144"/>
      <c r="AA99" s="2144"/>
      <c r="AB99" s="2144"/>
      <c r="AC99" s="2144"/>
    </row>
    <row r="100" spans="1:29">
      <c r="A100" s="661" t="s">
        <v>551</v>
      </c>
      <c r="B100" s="662" t="s">
        <v>772</v>
      </c>
      <c r="C100" s="595"/>
      <c r="D100" s="595"/>
      <c r="E100" s="595"/>
      <c r="F100" s="595"/>
      <c r="G100" s="595"/>
      <c r="H100" s="595"/>
      <c r="I100" s="595"/>
      <c r="J100" s="595"/>
      <c r="K100" s="663"/>
      <c r="L100" s="664"/>
      <c r="M100" s="665"/>
      <c r="N100" s="2163"/>
      <c r="O100" s="2163"/>
      <c r="P100" s="2164"/>
      <c r="Q100" s="2157"/>
      <c r="R100" s="2144"/>
      <c r="S100" s="2144"/>
      <c r="T100" s="2144"/>
      <c r="U100" s="2144"/>
      <c r="V100" s="2144"/>
      <c r="W100" s="2144"/>
      <c r="X100" s="2144"/>
      <c r="Y100" s="2144"/>
      <c r="Z100" s="2144"/>
      <c r="AA100" s="2144"/>
      <c r="AB100" s="2144"/>
      <c r="AC100" s="2144"/>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5"/>
      <c r="B103" s="726"/>
      <c r="C103" s="727"/>
      <c r="D103" s="727"/>
      <c r="E103" s="727"/>
      <c r="F103" s="727"/>
      <c r="G103" s="727"/>
      <c r="H103" s="727"/>
      <c r="I103" s="727"/>
      <c r="J103" s="728"/>
      <c r="K103" s="728"/>
      <c r="L103" s="729"/>
      <c r="M103" s="730"/>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4"/>
      <c r="B104" s="675"/>
      <c r="C104" s="689"/>
      <c r="D104" s="668"/>
      <c r="E104" s="668"/>
      <c r="F104" s="668"/>
      <c r="G104" s="668"/>
      <c r="H104" s="668"/>
      <c r="I104" s="668"/>
      <c r="J104" s="668"/>
      <c r="K104" s="668"/>
      <c r="L104" s="668"/>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2"/>
      <c r="B105" s="670" t="s">
        <v>749</v>
      </c>
      <c r="C105" s="685"/>
      <c r="D105" s="685"/>
      <c r="E105" s="715"/>
      <c r="F105" s="71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2"/>
      <c r="B107" s="670" t="s">
        <v>751</v>
      </c>
      <c r="C107" s="685"/>
      <c r="D107" s="685"/>
      <c r="E107" s="685"/>
      <c r="F107" s="715"/>
      <c r="G107" s="715"/>
      <c r="H107" s="715"/>
      <c r="I107" s="715"/>
      <c r="J107" s="715"/>
      <c r="K107" s="716"/>
      <c r="L107" s="717"/>
      <c r="M107" s="718"/>
      <c r="N107" s="2163"/>
      <c r="O107" s="2163"/>
      <c r="P107" s="2164"/>
      <c r="Q107" s="2157"/>
      <c r="R107" s="2144"/>
      <c r="S107" s="2144"/>
      <c r="T107" s="2144"/>
      <c r="U107" s="2144"/>
      <c r="V107" s="2144"/>
      <c r="W107" s="2144"/>
      <c r="X107" s="2144"/>
      <c r="Y107" s="2144"/>
      <c r="Z107" s="2144"/>
      <c r="AA107" s="2144"/>
      <c r="AB107" s="2144"/>
      <c r="AC107" s="2144"/>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3"/>
      <c r="O109" s="2163"/>
      <c r="P109" s="2164"/>
      <c r="Q109" s="2157"/>
      <c r="R109" s="2144"/>
      <c r="S109" s="2144"/>
      <c r="T109" s="2144"/>
      <c r="U109" s="2144"/>
      <c r="V109" s="2144"/>
      <c r="W109" s="2144"/>
      <c r="X109" s="2144"/>
      <c r="Y109" s="2144"/>
      <c r="Z109" s="2144"/>
      <c r="AA109" s="2144"/>
      <c r="AB109" s="2144"/>
      <c r="AC109" s="2144"/>
    </row>
    <row r="110" spans="1:29">
      <c r="A110" s="732"/>
      <c r="B110" s="678"/>
      <c r="C110" s="891">
        <v>0.5</v>
      </c>
      <c r="D110" s="891">
        <v>0.6</v>
      </c>
      <c r="E110" s="891">
        <v>0.7</v>
      </c>
      <c r="F110" s="891">
        <v>0.8</v>
      </c>
      <c r="G110" s="891">
        <v>0.9</v>
      </c>
      <c r="H110" s="891">
        <v>1.0001</v>
      </c>
      <c r="I110" s="902"/>
      <c r="J110" s="902"/>
      <c r="K110" s="903"/>
      <c r="L110" s="904"/>
      <c r="M110" s="905"/>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5"/>
      <c r="O111" s="2165"/>
      <c r="P111" s="2164"/>
      <c r="Q111" s="2157"/>
      <c r="R111" s="2144"/>
      <c r="S111" s="2144"/>
      <c r="T111" s="2144"/>
      <c r="U111" s="2144"/>
      <c r="V111" s="2144"/>
      <c r="W111" s="2144"/>
      <c r="X111" s="2144"/>
      <c r="Y111" s="2144"/>
      <c r="Z111" s="2144"/>
      <c r="AA111" s="2144"/>
      <c r="AB111" s="2144"/>
      <c r="AC111" s="2144"/>
    </row>
    <row r="112" spans="1:29" s="1336" customFormat="1" ht="15" thickTop="1">
      <c r="A112" s="725"/>
      <c r="B112" s="1895" t="s">
        <v>2559</v>
      </c>
      <c r="C112" s="685"/>
      <c r="D112" s="685"/>
      <c r="E112" s="685"/>
      <c r="F112" s="685"/>
      <c r="G112" s="685"/>
      <c r="H112" s="715"/>
      <c r="I112" s="715"/>
      <c r="J112" s="715"/>
      <c r="K112" s="716"/>
      <c r="L112" s="717"/>
      <c r="M112" s="718"/>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2"/>
      <c r="B114" s="670" t="s">
        <v>773</v>
      </c>
      <c r="C114" s="685"/>
      <c r="D114" s="685"/>
      <c r="E114" s="715"/>
      <c r="F114" s="715"/>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2"/>
      <c r="B116" s="670" t="s">
        <v>774</v>
      </c>
      <c r="C116" s="685"/>
      <c r="D116" s="685"/>
      <c r="E116" s="685"/>
      <c r="F116" s="685"/>
      <c r="G116" s="68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t="s">
        <v>775</v>
      </c>
      <c r="C118" s="906"/>
      <c r="D118" s="906"/>
      <c r="E118" s="906"/>
      <c r="F118" s="906"/>
      <c r="G118" s="906"/>
      <c r="H118" s="686"/>
      <c r="I118" s="686"/>
      <c r="J118" s="686"/>
      <c r="K118" s="686"/>
      <c r="L118" s="687"/>
      <c r="M118" s="68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89"/>
      <c r="D119" s="668"/>
      <c r="E119" s="668"/>
      <c r="F119" s="668"/>
      <c r="G119" s="668"/>
      <c r="H119" s="668"/>
      <c r="I119" s="668"/>
      <c r="J119" s="668"/>
      <c r="K119" s="668"/>
      <c r="L119" s="668"/>
      <c r="M119" s="669"/>
      <c r="N119" s="2165"/>
      <c r="O119" s="2165"/>
      <c r="P119" s="2164"/>
      <c r="Q119" s="2157"/>
      <c r="R119" s="2144"/>
      <c r="S119" s="2144"/>
      <c r="T119" s="2144"/>
      <c r="U119" s="2144"/>
      <c r="V119" s="2144"/>
      <c r="W119" s="2144"/>
      <c r="X119" s="2144"/>
      <c r="Y119" s="2144"/>
      <c r="Z119" s="2144"/>
      <c r="AA119" s="2144"/>
      <c r="AB119" s="2144"/>
      <c r="AC119" s="2144"/>
    </row>
    <row r="120" spans="1:29" s="1336" customFormat="1" ht="15" thickTop="1">
      <c r="A120" s="725"/>
      <c r="B120" s="670" t="s">
        <v>776</v>
      </c>
      <c r="C120" s="715"/>
      <c r="D120" s="715"/>
      <c r="E120" s="715"/>
      <c r="F120" s="715"/>
      <c r="G120" s="686"/>
      <c r="H120" s="686"/>
      <c r="I120" s="686"/>
      <c r="J120" s="686"/>
      <c r="K120" s="686"/>
      <c r="L120" s="687"/>
      <c r="M120" s="688"/>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2"/>
      <c r="B122" s="670" t="s">
        <v>755</v>
      </c>
      <c r="C122" s="685"/>
      <c r="D122" s="685"/>
      <c r="E122" s="685"/>
      <c r="F122" s="715"/>
      <c r="G122" s="715"/>
      <c r="H122" s="715"/>
      <c r="I122" s="715"/>
      <c r="J122" s="715"/>
      <c r="K122" s="716"/>
      <c r="L122" s="717"/>
      <c r="M122" s="718"/>
      <c r="N122" s="2163"/>
      <c r="O122" s="2163"/>
      <c r="P122" s="2164"/>
      <c r="Q122" s="2157"/>
      <c r="R122" s="2144"/>
      <c r="S122" s="2144"/>
      <c r="T122" s="2144"/>
      <c r="U122" s="2144"/>
      <c r="V122" s="2144"/>
      <c r="W122" s="2144"/>
      <c r="X122" s="2144"/>
      <c r="Y122" s="2144"/>
      <c r="Z122" s="2144"/>
      <c r="AA122" s="2144"/>
      <c r="AB122" s="2144"/>
      <c r="AC122" s="2144"/>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3"/>
      <c r="O124" s="2163"/>
      <c r="P124" s="2167"/>
      <c r="Q124" s="2157"/>
      <c r="R124" s="2144"/>
      <c r="S124" s="2144"/>
      <c r="T124" s="2144"/>
      <c r="U124" s="2144"/>
      <c r="V124" s="2144"/>
      <c r="W124" s="2144"/>
      <c r="X124" s="2144"/>
      <c r="Y124" s="2144"/>
      <c r="Z124" s="2144"/>
      <c r="AA124" s="2144"/>
      <c r="AB124" s="2144"/>
      <c r="AC124" s="214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5"/>
      <c r="B126" s="670">
        <f>B44</f>
        <v>111</v>
      </c>
      <c r="C126" s="685"/>
      <c r="D126" s="685"/>
      <c r="E126" s="685"/>
      <c r="F126" s="685"/>
      <c r="G126" s="685"/>
      <c r="H126" s="686"/>
      <c r="I126" s="686"/>
      <c r="J126" s="686"/>
      <c r="K126" s="686"/>
      <c r="L126" s="687"/>
      <c r="M126" s="688"/>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4"/>
      <c r="B127" s="675"/>
      <c r="C127" s="689"/>
      <c r="D127" s="668"/>
      <c r="E127" s="668"/>
      <c r="F127" s="668"/>
      <c r="G127" s="689"/>
      <c r="H127" s="690"/>
      <c r="I127" s="690"/>
      <c r="J127" s="690"/>
      <c r="K127" s="690"/>
      <c r="L127" s="690"/>
      <c r="M127" s="691"/>
      <c r="N127" s="2166"/>
      <c r="O127" s="2166"/>
      <c r="P127" s="2167"/>
      <c r="Q127" s="2168"/>
      <c r="R127" s="2169"/>
      <c r="S127" s="2169"/>
      <c r="T127" s="2169"/>
      <c r="U127" s="2169"/>
      <c r="V127" s="2169"/>
      <c r="W127" s="2169"/>
      <c r="X127" s="2169"/>
      <c r="Y127" s="2169"/>
      <c r="Z127" s="2169"/>
      <c r="AA127" s="2169"/>
      <c r="AB127" s="2169"/>
      <c r="AC127" s="2169"/>
    </row>
    <row r="128" spans="1:29" ht="15" thickTop="1">
      <c r="A128" s="732"/>
      <c r="B128" s="670">
        <f>B45</f>
        <v>111</v>
      </c>
      <c r="C128" s="685"/>
      <c r="D128" s="685"/>
      <c r="E128" s="685"/>
      <c r="F128" s="685"/>
      <c r="G128" s="715"/>
      <c r="H128" s="715"/>
      <c r="I128" s="715"/>
      <c r="J128" s="715"/>
      <c r="K128" s="716"/>
      <c r="L128" s="717"/>
      <c r="M128" s="718"/>
      <c r="N128" s="2163"/>
      <c r="O128" s="2163"/>
      <c r="P128" s="2164"/>
      <c r="Q128" s="2157"/>
      <c r="R128" s="2144"/>
      <c r="S128" s="2144"/>
      <c r="T128" s="2144"/>
      <c r="U128" s="2144"/>
      <c r="V128" s="2144"/>
      <c r="W128" s="2144"/>
      <c r="X128" s="2144"/>
      <c r="Y128" s="2144"/>
      <c r="Z128" s="2144"/>
      <c r="AA128" s="2144"/>
      <c r="AB128" s="2144"/>
      <c r="AC128" s="2144"/>
    </row>
    <row r="129" spans="1:29" ht="15.75" thickBot="1">
      <c r="A129" s="666"/>
      <c r="B129" s="675"/>
      <c r="C129" s="689"/>
      <c r="D129" s="668"/>
      <c r="E129" s="668"/>
      <c r="F129" s="668"/>
      <c r="G129" s="668"/>
      <c r="H129" s="668"/>
      <c r="I129" s="668"/>
      <c r="J129" s="668"/>
      <c r="K129" s="668"/>
      <c r="L129" s="668"/>
      <c r="M129" s="669"/>
      <c r="N129" s="2165"/>
      <c r="O129" s="2165"/>
      <c r="P129" s="2164"/>
      <c r="Q129" s="2157"/>
      <c r="R129" s="2144"/>
      <c r="S129" s="2144"/>
      <c r="T129" s="2144"/>
      <c r="U129" s="2144"/>
      <c r="V129" s="2144"/>
      <c r="W129" s="2144"/>
      <c r="X129" s="2144"/>
      <c r="Y129" s="2144"/>
      <c r="Z129" s="2144"/>
      <c r="AA129" s="2144"/>
      <c r="AB129" s="2144"/>
      <c r="AC129" s="2144"/>
    </row>
    <row r="130" spans="1:29" ht="15" thickTop="1">
      <c r="A130" s="732"/>
      <c r="B130" s="678">
        <f>B46</f>
        <v>111</v>
      </c>
      <c r="C130" s="685"/>
      <c r="D130" s="685"/>
      <c r="E130" s="685"/>
      <c r="F130" s="685"/>
      <c r="G130" s="719"/>
      <c r="H130" s="719"/>
      <c r="I130" s="719"/>
      <c r="J130" s="719"/>
      <c r="K130" s="658"/>
      <c r="L130" s="659"/>
      <c r="M130" s="722"/>
      <c r="N130" s="2163"/>
      <c r="O130" s="2163"/>
      <c r="P130" s="2164"/>
      <c r="Q130" s="2157"/>
      <c r="R130" s="2144"/>
      <c r="S130" s="2144"/>
      <c r="T130" s="2144"/>
      <c r="U130" s="2144"/>
      <c r="V130" s="2144"/>
      <c r="W130" s="2144"/>
      <c r="X130" s="2144"/>
      <c r="Y130" s="2144"/>
      <c r="Z130" s="2144"/>
      <c r="AA130" s="2144"/>
      <c r="AB130" s="2144"/>
      <c r="AC130" s="2144"/>
    </row>
    <row r="131" spans="1:29" ht="15.75" thickBot="1">
      <c r="A131" s="890"/>
      <c r="B131" s="696"/>
      <c r="C131" s="697"/>
      <c r="D131" s="697"/>
      <c r="E131" s="697"/>
      <c r="F131" s="697"/>
      <c r="G131" s="723"/>
      <c r="H131" s="723"/>
      <c r="I131" s="723"/>
      <c r="J131" s="723"/>
      <c r="K131" s="723"/>
      <c r="L131" s="723"/>
      <c r="M131" s="724"/>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20"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04"/>
      <c r="G1" s="1599" t="s">
        <v>721</v>
      </c>
      <c r="H1" s="503"/>
      <c r="I1" s="503"/>
      <c r="J1" s="503"/>
      <c r="K1" s="504"/>
      <c r="L1" s="1560"/>
      <c r="M1" s="1561"/>
      <c r="N1" s="1561"/>
      <c r="O1" s="1561"/>
      <c r="P1" s="2206"/>
      <c r="Q1" s="1562"/>
      <c r="R1" s="1562"/>
      <c r="S1" s="1562"/>
      <c r="T1" s="1562"/>
      <c r="U1" s="1562"/>
      <c r="V1" s="1562"/>
      <c r="W1" s="1562"/>
      <c r="X1" s="1562"/>
      <c r="Y1" s="1562"/>
      <c r="Z1" s="1562"/>
      <c r="AA1" s="1562"/>
      <c r="AB1" s="1562"/>
      <c r="AC1" s="1563"/>
    </row>
    <row r="2" spans="1:29" s="1333" customFormat="1" ht="28.5" customHeight="1">
      <c r="A2" s="420" t="s">
        <v>467</v>
      </c>
      <c r="B2" s="847"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3" customFormat="1" ht="28.5" customHeight="1" thickBot="1">
      <c r="A3" s="506" t="s">
        <v>519</v>
      </c>
      <c r="B3" s="507" t="e">
        <f>C50</f>
        <v>#DIV/0!</v>
      </c>
      <c r="C3" s="849" t="s">
        <v>722</v>
      </c>
      <c r="D3" s="848">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09" t="s">
        <v>521</v>
      </c>
      <c r="B4" s="510"/>
      <c r="C4" s="3468" t="s">
        <v>522</v>
      </c>
      <c r="D4" s="3469"/>
      <c r="E4" s="3502" t="s">
        <v>523</v>
      </c>
      <c r="F4" s="3503"/>
      <c r="G4" s="3468" t="s">
        <v>524</v>
      </c>
      <c r="H4" s="3469"/>
      <c r="I4" s="3468" t="s">
        <v>525</v>
      </c>
      <c r="J4" s="3469"/>
      <c r="K4" s="511" t="s">
        <v>526</v>
      </c>
      <c r="L4" s="2132"/>
      <c r="M4" s="2133"/>
      <c r="N4" s="2133"/>
      <c r="O4" s="2133"/>
      <c r="P4" s="3553" t="s">
        <v>527</v>
      </c>
      <c r="Q4" s="3471"/>
      <c r="R4" s="3476" t="s">
        <v>523</v>
      </c>
      <c r="S4" s="3477"/>
      <c r="T4" s="3476" t="s">
        <v>524</v>
      </c>
      <c r="U4" s="3477"/>
      <c r="V4" s="3463" t="s">
        <v>525</v>
      </c>
      <c r="W4" s="3463"/>
      <c r="X4" s="1565"/>
      <c r="Y4" s="3476" t="s">
        <v>527</v>
      </c>
      <c r="Z4" s="3477"/>
      <c r="AA4" s="3465" t="s">
        <v>523</v>
      </c>
      <c r="AB4" s="3465" t="s">
        <v>524</v>
      </c>
      <c r="AC4" s="3465" t="s">
        <v>525</v>
      </c>
    </row>
    <row r="5" spans="1:29" ht="15">
      <c r="A5" s="512"/>
      <c r="B5" s="513"/>
      <c r="C5" s="3484" t="s">
        <v>2933</v>
      </c>
      <c r="D5" s="3485"/>
      <c r="E5" s="3504" t="s">
        <v>2934</v>
      </c>
      <c r="F5" s="3505"/>
      <c r="G5" s="3484" t="s">
        <v>2935</v>
      </c>
      <c r="H5" s="3485"/>
      <c r="I5" s="3484" t="s">
        <v>2936</v>
      </c>
      <c r="J5" s="3485"/>
      <c r="K5" s="511"/>
      <c r="L5" s="2132"/>
      <c r="M5" s="2133"/>
      <c r="N5" s="2133"/>
      <c r="O5" s="2133"/>
      <c r="P5" s="3554"/>
      <c r="Q5" s="3473"/>
      <c r="R5" s="3478"/>
      <c r="S5" s="3479"/>
      <c r="T5" s="3478"/>
      <c r="U5" s="3479"/>
      <c r="V5" s="3463"/>
      <c r="W5" s="3463"/>
      <c r="X5" s="1565"/>
      <c r="Y5" s="3478"/>
      <c r="Z5" s="3479"/>
      <c r="AA5" s="3466"/>
      <c r="AB5" s="3466"/>
      <c r="AC5" s="3466"/>
    </row>
    <row r="6" spans="1:29" ht="15.75" thickBot="1">
      <c r="A6" s="514"/>
      <c r="B6" s="515"/>
      <c r="C6" s="3482" t="s">
        <v>2937</v>
      </c>
      <c r="D6" s="3483"/>
      <c r="E6" s="3500" t="s">
        <v>2937</v>
      </c>
      <c r="F6" s="3501"/>
      <c r="G6" s="3482" t="s">
        <v>2937</v>
      </c>
      <c r="H6" s="3483"/>
      <c r="I6" s="3482" t="s">
        <v>2937</v>
      </c>
      <c r="J6" s="3483"/>
      <c r="K6" s="511" t="s">
        <v>528</v>
      </c>
      <c r="L6" s="2132"/>
      <c r="M6" s="2133"/>
      <c r="N6" s="2133"/>
      <c r="O6" s="2133"/>
      <c r="P6" s="3555"/>
      <c r="Q6" s="3475"/>
      <c r="R6" s="3478"/>
      <c r="S6" s="3479"/>
      <c r="T6" s="3480"/>
      <c r="U6" s="3481"/>
      <c r="V6" s="3463"/>
      <c r="W6" s="3463"/>
      <c r="X6" s="1565"/>
      <c r="Y6" s="3480"/>
      <c r="Z6" s="3481"/>
      <c r="AA6" s="3467"/>
      <c r="AB6" s="3467"/>
      <c r="AC6" s="3467"/>
    </row>
    <row r="7" spans="1:29" s="1217" customFormat="1" ht="15.75" thickBot="1">
      <c r="A7" s="2909"/>
      <c r="B7" s="2916" t="s">
        <v>529</v>
      </c>
      <c r="C7" s="516">
        <f>'数据-取费表'!B2</f>
        <v>43650</v>
      </c>
      <c r="D7" s="517">
        <v>100</v>
      </c>
      <c r="E7" s="518"/>
      <c r="F7" s="519">
        <f>SUMIF(59:59,YEAR(E7)&amp;"-"&amp;MONTH(E7),60:60)</f>
        <v>0</v>
      </c>
      <c r="G7" s="518"/>
      <c r="H7" s="517">
        <f>SUMIF(59:59,YEAR(G7)&amp;"-"&amp;MONTH(G7),60:60)</f>
        <v>0</v>
      </c>
      <c r="I7" s="518"/>
      <c r="J7" s="517">
        <f>SUMIF(59:59,YEAR(I7)&amp;"-"&amp;MONTH(I7),60:60)</f>
        <v>0</v>
      </c>
      <c r="K7" s="521"/>
      <c r="L7" s="2134"/>
      <c r="M7" s="2135"/>
      <c r="N7" s="2135"/>
      <c r="O7" s="2135"/>
      <c r="P7" s="3495" t="s">
        <v>530</v>
      </c>
      <c r="Q7" s="3495"/>
      <c r="R7" s="1566" t="s">
        <v>8</v>
      </c>
      <c r="S7" s="1567">
        <f t="shared" ref="S7:S15" si="0">F7</f>
        <v>0</v>
      </c>
      <c r="T7" s="1566" t="s">
        <v>8</v>
      </c>
      <c r="U7" s="1567">
        <f t="shared" ref="U7:U15" si="1">H7</f>
        <v>0</v>
      </c>
      <c r="V7" s="1566" t="s">
        <v>8</v>
      </c>
      <c r="W7" s="1567">
        <f t="shared" ref="W7:W15"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522"/>
      <c r="F8" s="519">
        <f>SUMIF(62:62,E8,63:63)-SUMIF(62:62,C8,63:63)+100</f>
        <v>0</v>
      </c>
      <c r="G8" s="522"/>
      <c r="H8" s="517">
        <f>SUMIF(62:62,G8,63:63)-SUMIF(62:62,C8,63:63)+100</f>
        <v>0</v>
      </c>
      <c r="I8" s="522"/>
      <c r="J8" s="517">
        <f>SUMIF(62:62,I8,63:63)-SUMIF(62:62,C8,63:63)+100</f>
        <v>0</v>
      </c>
      <c r="K8" s="521"/>
      <c r="L8" s="2134"/>
      <c r="M8" s="2135"/>
      <c r="N8" s="2135"/>
      <c r="O8" s="2135"/>
      <c r="P8" s="3495" t="s">
        <v>533</v>
      </c>
      <c r="Q8" s="3494"/>
      <c r="R8" s="1566" t="s">
        <v>8</v>
      </c>
      <c r="S8" s="1567">
        <f t="shared" si="0"/>
        <v>0</v>
      </c>
      <c r="T8" s="1566" t="s">
        <v>8</v>
      </c>
      <c r="U8" s="1567">
        <f t="shared" si="1"/>
        <v>0</v>
      </c>
      <c r="V8" s="1566" t="s">
        <v>8</v>
      </c>
      <c r="W8" s="1567">
        <f t="shared" si="2"/>
        <v>0</v>
      </c>
      <c r="X8" s="1568"/>
      <c r="Y8" s="3493" t="s">
        <v>533</v>
      </c>
      <c r="Z8" s="3494"/>
      <c r="AA8" s="1569" t="e">
        <f t="shared" ref="AA8:AA47" si="3">D8/F8</f>
        <v>#DIV/0!</v>
      </c>
      <c r="AB8" s="1569" t="e">
        <f t="shared" ref="AB8:AB47" si="4">D8/H8</f>
        <v>#DIV/0!</v>
      </c>
      <c r="AC8" s="1569" t="e">
        <f t="shared" ref="AC8:AC47" si="5">D8/J8</f>
        <v>#DIV/0!</v>
      </c>
    </row>
    <row r="9" spans="1:29" s="1217" customFormat="1" ht="15">
      <c r="A9" s="2911"/>
      <c r="B9" s="2918" t="s">
        <v>2759</v>
      </c>
      <c r="C9" s="854"/>
      <c r="D9" s="254">
        <v>100</v>
      </c>
      <c r="E9" s="857"/>
      <c r="F9" s="254">
        <f>SUMIF(64:64,E9,65:65)-SUMIF(64:64,C9,65:65)+100</f>
        <v>100</v>
      </c>
      <c r="G9" s="855"/>
      <c r="H9" s="254">
        <f>SUMIF(64:64,G9,65:65)-SUMIF(64:64,C9,65:65)+100</f>
        <v>100</v>
      </c>
      <c r="I9" s="855"/>
      <c r="J9" s="254">
        <f>SUMIF(64:64,I9,65:65)-SUMIF(64:64,C9,65:65)+100</f>
        <v>100</v>
      </c>
      <c r="K9" s="521"/>
      <c r="L9" s="2134"/>
      <c r="M9" s="2135"/>
      <c r="N9" s="2135"/>
      <c r="O9" s="2135"/>
      <c r="P9" s="3462" t="s">
        <v>535</v>
      </c>
      <c r="Q9" s="1148" t="str">
        <f t="shared" ref="Q9:Q15" si="6">B9</f>
        <v>用途</v>
      </c>
      <c r="R9" s="1566" t="s">
        <v>8</v>
      </c>
      <c r="S9" s="1567">
        <f t="shared" si="0"/>
        <v>100</v>
      </c>
      <c r="T9" s="1566" t="s">
        <v>8</v>
      </c>
      <c r="U9" s="1567">
        <f t="shared" si="1"/>
        <v>100</v>
      </c>
      <c r="V9" s="1566" t="s">
        <v>8</v>
      </c>
      <c r="W9" s="1567">
        <f t="shared" si="2"/>
        <v>100</v>
      </c>
      <c r="X9" s="1568"/>
      <c r="Y9" s="3383"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SUMIF(66:66,E10,67:67)-SUMIF(66:66,C10,67:67)+100</f>
        <v>100</v>
      </c>
      <c r="G10" s="859"/>
      <c r="H10" s="255">
        <f>SUMIF(66:66,G10,67:67)-SUMIF(66:66,C10,67:67)+100</f>
        <v>100</v>
      </c>
      <c r="I10" s="858"/>
      <c r="J10" s="255">
        <f>SUMIF(66:66,I10,67:67)-SUMIF(66:66,C10,67:67)+100</f>
        <v>100</v>
      </c>
      <c r="K10" s="581"/>
      <c r="L10" s="2137"/>
      <c r="M10" s="2177"/>
      <c r="N10" s="2177"/>
      <c r="O10" s="2177"/>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LOOKUP(E11,69:69,70:70)-LOOKUP(C11,69:69,70:70)+100</f>
        <v>#N/A</v>
      </c>
      <c r="G11" s="531"/>
      <c r="H11" s="255" t="e">
        <f>LOOKUP(G11,69:69,70:70)-LOOKUP(C11,69:69,70:70)+100</f>
        <v>#N/A</v>
      </c>
      <c r="I11" s="530"/>
      <c r="J11" s="255" t="e">
        <f>LOOKUP(I11,69:69,70:70)-LOOKUP(C11,69:69,70:70)+100</f>
        <v>#N/A</v>
      </c>
      <c r="K11" s="581"/>
      <c r="L11" s="2139"/>
      <c r="M11" s="2133"/>
      <c r="N11" s="2133"/>
      <c r="O11" s="2133"/>
      <c r="P11" s="3462"/>
      <c r="Q11" s="1148" t="str">
        <f t="shared" si="6"/>
        <v>容积率</v>
      </c>
      <c r="R11" s="1566" t="s">
        <v>8</v>
      </c>
      <c r="S11" s="1567" t="e">
        <f t="shared" si="0"/>
        <v>#N/A</v>
      </c>
      <c r="T11" s="1566" t="s">
        <v>8</v>
      </c>
      <c r="U11" s="1567" t="e">
        <f t="shared" si="1"/>
        <v>#N/A</v>
      </c>
      <c r="V11" s="1566" t="s">
        <v>8</v>
      </c>
      <c r="W11" s="1567" t="e">
        <f t="shared" si="2"/>
        <v>#N/A</v>
      </c>
      <c r="X11" s="1568"/>
      <c r="Y11" s="3383"/>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25"/>
      <c r="F12" s="255">
        <f>SUMIF(71:71,E12,72:72)-SUMIF(71:71,C12,72:72)+100</f>
        <v>100</v>
      </c>
      <c r="G12" s="907"/>
      <c r="H12" s="255">
        <f>SUMIF(71:71,G12,72:72)-SUMIF(71:71,C12,72:72)+100</f>
        <v>100</v>
      </c>
      <c r="I12" s="525"/>
      <c r="J12" s="255">
        <f>SUMIF(71:71,I12,72:72)-SUMIF(71:71,C12,72:72)+100</f>
        <v>100</v>
      </c>
      <c r="K12" s="578"/>
      <c r="L12" s="2134"/>
      <c r="M12" s="2135"/>
      <c r="N12" s="2135"/>
      <c r="O12" s="2135"/>
      <c r="P12" s="3462"/>
      <c r="Q12" s="1148">
        <f t="shared" si="6"/>
        <v>111</v>
      </c>
      <c r="R12" s="1566" t="s">
        <v>8</v>
      </c>
      <c r="S12" s="1567">
        <f t="shared" si="0"/>
        <v>100</v>
      </c>
      <c r="T12" s="1566" t="s">
        <v>8</v>
      </c>
      <c r="U12" s="1567">
        <f t="shared" si="1"/>
        <v>100</v>
      </c>
      <c r="V12" s="1566" t="s">
        <v>8</v>
      </c>
      <c r="W12" s="1567">
        <f t="shared" si="2"/>
        <v>100</v>
      </c>
      <c r="X12" s="1568"/>
      <c r="Y12" s="3383"/>
      <c r="Z12" s="1147">
        <f t="shared" si="7"/>
        <v>111</v>
      </c>
      <c r="AA12" s="1569">
        <f>D12/F12</f>
        <v>1</v>
      </c>
      <c r="AB12" s="1569">
        <f>D12/H12</f>
        <v>1</v>
      </c>
      <c r="AC12" s="1569">
        <f>D12/J12</f>
        <v>1</v>
      </c>
    </row>
    <row r="13" spans="1:29" ht="15">
      <c r="A13" s="2914"/>
      <c r="B13" s="2920">
        <v>111</v>
      </c>
      <c r="C13" s="536"/>
      <c r="D13" s="537">
        <v>100</v>
      </c>
      <c r="E13" s="525"/>
      <c r="F13" s="255">
        <f>SUMIF(73:73,E13,74:74)-SUMIF(73:73,C13,74:74)+100</f>
        <v>100</v>
      </c>
      <c r="G13" s="907"/>
      <c r="H13" s="537">
        <f>SUMIF(73:73,G13,74:74)-SUMIF(73:73,C13,74:74)+100</f>
        <v>100</v>
      </c>
      <c r="I13" s="525"/>
      <c r="J13" s="537">
        <f>SUMIF(73:73,I13,74:74)-SUMIF(73:73,C13,74:74)+100</f>
        <v>100</v>
      </c>
      <c r="K13" s="578"/>
      <c r="L13" s="2141"/>
      <c r="M13" s="2133"/>
      <c r="N13" s="2133"/>
      <c r="O13" s="2133"/>
      <c r="P13" s="3462"/>
      <c r="Q13" s="1148">
        <f t="shared" si="6"/>
        <v>111</v>
      </c>
      <c r="R13" s="1566" t="s">
        <v>8</v>
      </c>
      <c r="S13" s="1567">
        <f t="shared" si="0"/>
        <v>100</v>
      </c>
      <c r="T13" s="1566" t="s">
        <v>8</v>
      </c>
      <c r="U13" s="1567">
        <f t="shared" si="1"/>
        <v>100</v>
      </c>
      <c r="V13" s="1566" t="s">
        <v>8</v>
      </c>
      <c r="W13" s="1567">
        <f t="shared" si="2"/>
        <v>100</v>
      </c>
      <c r="X13" s="1568"/>
      <c r="Y13" s="3383"/>
      <c r="Z13" s="1147">
        <f t="shared" si="7"/>
        <v>111</v>
      </c>
      <c r="AA13" s="1569">
        <f t="shared" si="3"/>
        <v>1</v>
      </c>
      <c r="AB13" s="1569">
        <f t="shared" si="4"/>
        <v>1</v>
      </c>
      <c r="AC13" s="1569">
        <f t="shared" si="5"/>
        <v>1</v>
      </c>
    </row>
    <row r="14" spans="1:29" ht="15.75" thickBot="1">
      <c r="A14" s="2915"/>
      <c r="B14" s="2921">
        <v>111</v>
      </c>
      <c r="C14" s="542"/>
      <c r="D14" s="543">
        <v>100</v>
      </c>
      <c r="E14" s="908"/>
      <c r="F14" s="543">
        <f>SUMIF(75:75,E14,76:76)-SUMIF(75:75,C14,76:76)+100</f>
        <v>100</v>
      </c>
      <c r="G14" s="907"/>
      <c r="H14" s="543">
        <f>SUMIF(75:75,G14,76:76)-SUMIF(75:75,C14,76:76)+100</f>
        <v>100</v>
      </c>
      <c r="I14" s="525"/>
      <c r="J14" s="543">
        <f>SUMIF(75:75,I14,76:76)-SUMIF(75:75,C14,76:76)+100</f>
        <v>100</v>
      </c>
      <c r="K14" s="578"/>
      <c r="L14" s="2141"/>
      <c r="M14" s="2133"/>
      <c r="N14" s="2133"/>
      <c r="O14" s="2133"/>
      <c r="P14" s="3462"/>
      <c r="Q14" s="1148">
        <f t="shared" si="6"/>
        <v>111</v>
      </c>
      <c r="R14" s="1566" t="s">
        <v>8</v>
      </c>
      <c r="S14" s="1567">
        <f t="shared" si="0"/>
        <v>100</v>
      </c>
      <c r="T14" s="1566" t="s">
        <v>8</v>
      </c>
      <c r="U14" s="1567">
        <f t="shared" si="1"/>
        <v>100</v>
      </c>
      <c r="V14" s="1566" t="s">
        <v>8</v>
      </c>
      <c r="W14" s="1567">
        <f t="shared" si="2"/>
        <v>100</v>
      </c>
      <c r="X14" s="1568"/>
      <c r="Y14" s="3383"/>
      <c r="Z14" s="1147">
        <f t="shared" si="7"/>
        <v>111</v>
      </c>
      <c r="AA14" s="1569">
        <f t="shared" si="3"/>
        <v>1</v>
      </c>
      <c r="AB14" s="1569">
        <f t="shared" si="4"/>
        <v>1</v>
      </c>
      <c r="AC14" s="1569">
        <f t="shared" si="5"/>
        <v>1</v>
      </c>
    </row>
    <row r="15" spans="1:29" ht="71.25">
      <c r="A15" s="2907" t="s">
        <v>2757</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41"/>
      <c r="M15" s="2133"/>
      <c r="N15" s="2133"/>
      <c r="O15" s="2133"/>
      <c r="P15" s="3496" t="s">
        <v>540</v>
      </c>
      <c r="Q15" s="1570" t="str">
        <f t="shared" si="6"/>
        <v>办公集聚程度</v>
      </c>
      <c r="R15" s="1571" t="s">
        <v>8</v>
      </c>
      <c r="S15" s="1572">
        <f t="shared" si="0"/>
        <v>100</v>
      </c>
      <c r="T15" s="1571" t="s">
        <v>8</v>
      </c>
      <c r="U15" s="1572">
        <f t="shared" si="1"/>
        <v>100</v>
      </c>
      <c r="V15" s="1571" t="s">
        <v>8</v>
      </c>
      <c r="W15" s="1572">
        <f t="shared" si="2"/>
        <v>100</v>
      </c>
      <c r="X15" s="1565"/>
      <c r="Y15" s="3496" t="s">
        <v>540</v>
      </c>
      <c r="Z15" s="1573" t="str">
        <f t="shared" si="7"/>
        <v>办公集聚程度</v>
      </c>
      <c r="AA15" s="1574">
        <f t="shared" si="3"/>
        <v>1</v>
      </c>
      <c r="AB15" s="1574">
        <f t="shared" si="4"/>
        <v>1</v>
      </c>
      <c r="AC15" s="1574">
        <f t="shared" si="5"/>
        <v>1</v>
      </c>
    </row>
    <row r="16" spans="1:29" ht="15">
      <c r="A16" s="529"/>
      <c r="B16" s="550"/>
      <c r="C16" s="551"/>
      <c r="D16" s="552"/>
      <c r="E16" s="573"/>
      <c r="F16" s="552"/>
      <c r="G16" s="551"/>
      <c r="H16" s="556"/>
      <c r="I16" s="573"/>
      <c r="J16" s="552"/>
      <c r="K16" s="896"/>
      <c r="L16" s="2141"/>
      <c r="M16" s="2133"/>
      <c r="N16" s="2133"/>
      <c r="O16" s="2133"/>
      <c r="P16" s="3497"/>
      <c r="Q16" s="1570"/>
      <c r="R16" s="1571"/>
      <c r="S16" s="1572"/>
      <c r="T16" s="1571"/>
      <c r="U16" s="1572"/>
      <c r="V16" s="1571"/>
      <c r="W16" s="1572"/>
      <c r="X16" s="1565"/>
      <c r="Y16" s="3497"/>
      <c r="Z16" s="1573"/>
      <c r="AA16" s="1574">
        <v>1</v>
      </c>
      <c r="AB16" s="1574">
        <v>1</v>
      </c>
      <c r="AC16" s="1574">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41"/>
      <c r="M17" s="2133"/>
      <c r="N17" s="2133"/>
      <c r="O17" s="2133"/>
      <c r="P17" s="3497"/>
      <c r="Q17" s="1570" t="str">
        <f>B17</f>
        <v>交通便捷度</v>
      </c>
      <c r="R17" s="1571" t="s">
        <v>8</v>
      </c>
      <c r="S17" s="1572">
        <f>F17</f>
        <v>100</v>
      </c>
      <c r="T17" s="1571" t="s">
        <v>8</v>
      </c>
      <c r="U17" s="1572">
        <f>H17</f>
        <v>100</v>
      </c>
      <c r="V17" s="1571" t="s">
        <v>8</v>
      </c>
      <c r="W17" s="1572">
        <f>J17</f>
        <v>100</v>
      </c>
      <c r="X17" s="1565"/>
      <c r="Y17" s="3497"/>
      <c r="Z17" s="1573" t="str">
        <f>Q17</f>
        <v>交通便捷度</v>
      </c>
      <c r="AA17" s="1574">
        <f t="shared" si="3"/>
        <v>1</v>
      </c>
      <c r="AB17" s="1574">
        <f t="shared" si="4"/>
        <v>1</v>
      </c>
      <c r="AC17" s="1574">
        <f t="shared" si="5"/>
        <v>1</v>
      </c>
    </row>
    <row r="18" spans="1:29" ht="15">
      <c r="A18" s="529"/>
      <c r="B18" s="563"/>
      <c r="C18" s="564"/>
      <c r="D18" s="556"/>
      <c r="E18" s="566"/>
      <c r="F18" s="556"/>
      <c r="G18" s="565"/>
      <c r="H18" s="552"/>
      <c r="I18" s="565"/>
      <c r="J18" s="552"/>
      <c r="K18" s="896"/>
      <c r="L18" s="2141"/>
      <c r="M18" s="2133"/>
      <c r="N18" s="2133"/>
      <c r="O18" s="2133"/>
      <c r="P18" s="3497"/>
      <c r="Q18" s="1570"/>
      <c r="R18" s="1571"/>
      <c r="S18" s="1572"/>
      <c r="T18" s="1571"/>
      <c r="U18" s="1572"/>
      <c r="V18" s="1571"/>
      <c r="W18" s="1572"/>
      <c r="X18" s="1565"/>
      <c r="Y18" s="3497"/>
      <c r="Z18" s="1573"/>
      <c r="AA18" s="1574">
        <v>1</v>
      </c>
      <c r="AB18" s="1574">
        <v>1</v>
      </c>
      <c r="AC18" s="1574">
        <v>1</v>
      </c>
    </row>
    <row r="19" spans="1:29" ht="42.75">
      <c r="A19" s="529"/>
      <c r="B19" s="2602" t="s">
        <v>2549</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41"/>
      <c r="M19" s="2133"/>
      <c r="N19" s="2133"/>
      <c r="O19" s="2133"/>
      <c r="P19" s="3497"/>
      <c r="Q19" s="1570" t="str">
        <f>B19</f>
        <v>公共配套设施</v>
      </c>
      <c r="R19" s="1571" t="s">
        <v>8</v>
      </c>
      <c r="S19" s="1572">
        <f>F19</f>
        <v>100</v>
      </c>
      <c r="T19" s="1571" t="s">
        <v>8</v>
      </c>
      <c r="U19" s="1572">
        <f>H19</f>
        <v>100</v>
      </c>
      <c r="V19" s="1571" t="s">
        <v>8</v>
      </c>
      <c r="W19" s="1572">
        <f>J19</f>
        <v>100</v>
      </c>
      <c r="X19" s="1565"/>
      <c r="Y19" s="3497"/>
      <c r="Z19" s="1573" t="str">
        <f>Q19</f>
        <v>公共配套设施</v>
      </c>
      <c r="AA19" s="1574">
        <f t="shared" si="3"/>
        <v>1</v>
      </c>
      <c r="AB19" s="1574">
        <f t="shared" si="4"/>
        <v>1</v>
      </c>
      <c r="AC19" s="1574">
        <f t="shared" si="5"/>
        <v>1</v>
      </c>
    </row>
    <row r="20" spans="1:29" ht="15">
      <c r="A20" s="529"/>
      <c r="B20" s="563"/>
      <c r="C20" s="551"/>
      <c r="D20" s="552"/>
      <c r="E20" s="555"/>
      <c r="F20" s="552"/>
      <c r="G20" s="553"/>
      <c r="H20" s="552"/>
      <c r="I20" s="553"/>
      <c r="J20" s="552"/>
      <c r="K20" s="896"/>
      <c r="L20" s="2141"/>
      <c r="M20" s="2133"/>
      <c r="N20" s="2133"/>
      <c r="O20" s="2133"/>
      <c r="P20" s="3497"/>
      <c r="Q20" s="1570"/>
      <c r="R20" s="1571"/>
      <c r="S20" s="1572"/>
      <c r="T20" s="1571"/>
      <c r="U20" s="1572"/>
      <c r="V20" s="1571"/>
      <c r="W20" s="1572"/>
      <c r="X20" s="1565"/>
      <c r="Y20" s="3497"/>
      <c r="Z20" s="1573"/>
      <c r="AA20" s="1574">
        <v>1</v>
      </c>
      <c r="AB20" s="1574">
        <v>1</v>
      </c>
      <c r="AC20" s="1574">
        <v>1</v>
      </c>
    </row>
    <row r="21" spans="1:29" ht="28.5">
      <c r="A21" s="529"/>
      <c r="B21" s="2590" t="s">
        <v>2561</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41"/>
      <c r="M21" s="2133"/>
      <c r="N21" s="2133"/>
      <c r="O21" s="2133"/>
      <c r="P21" s="3497"/>
      <c r="Q21" s="2578" t="str">
        <f>B21</f>
        <v>基础设施水平</v>
      </c>
      <c r="R21" s="1571" t="s">
        <v>8</v>
      </c>
      <c r="S21" s="1572">
        <f>F21</f>
        <v>100</v>
      </c>
      <c r="T21" s="1571" t="s">
        <v>8</v>
      </c>
      <c r="U21" s="1572">
        <f>H21</f>
        <v>100</v>
      </c>
      <c r="V21" s="1571" t="s">
        <v>8</v>
      </c>
      <c r="W21" s="1572">
        <f>J21</f>
        <v>100</v>
      </c>
      <c r="X21" s="2580"/>
      <c r="Y21" s="3497"/>
      <c r="Z21" s="2579" t="str">
        <f>Q21</f>
        <v>基础设施水平</v>
      </c>
      <c r="AA21" s="1574">
        <f t="shared" ref="AA21" si="8">D21/F21</f>
        <v>1</v>
      </c>
      <c r="AB21" s="1574">
        <f t="shared" ref="AB21" si="9">D21/H21</f>
        <v>1</v>
      </c>
      <c r="AC21" s="1574">
        <f t="shared" ref="AC21" si="10">D21/J21</f>
        <v>1</v>
      </c>
    </row>
    <row r="22" spans="1:29" ht="15">
      <c r="A22" s="529"/>
      <c r="B22" s="575"/>
      <c r="C22" s="564"/>
      <c r="D22" s="552"/>
      <c r="E22" s="573"/>
      <c r="F22" s="552"/>
      <c r="G22" s="551"/>
      <c r="H22" s="552"/>
      <c r="I22" s="551"/>
      <c r="J22" s="552"/>
      <c r="K22" s="2601"/>
      <c r="L22" s="2141"/>
      <c r="M22" s="2133"/>
      <c r="N22" s="2133"/>
      <c r="O22" s="2133"/>
      <c r="P22" s="3497"/>
      <c r="Q22" s="2578"/>
      <c r="R22" s="1571"/>
      <c r="S22" s="1572"/>
      <c r="T22" s="1571"/>
      <c r="U22" s="1572"/>
      <c r="V22" s="1571"/>
      <c r="W22" s="1572"/>
      <c r="X22" s="2580"/>
      <c r="Y22" s="3497"/>
      <c r="Z22" s="2579"/>
      <c r="AA22" s="1574">
        <v>1</v>
      </c>
      <c r="AB22" s="1574">
        <v>1</v>
      </c>
      <c r="AC22" s="1574">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41"/>
      <c r="M23" s="2133"/>
      <c r="N23" s="2133"/>
      <c r="O23" s="2133"/>
      <c r="P23" s="3497"/>
      <c r="Q23" s="1570" t="str">
        <f>B23</f>
        <v>环境质量</v>
      </c>
      <c r="R23" s="1571" t="s">
        <v>8</v>
      </c>
      <c r="S23" s="1572">
        <f>F23</f>
        <v>100</v>
      </c>
      <c r="T23" s="1571" t="s">
        <v>8</v>
      </c>
      <c r="U23" s="1572">
        <f>H23</f>
        <v>100</v>
      </c>
      <c r="V23" s="1571" t="s">
        <v>8</v>
      </c>
      <c r="W23" s="1572">
        <f>J23</f>
        <v>100</v>
      </c>
      <c r="X23" s="1565"/>
      <c r="Y23" s="3497"/>
      <c r="Z23" s="1573" t="str">
        <f>Q23</f>
        <v>环境质量</v>
      </c>
      <c r="AA23" s="1574">
        <f t="shared" si="3"/>
        <v>1</v>
      </c>
      <c r="AB23" s="1574">
        <f t="shared" si="4"/>
        <v>1</v>
      </c>
      <c r="AC23" s="1574">
        <f t="shared" si="5"/>
        <v>1</v>
      </c>
    </row>
    <row r="24" spans="1:29" ht="15">
      <c r="A24" s="529"/>
      <c r="B24" s="575"/>
      <c r="C24" s="551"/>
      <c r="D24" s="552"/>
      <c r="E24" s="555"/>
      <c r="F24" s="552"/>
      <c r="G24" s="553"/>
      <c r="H24" s="552"/>
      <c r="I24" s="553"/>
      <c r="J24" s="552"/>
      <c r="K24" s="896"/>
      <c r="L24" s="2141"/>
      <c r="M24" s="2133"/>
      <c r="N24" s="2133"/>
      <c r="O24" s="2133"/>
      <c r="P24" s="3497"/>
      <c r="Q24" s="1570"/>
      <c r="R24" s="1571"/>
      <c r="S24" s="1572"/>
      <c r="T24" s="1571"/>
      <c r="U24" s="1572"/>
      <c r="V24" s="1571"/>
      <c r="W24" s="1572"/>
      <c r="X24" s="1565"/>
      <c r="Y24" s="3497"/>
      <c r="Z24" s="1573"/>
      <c r="AA24" s="1574">
        <v>1</v>
      </c>
      <c r="AB24" s="1574">
        <v>1</v>
      </c>
      <c r="AC24" s="1574">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41"/>
      <c r="M25" s="2133"/>
      <c r="N25" s="2133"/>
      <c r="O25" s="2133"/>
      <c r="P25" s="3497"/>
      <c r="Q25" s="1570" t="str">
        <f>B25</f>
        <v>毗邻道路的类型与等级</v>
      </c>
      <c r="R25" s="1571" t="s">
        <v>8</v>
      </c>
      <c r="S25" s="1572">
        <f>F25</f>
        <v>100</v>
      </c>
      <c r="T25" s="1571" t="s">
        <v>8</v>
      </c>
      <c r="U25" s="1572">
        <f>H25</f>
        <v>100</v>
      </c>
      <c r="V25" s="1571" t="s">
        <v>8</v>
      </c>
      <c r="W25" s="1572">
        <f>J25</f>
        <v>100</v>
      </c>
      <c r="X25" s="1565"/>
      <c r="Y25" s="3497"/>
      <c r="Z25" s="1573" t="str">
        <f>Q25</f>
        <v>毗邻道路的类型与等级</v>
      </c>
      <c r="AA25" s="1574">
        <f t="shared" si="3"/>
        <v>1</v>
      </c>
      <c r="AB25" s="1574">
        <f t="shared" si="4"/>
        <v>1</v>
      </c>
      <c r="AC25" s="1574">
        <f t="shared" si="5"/>
        <v>1</v>
      </c>
    </row>
    <row r="26" spans="1:29" ht="15">
      <c r="A26" s="512"/>
      <c r="B26" s="563"/>
      <c r="C26" s="577"/>
      <c r="D26" s="537"/>
      <c r="E26" s="580"/>
      <c r="F26" s="537"/>
      <c r="G26" s="577"/>
      <c r="H26" s="537"/>
      <c r="I26" s="580"/>
      <c r="J26" s="537"/>
      <c r="K26" s="896"/>
      <c r="L26" s="2141"/>
      <c r="M26" s="2133"/>
      <c r="N26" s="2133"/>
      <c r="O26" s="2133"/>
      <c r="P26" s="3497"/>
      <c r="Q26" s="1570"/>
      <c r="R26" s="1571"/>
      <c r="S26" s="1572"/>
      <c r="T26" s="1571"/>
      <c r="U26" s="1572"/>
      <c r="V26" s="1571"/>
      <c r="W26" s="1572"/>
      <c r="X26" s="1565"/>
      <c r="Y26" s="3497"/>
      <c r="Z26" s="1573"/>
      <c r="AA26" s="1574">
        <v>1</v>
      </c>
      <c r="AB26" s="1574">
        <v>1</v>
      </c>
      <c r="AC26" s="1574">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41"/>
      <c r="M27" s="2133"/>
      <c r="N27" s="2133"/>
      <c r="O27" s="2133"/>
      <c r="P27" s="3497"/>
      <c r="Q27" s="1570" t="str">
        <f t="shared" ref="Q27:Q47" si="11">B27</f>
        <v>楼层</v>
      </c>
      <c r="R27" s="1571" t="s">
        <v>8</v>
      </c>
      <c r="S27" s="1572">
        <f>F27</f>
        <v>100</v>
      </c>
      <c r="T27" s="1571" t="s">
        <v>8</v>
      </c>
      <c r="U27" s="1572">
        <f>H27</f>
        <v>100</v>
      </c>
      <c r="V27" s="1571" t="s">
        <v>8</v>
      </c>
      <c r="W27" s="1572">
        <f>J27</f>
        <v>100</v>
      </c>
      <c r="X27" s="1565"/>
      <c r="Y27" s="3497"/>
      <c r="Z27" s="1573" t="str">
        <f>Q27</f>
        <v>楼层</v>
      </c>
      <c r="AA27" s="1574">
        <f t="shared" si="3"/>
        <v>1</v>
      </c>
      <c r="AB27" s="1574">
        <f t="shared" si="4"/>
        <v>1</v>
      </c>
      <c r="AC27" s="1574">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4"/>
      <c r="M28" s="2135"/>
      <c r="N28" s="2135"/>
      <c r="O28" s="2135"/>
      <c r="P28" s="3497"/>
      <c r="Q28" s="1148" t="str">
        <f t="shared" si="11"/>
        <v>朝向</v>
      </c>
      <c r="R28" s="1566" t="s">
        <v>8</v>
      </c>
      <c r="S28" s="1567">
        <f>F28</f>
        <v>100</v>
      </c>
      <c r="T28" s="1566" t="s">
        <v>8</v>
      </c>
      <c r="U28" s="1567">
        <f>H28</f>
        <v>100</v>
      </c>
      <c r="V28" s="1566" t="s">
        <v>8</v>
      </c>
      <c r="W28" s="1567">
        <f>J28</f>
        <v>100</v>
      </c>
      <c r="X28" s="1568"/>
      <c r="Y28" s="3497"/>
      <c r="Z28" s="1147" t="str">
        <f>Q28</f>
        <v>朝向</v>
      </c>
      <c r="AA28" s="1574">
        <f>D28/F28</f>
        <v>1</v>
      </c>
      <c r="AB28" s="1574">
        <f>D28/H28</f>
        <v>1</v>
      </c>
      <c r="AC28" s="1574">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41"/>
      <c r="M29" s="2133"/>
      <c r="N29" s="2133"/>
      <c r="O29" s="2133"/>
      <c r="P29" s="3497"/>
      <c r="Q29" s="1570">
        <f t="shared" si="11"/>
        <v>111</v>
      </c>
      <c r="R29" s="1571" t="s">
        <v>8</v>
      </c>
      <c r="S29" s="1572">
        <f t="shared" ref="S29:S47" si="12">F29</f>
        <v>100</v>
      </c>
      <c r="T29" s="1571" t="s">
        <v>8</v>
      </c>
      <c r="U29" s="1572">
        <f t="shared" ref="U29:U47" si="13">H29</f>
        <v>100</v>
      </c>
      <c r="V29" s="1571" t="s">
        <v>8</v>
      </c>
      <c r="W29" s="1572">
        <f t="shared" ref="W29:W47" si="14">J29</f>
        <v>100</v>
      </c>
      <c r="X29" s="1565"/>
      <c r="Y29" s="3497"/>
      <c r="Z29" s="1573">
        <f t="shared" ref="Z29:Z47" si="15">Q29</f>
        <v>111</v>
      </c>
      <c r="AA29" s="1574">
        <f t="shared" si="3"/>
        <v>1</v>
      </c>
      <c r="AB29" s="1574">
        <f t="shared" si="4"/>
        <v>1</v>
      </c>
      <c r="AC29" s="1574">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41"/>
      <c r="M30" s="2133"/>
      <c r="N30" s="2133"/>
      <c r="O30" s="2133"/>
      <c r="P30" s="3497"/>
      <c r="Q30" s="1570">
        <f t="shared" si="11"/>
        <v>111</v>
      </c>
      <c r="R30" s="1571" t="s">
        <v>8</v>
      </c>
      <c r="S30" s="1572">
        <f t="shared" si="12"/>
        <v>100</v>
      </c>
      <c r="T30" s="1571" t="s">
        <v>8</v>
      </c>
      <c r="U30" s="1572">
        <f t="shared" si="13"/>
        <v>100</v>
      </c>
      <c r="V30" s="1571" t="s">
        <v>8</v>
      </c>
      <c r="W30" s="1572">
        <f t="shared" si="14"/>
        <v>100</v>
      </c>
      <c r="X30" s="1565"/>
      <c r="Y30" s="3497"/>
      <c r="Z30" s="1573">
        <f t="shared" si="15"/>
        <v>111</v>
      </c>
      <c r="AA30" s="1574">
        <f t="shared" si="3"/>
        <v>1</v>
      </c>
      <c r="AB30" s="1574">
        <f t="shared" si="4"/>
        <v>1</v>
      </c>
      <c r="AC30" s="1574">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41"/>
      <c r="M31" s="2133"/>
      <c r="N31" s="2133"/>
      <c r="O31" s="2133"/>
      <c r="P31" s="3497"/>
      <c r="Q31" s="1570">
        <f t="shared" si="11"/>
        <v>111</v>
      </c>
      <c r="R31" s="1571" t="s">
        <v>8</v>
      </c>
      <c r="S31" s="1572">
        <f t="shared" si="12"/>
        <v>100</v>
      </c>
      <c r="T31" s="1571" t="s">
        <v>8</v>
      </c>
      <c r="U31" s="1572">
        <f t="shared" si="13"/>
        <v>100</v>
      </c>
      <c r="V31" s="1571" t="s">
        <v>8</v>
      </c>
      <c r="W31" s="1572">
        <f t="shared" si="14"/>
        <v>100</v>
      </c>
      <c r="X31" s="1565"/>
      <c r="Y31" s="3497"/>
      <c r="Z31" s="1573">
        <f t="shared" si="15"/>
        <v>111</v>
      </c>
      <c r="AA31" s="1574">
        <f t="shared" si="3"/>
        <v>1</v>
      </c>
      <c r="AB31" s="1574">
        <f t="shared" si="4"/>
        <v>1</v>
      </c>
      <c r="AC31" s="1574">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41"/>
      <c r="M32" s="2133"/>
      <c r="N32" s="2133"/>
      <c r="O32" s="2133"/>
      <c r="P32" s="3497"/>
      <c r="Q32" s="1570">
        <f t="shared" si="11"/>
        <v>111</v>
      </c>
      <c r="R32" s="1571" t="s">
        <v>8</v>
      </c>
      <c r="S32" s="1572">
        <f t="shared" si="12"/>
        <v>100</v>
      </c>
      <c r="T32" s="1571" t="s">
        <v>8</v>
      </c>
      <c r="U32" s="1572">
        <f t="shared" si="13"/>
        <v>100</v>
      </c>
      <c r="V32" s="1571" t="s">
        <v>8</v>
      </c>
      <c r="W32" s="1572">
        <f t="shared" si="14"/>
        <v>100</v>
      </c>
      <c r="X32" s="1565"/>
      <c r="Y32" s="3497"/>
      <c r="Z32" s="1573">
        <f t="shared" si="15"/>
        <v>111</v>
      </c>
      <c r="AA32" s="1574">
        <f t="shared" si="3"/>
        <v>1</v>
      </c>
      <c r="AB32" s="1574">
        <f t="shared" si="4"/>
        <v>1</v>
      </c>
      <c r="AC32" s="1574">
        <f t="shared" si="5"/>
        <v>1</v>
      </c>
    </row>
    <row r="33" spans="1:29" ht="15">
      <c r="A33" s="2904"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41"/>
      <c r="M33" s="2133"/>
      <c r="N33" s="2133"/>
      <c r="O33" s="2133"/>
      <c r="P33" s="3498" t="s">
        <v>550</v>
      </c>
      <c r="Q33" s="1570" t="str">
        <f t="shared" si="11"/>
        <v>建筑类型</v>
      </c>
      <c r="R33" s="1571" t="s">
        <v>8</v>
      </c>
      <c r="S33" s="1572">
        <f t="shared" si="12"/>
        <v>100</v>
      </c>
      <c r="T33" s="1571" t="s">
        <v>8</v>
      </c>
      <c r="U33" s="1572">
        <f t="shared" si="13"/>
        <v>100</v>
      </c>
      <c r="V33" s="1571" t="s">
        <v>8</v>
      </c>
      <c r="W33" s="1572">
        <f t="shared" si="14"/>
        <v>100</v>
      </c>
      <c r="X33" s="1565"/>
      <c r="Y33" s="3499" t="s">
        <v>550</v>
      </c>
      <c r="Z33" s="1573" t="str">
        <f t="shared" si="15"/>
        <v>建筑类型</v>
      </c>
      <c r="AA33" s="1574">
        <f t="shared" si="3"/>
        <v>1</v>
      </c>
      <c r="AB33" s="1574">
        <f t="shared" si="4"/>
        <v>1</v>
      </c>
      <c r="AC33" s="1574">
        <f t="shared" si="5"/>
        <v>1</v>
      </c>
    </row>
    <row r="34" spans="1:29" s="1336" customFormat="1" ht="15">
      <c r="A34" s="600"/>
      <c r="B34" s="524" t="s">
        <v>726</v>
      </c>
      <c r="C34" s="877"/>
      <c r="D34" s="255">
        <v>100</v>
      </c>
      <c r="E34" s="531"/>
      <c r="F34" s="860" t="e">
        <f>LOOKUP(E34,104:104,105:105)-LOOKUP(C34,104:104,105:105)+100</f>
        <v>#N/A</v>
      </c>
      <c r="G34" s="530"/>
      <c r="H34" s="255" t="e">
        <f>LOOKUP(G34,104:104,105:105)-LOOKUP(C34,104:104,105:105)+100</f>
        <v>#N/A</v>
      </c>
      <c r="I34" s="530"/>
      <c r="J34" s="255" t="e">
        <f>LOOKUP(I34,104:104,105:105)-LOOKUP(C34,104:104,105:105)+100</f>
        <v>#N/A</v>
      </c>
      <c r="K34" s="578"/>
      <c r="L34" s="2139"/>
      <c r="M34" s="2170"/>
      <c r="N34" s="2170"/>
      <c r="O34" s="2170"/>
      <c r="P34" s="3499"/>
      <c r="Q34" s="1603" t="str">
        <f t="shared" si="11"/>
        <v>项目建筑规模</v>
      </c>
      <c r="R34" s="1575" t="s">
        <v>8</v>
      </c>
      <c r="S34" s="1576" t="e">
        <f t="shared" si="12"/>
        <v>#N/A</v>
      </c>
      <c r="T34" s="1575" t="s">
        <v>8</v>
      </c>
      <c r="U34" s="1576" t="e">
        <f t="shared" si="13"/>
        <v>#N/A</v>
      </c>
      <c r="V34" s="1575" t="s">
        <v>8</v>
      </c>
      <c r="W34" s="1576" t="e">
        <f t="shared" si="14"/>
        <v>#N/A</v>
      </c>
      <c r="X34" s="1577"/>
      <c r="Y34" s="3499"/>
      <c r="Z34" s="1578" t="str">
        <f t="shared" si="15"/>
        <v>项目建筑规模</v>
      </c>
      <c r="AA34" s="1574" t="e">
        <f t="shared" si="3"/>
        <v>#N/A</v>
      </c>
      <c r="AB34" s="1574" t="e">
        <f t="shared" si="4"/>
        <v>#N/A</v>
      </c>
      <c r="AC34" s="1574"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41"/>
      <c r="M35" s="2133"/>
      <c r="N35" s="2133"/>
      <c r="O35" s="2133"/>
      <c r="P35" s="3499"/>
      <c r="Q35" s="1570" t="str">
        <f t="shared" si="11"/>
        <v>建筑结构</v>
      </c>
      <c r="R35" s="1571" t="s">
        <v>8</v>
      </c>
      <c r="S35" s="1572">
        <f t="shared" si="12"/>
        <v>100</v>
      </c>
      <c r="T35" s="1571" t="s">
        <v>8</v>
      </c>
      <c r="U35" s="1572">
        <f t="shared" si="13"/>
        <v>100</v>
      </c>
      <c r="V35" s="1571" t="s">
        <v>8</v>
      </c>
      <c r="W35" s="1572">
        <f t="shared" si="14"/>
        <v>100</v>
      </c>
      <c r="X35" s="1565"/>
      <c r="Y35" s="3499"/>
      <c r="Z35" s="1573" t="str">
        <f t="shared" si="15"/>
        <v>建筑结构</v>
      </c>
      <c r="AA35" s="1574">
        <f t="shared" si="3"/>
        <v>1</v>
      </c>
      <c r="AB35" s="1574">
        <f t="shared" si="4"/>
        <v>1</v>
      </c>
      <c r="AC35" s="1574">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41"/>
      <c r="M36" s="2133"/>
      <c r="N36" s="2133"/>
      <c r="O36" s="2133"/>
      <c r="P36" s="3499"/>
      <c r="Q36" s="1570" t="str">
        <f t="shared" si="11"/>
        <v>公共部分装修</v>
      </c>
      <c r="R36" s="1571" t="s">
        <v>8</v>
      </c>
      <c r="S36" s="1572">
        <f t="shared" si="12"/>
        <v>100</v>
      </c>
      <c r="T36" s="1571" t="s">
        <v>8</v>
      </c>
      <c r="U36" s="1572">
        <f t="shared" si="13"/>
        <v>100</v>
      </c>
      <c r="V36" s="1571" t="s">
        <v>8</v>
      </c>
      <c r="W36" s="1572">
        <f t="shared" si="14"/>
        <v>100</v>
      </c>
      <c r="X36" s="1565"/>
      <c r="Y36" s="3499"/>
      <c r="Z36" s="1573" t="str">
        <f t="shared" si="15"/>
        <v>公共部分装修</v>
      </c>
      <c r="AA36" s="1574">
        <f t="shared" si="3"/>
        <v>1</v>
      </c>
      <c r="AB36" s="1574">
        <f t="shared" si="4"/>
        <v>1</v>
      </c>
      <c r="AC36" s="1574">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41"/>
      <c r="M37" s="2133"/>
      <c r="N37" s="2133"/>
      <c r="O37" s="2133"/>
      <c r="P37" s="3499"/>
      <c r="Q37" s="1570" t="str">
        <f t="shared" si="11"/>
        <v>成新度</v>
      </c>
      <c r="R37" s="1571" t="s">
        <v>8</v>
      </c>
      <c r="S37" s="1572" t="e">
        <f t="shared" si="12"/>
        <v>#N/A</v>
      </c>
      <c r="T37" s="1571" t="s">
        <v>8</v>
      </c>
      <c r="U37" s="1572" t="e">
        <f t="shared" si="13"/>
        <v>#N/A</v>
      </c>
      <c r="V37" s="1571" t="s">
        <v>8</v>
      </c>
      <c r="W37" s="1572" t="e">
        <f t="shared" si="14"/>
        <v>#N/A</v>
      </c>
      <c r="X37" s="1565"/>
      <c r="Y37" s="3499"/>
      <c r="Z37" s="1573" t="str">
        <f t="shared" si="15"/>
        <v>成新度</v>
      </c>
      <c r="AA37" s="1574" t="e">
        <f t="shared" si="3"/>
        <v>#N/A</v>
      </c>
      <c r="AB37" s="1574" t="e">
        <f t="shared" si="4"/>
        <v>#N/A</v>
      </c>
      <c r="AC37" s="1574" t="e">
        <f t="shared" si="5"/>
        <v>#N/A</v>
      </c>
    </row>
    <row r="38" spans="1:29" s="1217" customFormat="1" ht="15">
      <c r="A38" s="597"/>
      <c r="B38" s="524" t="s">
        <v>781</v>
      </c>
      <c r="C38" s="571"/>
      <c r="D38" s="255">
        <v>100</v>
      </c>
      <c r="E38" s="571"/>
      <c r="F38" s="572">
        <f>SUMIF(113:113,E38,114:114)-SUMIF(113:113,C38,114:114)+100</f>
        <v>100</v>
      </c>
      <c r="G38" s="571"/>
      <c r="H38" s="537">
        <f>SUMIF(113:113,G38,114:114)-SUMIF(113:113,C38,114:114)+100</f>
        <v>100</v>
      </c>
      <c r="I38" s="571"/>
      <c r="J38" s="537">
        <f>SUMIF(113:113,I38,114:114)-SUMIF(113:113,C38,114:114)+100</f>
        <v>100</v>
      </c>
      <c r="K38" s="581"/>
      <c r="L38" s="2134"/>
      <c r="M38" s="2135"/>
      <c r="N38" s="2135"/>
      <c r="O38" s="2135"/>
      <c r="P38" s="3499"/>
      <c r="Q38" s="1148" t="str">
        <f t="shared" si="11"/>
        <v>写字楼等级</v>
      </c>
      <c r="R38" s="1566" t="s">
        <v>8</v>
      </c>
      <c r="S38" s="1567">
        <f t="shared" si="12"/>
        <v>100</v>
      </c>
      <c r="T38" s="1566" t="s">
        <v>8</v>
      </c>
      <c r="U38" s="1567">
        <f t="shared" si="13"/>
        <v>100</v>
      </c>
      <c r="V38" s="1566" t="s">
        <v>8</v>
      </c>
      <c r="W38" s="1567">
        <f t="shared" si="14"/>
        <v>100</v>
      </c>
      <c r="X38" s="1568"/>
      <c r="Y38" s="3499"/>
      <c r="Z38" s="1147" t="str">
        <f t="shared" si="15"/>
        <v>写字楼等级</v>
      </c>
      <c r="AA38" s="1569">
        <f t="shared" si="3"/>
        <v>1</v>
      </c>
      <c r="AB38" s="1569">
        <f t="shared" si="4"/>
        <v>1</v>
      </c>
      <c r="AC38" s="1569">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41"/>
      <c r="M39" s="2133"/>
      <c r="N39" s="2133"/>
      <c r="O39" s="2133"/>
      <c r="P39" s="3499" t="s">
        <v>550</v>
      </c>
      <c r="Q39" s="1570" t="str">
        <f t="shared" si="11"/>
        <v>物业管理</v>
      </c>
      <c r="R39" s="1571" t="s">
        <v>8</v>
      </c>
      <c r="S39" s="1572">
        <f t="shared" si="12"/>
        <v>100</v>
      </c>
      <c r="T39" s="1571" t="s">
        <v>8</v>
      </c>
      <c r="U39" s="1572">
        <f t="shared" si="13"/>
        <v>100</v>
      </c>
      <c r="V39" s="1571" t="s">
        <v>8</v>
      </c>
      <c r="W39" s="1572">
        <f t="shared" si="14"/>
        <v>100</v>
      </c>
      <c r="X39" s="1565"/>
      <c r="Y39" s="3499" t="s">
        <v>550</v>
      </c>
      <c r="Z39" s="1573" t="str">
        <f t="shared" si="15"/>
        <v>物业管理</v>
      </c>
      <c r="AA39" s="1574">
        <f t="shared" si="3"/>
        <v>1</v>
      </c>
      <c r="AB39" s="1574">
        <f t="shared" si="4"/>
        <v>1</v>
      </c>
      <c r="AC39" s="1574">
        <f t="shared" si="5"/>
        <v>1</v>
      </c>
    </row>
    <row r="40" spans="1:29" ht="15">
      <c r="A40" s="591"/>
      <c r="B40" s="1894"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41"/>
      <c r="M40" s="2133"/>
      <c r="N40" s="2133"/>
      <c r="O40" s="2133"/>
      <c r="P40" s="3499"/>
      <c r="Q40" s="1570" t="str">
        <f t="shared" si="11"/>
        <v>市政基础设施</v>
      </c>
      <c r="R40" s="1571" t="s">
        <v>8</v>
      </c>
      <c r="S40" s="1572">
        <f t="shared" si="12"/>
        <v>100</v>
      </c>
      <c r="T40" s="1571" t="s">
        <v>8</v>
      </c>
      <c r="U40" s="1572">
        <f t="shared" si="13"/>
        <v>100</v>
      </c>
      <c r="V40" s="1571" t="s">
        <v>8</v>
      </c>
      <c r="W40" s="1572">
        <f t="shared" si="14"/>
        <v>100</v>
      </c>
      <c r="X40" s="1565"/>
      <c r="Y40" s="3499"/>
      <c r="Z40" s="1573" t="str">
        <f t="shared" si="15"/>
        <v>市政基础设施</v>
      </c>
      <c r="AA40" s="1574">
        <f t="shared" si="3"/>
        <v>1</v>
      </c>
      <c r="AB40" s="1574">
        <f t="shared" si="4"/>
        <v>1</v>
      </c>
      <c r="AC40" s="1574">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41"/>
      <c r="M41" s="2133"/>
      <c r="N41" s="2133"/>
      <c r="O41" s="2133"/>
      <c r="P41" s="3499"/>
      <c r="Q41" s="1570" t="str">
        <f t="shared" si="11"/>
        <v>层高</v>
      </c>
      <c r="R41" s="1571" t="s">
        <v>8</v>
      </c>
      <c r="S41" s="1572">
        <f t="shared" si="12"/>
        <v>100</v>
      </c>
      <c r="T41" s="1571" t="s">
        <v>8</v>
      </c>
      <c r="U41" s="1572">
        <f t="shared" si="13"/>
        <v>100</v>
      </c>
      <c r="V41" s="1571" t="s">
        <v>8</v>
      </c>
      <c r="W41" s="1572">
        <f t="shared" si="14"/>
        <v>100</v>
      </c>
      <c r="X41" s="1565"/>
      <c r="Y41" s="3499"/>
      <c r="Z41" s="1573" t="str">
        <f t="shared" si="15"/>
        <v>层高</v>
      </c>
      <c r="AA41" s="1574">
        <f t="shared" si="3"/>
        <v>1</v>
      </c>
      <c r="AB41" s="1574">
        <f t="shared" si="4"/>
        <v>1</v>
      </c>
      <c r="AC41" s="1574">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9"/>
      <c r="M42" s="2170"/>
      <c r="N42" s="2170"/>
      <c r="O42" s="2170"/>
      <c r="P42" s="3499"/>
      <c r="Q42" s="1603" t="str">
        <f t="shared" si="11"/>
        <v>单套建筑面积</v>
      </c>
      <c r="R42" s="1575" t="s">
        <v>8</v>
      </c>
      <c r="S42" s="1576">
        <f t="shared" si="12"/>
        <v>100</v>
      </c>
      <c r="T42" s="1575" t="s">
        <v>8</v>
      </c>
      <c r="U42" s="1576">
        <f t="shared" si="13"/>
        <v>100</v>
      </c>
      <c r="V42" s="1575" t="s">
        <v>8</v>
      </c>
      <c r="W42" s="1576">
        <f t="shared" si="14"/>
        <v>100</v>
      </c>
      <c r="X42" s="1577"/>
      <c r="Y42" s="3499"/>
      <c r="Z42" s="1578" t="str">
        <f t="shared" si="15"/>
        <v>单套建筑面积</v>
      </c>
      <c r="AA42" s="1574">
        <f t="shared" si="3"/>
        <v>1</v>
      </c>
      <c r="AB42" s="1574">
        <f t="shared" si="4"/>
        <v>1</v>
      </c>
      <c r="AC42" s="1574">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41"/>
      <c r="M43" s="2133"/>
      <c r="N43" s="2133"/>
      <c r="O43" s="2133"/>
      <c r="P43" s="3499"/>
      <c r="Q43" s="1570" t="str">
        <f t="shared" si="11"/>
        <v>内部装修</v>
      </c>
      <c r="R43" s="1571" t="s">
        <v>8</v>
      </c>
      <c r="S43" s="1572">
        <f t="shared" si="12"/>
        <v>100</v>
      </c>
      <c r="T43" s="1571" t="s">
        <v>8</v>
      </c>
      <c r="U43" s="1572">
        <f t="shared" si="13"/>
        <v>100</v>
      </c>
      <c r="V43" s="1571" t="s">
        <v>8</v>
      </c>
      <c r="W43" s="1572">
        <f t="shared" si="14"/>
        <v>100</v>
      </c>
      <c r="X43" s="1565"/>
      <c r="Y43" s="3499"/>
      <c r="Z43" s="1573" t="str">
        <f t="shared" si="15"/>
        <v>内部装修</v>
      </c>
      <c r="AA43" s="1574">
        <f t="shared" si="3"/>
        <v>1</v>
      </c>
      <c r="AB43" s="1574">
        <f t="shared" si="4"/>
        <v>1</v>
      </c>
      <c r="AC43" s="1574">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41"/>
      <c r="M44" s="2133"/>
      <c r="N44" s="2133"/>
      <c r="O44" s="2133"/>
      <c r="P44" s="3499"/>
      <c r="Q44" s="1570" t="str">
        <f t="shared" si="11"/>
        <v>内部装修维护情况</v>
      </c>
      <c r="R44" s="1571" t="s">
        <v>8</v>
      </c>
      <c r="S44" s="1572">
        <f t="shared" si="12"/>
        <v>100</v>
      </c>
      <c r="T44" s="1571" t="s">
        <v>8</v>
      </c>
      <c r="U44" s="1572">
        <f t="shared" si="13"/>
        <v>100</v>
      </c>
      <c r="V44" s="1571" t="s">
        <v>8</v>
      </c>
      <c r="W44" s="1572">
        <f t="shared" si="14"/>
        <v>100</v>
      </c>
      <c r="X44" s="1565"/>
      <c r="Y44" s="3499"/>
      <c r="Z44" s="1573" t="str">
        <f t="shared" si="15"/>
        <v>内部装修维护情况</v>
      </c>
      <c r="AA44" s="1574">
        <f t="shared" si="3"/>
        <v>1</v>
      </c>
      <c r="AB44" s="1574">
        <f t="shared" si="4"/>
        <v>1</v>
      </c>
      <c r="AC44" s="1574">
        <f t="shared" si="5"/>
        <v>1</v>
      </c>
    </row>
    <row r="45" spans="1:29" s="1217" customFormat="1" ht="15">
      <c r="A45" s="597"/>
      <c r="B45" s="874">
        <v>111</v>
      </c>
      <c r="C45" s="877"/>
      <c r="D45" s="255">
        <v>100</v>
      </c>
      <c r="E45" s="525"/>
      <c r="F45" s="860">
        <f>SUMIF(127:127,E45,128:128)-SUMIF(127:127,C45,128:128)+100</f>
        <v>100</v>
      </c>
      <c r="G45" s="525"/>
      <c r="H45" s="255">
        <f>SUMIF(127:127,G45,128:128)-SUMIF(127:127,C45,128:128)+100</f>
        <v>100</v>
      </c>
      <c r="I45" s="525"/>
      <c r="J45" s="255">
        <f>SUMIF(127:127,I45,128:128)-SUMIF(127:127,C45,128:128)+100</f>
        <v>100</v>
      </c>
      <c r="K45" s="578"/>
      <c r="L45" s="2134"/>
      <c r="M45" s="2135"/>
      <c r="N45" s="2135"/>
      <c r="O45" s="2135"/>
      <c r="P45" s="3499"/>
      <c r="Q45" s="1148">
        <f t="shared" si="11"/>
        <v>111</v>
      </c>
      <c r="R45" s="1566" t="s">
        <v>8</v>
      </c>
      <c r="S45" s="1567">
        <f t="shared" si="12"/>
        <v>100</v>
      </c>
      <c r="T45" s="1566" t="s">
        <v>8</v>
      </c>
      <c r="U45" s="1567">
        <f t="shared" si="13"/>
        <v>100</v>
      </c>
      <c r="V45" s="1566" t="s">
        <v>8</v>
      </c>
      <c r="W45" s="1567">
        <f t="shared" si="14"/>
        <v>100</v>
      </c>
      <c r="X45" s="1568"/>
      <c r="Y45" s="3499"/>
      <c r="Z45" s="1147">
        <f t="shared" si="15"/>
        <v>111</v>
      </c>
      <c r="AA45" s="1569">
        <f t="shared" si="3"/>
        <v>1</v>
      </c>
      <c r="AB45" s="1569">
        <f t="shared" si="4"/>
        <v>1</v>
      </c>
      <c r="AC45" s="1569">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1"/>
      <c r="M46" s="2133"/>
      <c r="N46" s="2133"/>
      <c r="O46" s="2133"/>
      <c r="P46" s="3499"/>
      <c r="Q46" s="1570">
        <f t="shared" si="11"/>
        <v>111</v>
      </c>
      <c r="R46" s="1571" t="s">
        <v>8</v>
      </c>
      <c r="S46" s="1572">
        <f t="shared" si="12"/>
        <v>100</v>
      </c>
      <c r="T46" s="1571" t="s">
        <v>8</v>
      </c>
      <c r="U46" s="1572">
        <f t="shared" si="13"/>
        <v>100</v>
      </c>
      <c r="V46" s="1571" t="s">
        <v>8</v>
      </c>
      <c r="W46" s="1572">
        <f t="shared" si="14"/>
        <v>100</v>
      </c>
      <c r="X46" s="1565"/>
      <c r="Y46" s="3499"/>
      <c r="Z46" s="1573">
        <f t="shared" si="15"/>
        <v>111</v>
      </c>
      <c r="AA46" s="1574">
        <f t="shared" si="3"/>
        <v>1</v>
      </c>
      <c r="AB46" s="1574">
        <f t="shared" si="4"/>
        <v>1</v>
      </c>
      <c r="AC46" s="1574">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1"/>
      <c r="M47" s="2133"/>
      <c r="N47" s="2133"/>
      <c r="O47" s="2133"/>
      <c r="P47" s="3551"/>
      <c r="Q47" s="1570">
        <f t="shared" si="11"/>
        <v>111</v>
      </c>
      <c r="R47" s="1571" t="s">
        <v>8</v>
      </c>
      <c r="S47" s="1572">
        <f t="shared" si="12"/>
        <v>100</v>
      </c>
      <c r="T47" s="1571" t="s">
        <v>8</v>
      </c>
      <c r="U47" s="1572">
        <f t="shared" si="13"/>
        <v>100</v>
      </c>
      <c r="V47" s="1571" t="s">
        <v>8</v>
      </c>
      <c r="W47" s="1572">
        <f t="shared" si="14"/>
        <v>100</v>
      </c>
      <c r="X47" s="1565"/>
      <c r="Y47" s="3551"/>
      <c r="Z47" s="1573">
        <f t="shared" si="15"/>
        <v>111</v>
      </c>
      <c r="AA47" s="1574">
        <f t="shared" si="3"/>
        <v>1</v>
      </c>
      <c r="AB47" s="1574">
        <f t="shared" si="4"/>
        <v>1</v>
      </c>
      <c r="AC47" s="1574">
        <f t="shared" si="5"/>
        <v>1</v>
      </c>
    </row>
    <row r="48" spans="1:29" ht="15">
      <c r="A48" s="604" t="s">
        <v>736</v>
      </c>
      <c r="B48" s="884"/>
      <c r="C48" s="2626" t="s">
        <v>1</v>
      </c>
      <c r="D48" s="2627"/>
      <c r="E48" s="2628"/>
      <c r="F48" s="2629"/>
      <c r="G48" s="2630"/>
      <c r="H48" s="2631"/>
      <c r="I48" s="2628"/>
      <c r="J48" s="2631"/>
      <c r="K48" s="1609"/>
      <c r="L48" s="2143"/>
      <c r="M48" s="2133"/>
      <c r="N48" s="2133"/>
      <c r="O48" s="2133"/>
      <c r="P48" s="3460" t="str">
        <f>A48</f>
        <v>成交单价（元/平方米）</v>
      </c>
      <c r="Q48" s="3462"/>
      <c r="R48" s="3550">
        <f>E48</f>
        <v>0</v>
      </c>
      <c r="S48" s="3550"/>
      <c r="T48" s="3550">
        <f>G48</f>
        <v>0</v>
      </c>
      <c r="U48" s="3550"/>
      <c r="V48" s="3550">
        <f>I48</f>
        <v>0</v>
      </c>
      <c r="W48" s="3550"/>
      <c r="X48" s="1557"/>
      <c r="Y48" s="1579"/>
      <c r="Z48" s="1557"/>
      <c r="AA48" s="1557"/>
      <c r="AB48" s="1557"/>
      <c r="AC48" s="1557"/>
    </row>
    <row r="49" spans="1:29" ht="15.75" thickBot="1">
      <c r="A49" s="612" t="s">
        <v>2763</v>
      </c>
      <c r="B49" s="885"/>
      <c r="C49" s="2632" t="e">
        <f>R50</f>
        <v>#DIV/0!</v>
      </c>
      <c r="D49" s="2633"/>
      <c r="E49" s="2634" t="e">
        <f>R49</f>
        <v>#DIV/0!</v>
      </c>
      <c r="F49" s="2634"/>
      <c r="G49" s="2632" t="e">
        <f>T49</f>
        <v>#DIV/0!</v>
      </c>
      <c r="H49" s="2633"/>
      <c r="I49" s="2634" t="e">
        <f>V49</f>
        <v>#DIV/0!</v>
      </c>
      <c r="J49" s="2633"/>
      <c r="K49" s="1610"/>
      <c r="L49" s="2143"/>
      <c r="M49" s="2133"/>
      <c r="N49" s="2133"/>
      <c r="O49" s="2133"/>
      <c r="P49" s="3460" t="str">
        <f>A49</f>
        <v>比较价格（元/平方米）</v>
      </c>
      <c r="Q49" s="3462"/>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1557"/>
      <c r="Y49" s="1557"/>
      <c r="Z49" s="1557"/>
      <c r="AA49" s="1557"/>
      <c r="AB49" s="1557"/>
      <c r="AC49" s="1557"/>
    </row>
    <row r="50" spans="1:29" ht="15.75" thickBot="1">
      <c r="A50" s="618" t="s">
        <v>2939</v>
      </c>
      <c r="B50" s="619"/>
      <c r="C50" s="2635" t="e">
        <f>R50</f>
        <v>#DIV/0!</v>
      </c>
      <c r="D50" s="2635"/>
      <c r="E50" s="2635"/>
      <c r="F50" s="2635"/>
      <c r="G50" s="2635"/>
      <c r="H50" s="2635"/>
      <c r="I50" s="2635"/>
      <c r="J50" s="2635"/>
      <c r="K50" s="1611"/>
      <c r="L50" s="2143"/>
      <c r="M50" s="2133"/>
      <c r="N50" s="2133"/>
      <c r="O50" s="2133"/>
      <c r="P50" s="3552" t="str">
        <f>A50</f>
        <v>估价对象XX用房的比较价格（楼面单价，元/平方米）</v>
      </c>
      <c r="Q50" s="3460"/>
      <c r="R50" s="3549" t="e">
        <f>IF(F1="售价",ROUND(AVERAGE(R49:V49),0),ROUND(AVERAGE(R49:V49),1))</f>
        <v>#DIV/0!</v>
      </c>
      <c r="S50" s="3549"/>
      <c r="T50" s="3549"/>
      <c r="U50" s="3549"/>
      <c r="V50" s="3549"/>
      <c r="W50" s="3549"/>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2" customFormat="1" ht="13.5" customHeight="1">
      <c r="A55" s="2145"/>
      <c r="B55" s="2145"/>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2"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4" customFormat="1" ht="15">
      <c r="A59" s="642" t="s">
        <v>529</v>
      </c>
      <c r="B59" s="643"/>
      <c r="C59" s="2799" t="str">
        <f>YEAR(C7)&amp;"-"&amp;MONTH(C7)</f>
        <v>2019-7</v>
      </c>
      <c r="D59" s="2801">
        <f>EDATE(C59,-1)</f>
        <v>43617</v>
      </c>
      <c r="E59" s="2801">
        <f t="shared" ref="E59:O59" si="16">EDATE(D59,-1)</f>
        <v>43586</v>
      </c>
      <c r="F59" s="2801">
        <f t="shared" si="16"/>
        <v>43556</v>
      </c>
      <c r="G59" s="2801">
        <f t="shared" si="16"/>
        <v>43525</v>
      </c>
      <c r="H59" s="2801">
        <f t="shared" si="16"/>
        <v>43497</v>
      </c>
      <c r="I59" s="2801">
        <f t="shared" si="16"/>
        <v>43466</v>
      </c>
      <c r="J59" s="2801">
        <f t="shared" si="16"/>
        <v>43435</v>
      </c>
      <c r="K59" s="2801">
        <f t="shared" si="16"/>
        <v>43405</v>
      </c>
      <c r="L59" s="2801">
        <f t="shared" si="16"/>
        <v>43374</v>
      </c>
      <c r="M59" s="2801">
        <f t="shared" si="16"/>
        <v>43344</v>
      </c>
      <c r="N59" s="2801">
        <f t="shared" si="16"/>
        <v>43313</v>
      </c>
      <c r="O59" s="2801">
        <f t="shared" si="16"/>
        <v>43282</v>
      </c>
      <c r="P59" s="2210"/>
      <c r="Q59" s="2160"/>
      <c r="R59" s="2160"/>
      <c r="S59" s="2160"/>
      <c r="T59" s="2160"/>
      <c r="U59" s="2160"/>
      <c r="V59" s="2160"/>
      <c r="W59" s="2160"/>
      <c r="X59" s="2160"/>
      <c r="Y59" s="2160"/>
      <c r="Z59" s="2160"/>
      <c r="AA59" s="2160"/>
      <c r="AB59" s="2160"/>
      <c r="AC59" s="2160"/>
    </row>
    <row r="60" spans="1:29" s="1217" customFormat="1" ht="15">
      <c r="A60" s="644"/>
      <c r="B60" s="645"/>
      <c r="C60" s="646">
        <v>100</v>
      </c>
      <c r="D60" s="647"/>
      <c r="E60" s="647"/>
      <c r="F60" s="647"/>
      <c r="G60" s="647"/>
      <c r="H60" s="647"/>
      <c r="I60" s="647"/>
      <c r="J60" s="647"/>
      <c r="K60" s="647"/>
      <c r="L60" s="647"/>
      <c r="M60" s="648"/>
      <c r="N60" s="647"/>
      <c r="O60" s="648"/>
      <c r="P60" s="2211"/>
      <c r="Q60" s="1992"/>
      <c r="R60" s="1992"/>
      <c r="S60" s="1992"/>
      <c r="T60" s="1992"/>
      <c r="U60" s="1992"/>
      <c r="V60" s="1992"/>
      <c r="W60" s="1992"/>
      <c r="X60" s="1992"/>
      <c r="Y60" s="1992"/>
      <c r="Z60" s="1992"/>
      <c r="AA60" s="1992"/>
      <c r="AB60" s="1992"/>
      <c r="AC60" s="1992"/>
    </row>
    <row r="61" spans="1:29" s="1217" customFormat="1" ht="15.75" thickBot="1">
      <c r="A61" s="650" t="s">
        <v>575</v>
      </c>
      <c r="B61" s="651"/>
      <c r="C61" s="652"/>
      <c r="D61" s="653"/>
      <c r="E61" s="653"/>
      <c r="F61" s="653"/>
      <c r="G61" s="653"/>
      <c r="H61" s="653"/>
      <c r="I61" s="653"/>
      <c r="J61" s="653"/>
      <c r="K61" s="653"/>
      <c r="L61" s="653"/>
      <c r="M61" s="654"/>
      <c r="N61" s="653"/>
      <c r="O61" s="654"/>
      <c r="P61" s="2211"/>
      <c r="Q61" s="2157"/>
      <c r="R61" s="1992"/>
      <c r="S61" s="1992"/>
      <c r="T61" s="1992"/>
      <c r="U61" s="1992"/>
      <c r="V61" s="1992"/>
      <c r="W61" s="1992"/>
      <c r="X61" s="1992"/>
      <c r="Y61" s="1992"/>
      <c r="Z61" s="1992"/>
      <c r="AA61" s="1992"/>
      <c r="AB61" s="1992"/>
      <c r="AC61" s="1992"/>
    </row>
    <row r="62" spans="1:29" s="1217" customFormat="1" ht="15">
      <c r="A62" s="656" t="s">
        <v>531</v>
      </c>
      <c r="B62" s="645"/>
      <c r="C62" s="657" t="s">
        <v>576</v>
      </c>
      <c r="D62" s="658"/>
      <c r="E62" s="658"/>
      <c r="F62" s="658"/>
      <c r="G62" s="658"/>
      <c r="H62" s="658"/>
      <c r="I62" s="658"/>
      <c r="J62" s="658"/>
      <c r="K62" s="658"/>
      <c r="L62" s="659"/>
      <c r="M62" s="660"/>
      <c r="N62" s="2161"/>
      <c r="O62" s="2161"/>
      <c r="P62" s="2212"/>
      <c r="Q62" s="2157"/>
      <c r="R62" s="1992"/>
      <c r="S62" s="1992"/>
      <c r="T62" s="1992"/>
      <c r="U62" s="1992"/>
      <c r="V62" s="1992"/>
      <c r="W62" s="1992"/>
      <c r="X62" s="1992"/>
      <c r="Y62" s="1992"/>
      <c r="Z62" s="1992"/>
      <c r="AA62" s="1992"/>
      <c r="AB62" s="1992"/>
      <c r="AC62" s="1992"/>
    </row>
    <row r="63" spans="1:29" s="1217" customFormat="1" ht="15.75" thickBot="1">
      <c r="A63" s="656"/>
      <c r="B63" s="645"/>
      <c r="C63" s="886">
        <v>100</v>
      </c>
      <c r="D63" s="647"/>
      <c r="E63" s="647"/>
      <c r="F63" s="647"/>
      <c r="G63" s="647"/>
      <c r="H63" s="647"/>
      <c r="I63" s="647"/>
      <c r="J63" s="647"/>
      <c r="K63" s="647"/>
      <c r="L63" s="647"/>
      <c r="M63" s="649"/>
      <c r="N63" s="2161"/>
      <c r="O63" s="2161"/>
      <c r="P63" s="2211"/>
      <c r="Q63" s="2157"/>
      <c r="R63" s="1992"/>
      <c r="S63" s="1992"/>
      <c r="T63" s="1992"/>
      <c r="U63" s="1992"/>
      <c r="V63" s="1992"/>
      <c r="W63" s="1992"/>
      <c r="X63" s="1992"/>
      <c r="Y63" s="1992"/>
      <c r="Z63" s="1992"/>
      <c r="AA63" s="1992"/>
      <c r="AB63" s="1992"/>
      <c r="AC63" s="1992"/>
    </row>
    <row r="64" spans="1:29">
      <c r="A64" s="661" t="s">
        <v>577</v>
      </c>
      <c r="B64" s="662" t="s">
        <v>534</v>
      </c>
      <c r="C64" s="701">
        <f>C9</f>
        <v>0</v>
      </c>
      <c r="D64" s="595"/>
      <c r="E64" s="595"/>
      <c r="F64" s="595"/>
      <c r="G64" s="595"/>
      <c r="H64" s="595"/>
      <c r="I64" s="595"/>
      <c r="J64" s="595"/>
      <c r="K64" s="663"/>
      <c r="L64" s="664"/>
      <c r="M64" s="665"/>
      <c r="N64" s="2163"/>
      <c r="O64" s="2163"/>
      <c r="P64" s="2213"/>
      <c r="Q64" s="2157"/>
      <c r="R64" s="2144"/>
      <c r="S64" s="2144"/>
      <c r="T64" s="2144"/>
      <c r="U64" s="2144"/>
      <c r="V64" s="2144"/>
      <c r="W64" s="2144"/>
      <c r="X64" s="2144"/>
      <c r="Y64" s="2144"/>
      <c r="Z64" s="2144"/>
      <c r="AA64" s="2144"/>
      <c r="AB64" s="2144"/>
      <c r="AC64" s="2144"/>
    </row>
    <row r="65" spans="1:29" ht="15.75" thickBot="1">
      <c r="A65" s="666"/>
      <c r="B65" s="667"/>
      <c r="C65" s="668"/>
      <c r="D65" s="668"/>
      <c r="E65" s="668"/>
      <c r="F65" s="668"/>
      <c r="G65" s="668"/>
      <c r="H65" s="668"/>
      <c r="I65" s="668"/>
      <c r="J65" s="668"/>
      <c r="K65" s="668"/>
      <c r="L65" s="668"/>
      <c r="M65" s="669"/>
      <c r="N65" s="2165"/>
      <c r="O65" s="2165"/>
      <c r="P65" s="2213"/>
      <c r="Q65" s="2157"/>
      <c r="R65" s="2144"/>
      <c r="S65" s="2144"/>
      <c r="T65" s="2144"/>
      <c r="U65" s="2144"/>
      <c r="V65" s="2144"/>
      <c r="W65" s="2144"/>
      <c r="X65" s="2144"/>
      <c r="Y65" s="2144"/>
      <c r="Z65" s="2144"/>
      <c r="AA65" s="2144"/>
      <c r="AB65" s="2144"/>
      <c r="AC65" s="2144"/>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3"/>
      <c r="O66" s="2163"/>
      <c r="P66" s="2213"/>
      <c r="Q66" s="2157"/>
      <c r="R66" s="2144"/>
      <c r="S66" s="2144"/>
      <c r="T66" s="2144"/>
      <c r="U66" s="2144"/>
      <c r="V66" s="2144"/>
      <c r="W66" s="2144"/>
      <c r="X66" s="2144"/>
      <c r="Y66" s="2144"/>
      <c r="Z66" s="2144"/>
      <c r="AA66" s="2144"/>
      <c r="AB66" s="2144"/>
      <c r="AC66" s="2144"/>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5"/>
      <c r="O67" s="2165"/>
      <c r="P67" s="2213"/>
      <c r="Q67" s="2157"/>
      <c r="R67" s="2144"/>
      <c r="S67" s="2144"/>
      <c r="T67" s="2144"/>
      <c r="U67" s="2144"/>
      <c r="V67" s="2144"/>
      <c r="W67" s="2144"/>
      <c r="X67" s="2144"/>
      <c r="Y67" s="2144"/>
      <c r="Z67" s="2144"/>
      <c r="AA67" s="2144"/>
      <c r="AB67" s="2144"/>
      <c r="AC67" s="2144"/>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6"/>
      <c r="B69" s="680"/>
      <c r="C69" s="538"/>
      <c r="D69" s="538"/>
      <c r="E69" s="538"/>
      <c r="F69" s="538"/>
      <c r="G69" s="538"/>
      <c r="H69" s="538"/>
      <c r="I69" s="538"/>
      <c r="J69" s="538"/>
      <c r="K69" s="681"/>
      <c r="L69" s="682"/>
      <c r="M69" s="683"/>
      <c r="N69" s="2163"/>
      <c r="O69" s="2163"/>
      <c r="P69" s="2213"/>
      <c r="Q69" s="2157"/>
      <c r="R69" s="2144"/>
      <c r="S69" s="2144"/>
      <c r="T69" s="2144"/>
      <c r="U69" s="2144"/>
      <c r="V69" s="2144"/>
      <c r="W69" s="2144"/>
      <c r="X69" s="2144"/>
      <c r="Y69" s="2144"/>
      <c r="Z69" s="2144"/>
      <c r="AA69" s="2144"/>
      <c r="AB69" s="2144"/>
      <c r="AC69" s="2144"/>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5"/>
      <c r="O70" s="2165"/>
      <c r="P70" s="2213"/>
      <c r="Q70" s="2157"/>
      <c r="R70" s="2144"/>
      <c r="S70" s="2144"/>
      <c r="T70" s="2144"/>
      <c r="U70" s="2144"/>
      <c r="V70" s="2144"/>
      <c r="W70" s="2144"/>
      <c r="X70" s="2144"/>
      <c r="Y70" s="2144"/>
      <c r="Z70" s="2144"/>
      <c r="AA70" s="2144"/>
      <c r="AB70" s="2144"/>
      <c r="AC70" s="2144"/>
    </row>
    <row r="71" spans="1:29" s="1336" customFormat="1" ht="15.75" thickTop="1">
      <c r="A71" s="684"/>
      <c r="B71" s="670">
        <f>B12</f>
        <v>111</v>
      </c>
      <c r="C71" s="685"/>
      <c r="D71" s="685"/>
      <c r="E71" s="685"/>
      <c r="F71" s="685"/>
      <c r="G71" s="685"/>
      <c r="H71" s="686"/>
      <c r="I71" s="686"/>
      <c r="J71" s="686"/>
      <c r="K71" s="686"/>
      <c r="L71" s="687"/>
      <c r="M71" s="688"/>
      <c r="N71" s="2166"/>
      <c r="O71" s="2166"/>
      <c r="P71" s="2214"/>
      <c r="Q71" s="2168"/>
      <c r="R71" s="2169"/>
      <c r="S71" s="2169"/>
      <c r="T71" s="2169"/>
      <c r="U71" s="2169"/>
      <c r="V71" s="2169"/>
      <c r="W71" s="2169"/>
      <c r="X71" s="2169"/>
      <c r="Y71" s="2169"/>
      <c r="Z71" s="2169"/>
      <c r="AA71" s="2169"/>
      <c r="AB71" s="2169"/>
      <c r="AC71" s="2169"/>
    </row>
    <row r="72" spans="1:29" s="1336" customFormat="1" ht="15.75" thickBot="1">
      <c r="A72" s="684"/>
      <c r="B72" s="675"/>
      <c r="C72" s="689"/>
      <c r="D72" s="668"/>
      <c r="E72" s="668"/>
      <c r="F72" s="668"/>
      <c r="G72" s="668"/>
      <c r="H72" s="668"/>
      <c r="I72" s="668"/>
      <c r="J72" s="668"/>
      <c r="K72" s="668"/>
      <c r="L72" s="668"/>
      <c r="M72" s="669"/>
      <c r="N72" s="2165"/>
      <c r="O72" s="2165"/>
      <c r="P72" s="2214"/>
      <c r="Q72" s="2168"/>
      <c r="R72" s="2169"/>
      <c r="S72" s="2169"/>
      <c r="T72" s="2169"/>
      <c r="U72" s="2169"/>
      <c r="V72" s="2169"/>
      <c r="W72" s="2169"/>
      <c r="X72" s="2169"/>
      <c r="Y72" s="2169"/>
      <c r="Z72" s="2169"/>
      <c r="AA72" s="2169"/>
      <c r="AB72" s="2169"/>
      <c r="AC72" s="2169"/>
    </row>
    <row r="73" spans="1:29" s="1336" customFormat="1" ht="15.75" thickTop="1">
      <c r="A73" s="684"/>
      <c r="B73" s="670">
        <f>B13</f>
        <v>111</v>
      </c>
      <c r="C73" s="685"/>
      <c r="D73" s="685"/>
      <c r="E73" s="685"/>
      <c r="F73" s="685"/>
      <c r="G73" s="685"/>
      <c r="H73" s="686"/>
      <c r="I73" s="686"/>
      <c r="J73" s="686"/>
      <c r="K73" s="686"/>
      <c r="L73" s="687"/>
      <c r="M73" s="688"/>
      <c r="N73" s="2166"/>
      <c r="O73" s="2166"/>
      <c r="P73" s="2215"/>
      <c r="Q73" s="2171"/>
      <c r="R73" s="2169"/>
      <c r="S73" s="2169"/>
      <c r="T73" s="2169"/>
      <c r="U73" s="2169"/>
      <c r="V73" s="2169"/>
      <c r="W73" s="2169"/>
      <c r="X73" s="2169"/>
      <c r="Y73" s="2169"/>
      <c r="Z73" s="2169"/>
      <c r="AA73" s="2169"/>
      <c r="AB73" s="2169"/>
      <c r="AC73" s="2169"/>
    </row>
    <row r="74" spans="1:29" s="1336" customFormat="1" ht="15.75" thickBot="1">
      <c r="A74" s="684"/>
      <c r="B74" s="675"/>
      <c r="C74" s="689"/>
      <c r="D74" s="689"/>
      <c r="E74" s="689"/>
      <c r="F74" s="689"/>
      <c r="G74" s="689"/>
      <c r="H74" s="690"/>
      <c r="I74" s="690"/>
      <c r="J74" s="690"/>
      <c r="K74" s="690"/>
      <c r="L74" s="690"/>
      <c r="M74" s="691"/>
      <c r="N74" s="2166"/>
      <c r="O74" s="2166"/>
      <c r="P74" s="2214"/>
      <c r="Q74" s="2168"/>
      <c r="R74" s="2169"/>
      <c r="S74" s="2169"/>
      <c r="T74" s="2169"/>
      <c r="U74" s="2169"/>
      <c r="V74" s="2169"/>
      <c r="W74" s="2169"/>
      <c r="X74" s="2169"/>
      <c r="Y74" s="2169"/>
      <c r="Z74" s="2169"/>
      <c r="AA74" s="2169"/>
      <c r="AB74" s="2169"/>
      <c r="AC74" s="2169"/>
    </row>
    <row r="75" spans="1:29" s="1336" customFormat="1" ht="15.75" thickTop="1">
      <c r="A75" s="684"/>
      <c r="B75" s="678">
        <f>B14</f>
        <v>111</v>
      </c>
      <c r="C75" s="658"/>
      <c r="D75" s="658"/>
      <c r="E75" s="658"/>
      <c r="F75" s="658"/>
      <c r="G75" s="658"/>
      <c r="H75" s="692"/>
      <c r="I75" s="692"/>
      <c r="J75" s="692"/>
      <c r="K75" s="692"/>
      <c r="L75" s="693"/>
      <c r="M75" s="694"/>
      <c r="N75" s="2166"/>
      <c r="O75" s="2166"/>
      <c r="P75" s="2216"/>
      <c r="Q75" s="2168"/>
      <c r="R75" s="2169"/>
      <c r="S75" s="2169"/>
      <c r="T75" s="2169"/>
      <c r="U75" s="2169"/>
      <c r="V75" s="2169"/>
      <c r="W75" s="2169"/>
      <c r="X75" s="2169"/>
      <c r="Y75" s="2169"/>
      <c r="Z75" s="2169"/>
      <c r="AA75" s="2169"/>
      <c r="AB75" s="2169"/>
      <c r="AC75" s="2169"/>
    </row>
    <row r="76" spans="1:29" s="1336" customFormat="1" ht="15.75" thickBot="1">
      <c r="A76" s="695"/>
      <c r="B76" s="696"/>
      <c r="C76" s="697"/>
      <c r="D76" s="697"/>
      <c r="E76" s="697"/>
      <c r="F76" s="697"/>
      <c r="G76" s="697"/>
      <c r="H76" s="698"/>
      <c r="I76" s="698"/>
      <c r="J76" s="698"/>
      <c r="K76" s="698"/>
      <c r="L76" s="698"/>
      <c r="M76" s="699"/>
      <c r="N76" s="2166"/>
      <c r="O76" s="2166"/>
      <c r="P76" s="2214"/>
      <c r="Q76" s="2168"/>
      <c r="R76" s="2169"/>
      <c r="S76" s="2169"/>
      <c r="T76" s="2169"/>
      <c r="U76" s="2169"/>
      <c r="V76" s="2169"/>
      <c r="W76" s="2169"/>
      <c r="X76" s="2169"/>
      <c r="Y76" s="2169"/>
      <c r="Z76" s="2169"/>
      <c r="AA76" s="2169"/>
      <c r="AB76" s="2169"/>
      <c r="AC76" s="2169"/>
    </row>
    <row r="77" spans="1:29">
      <c r="A77" s="661" t="s">
        <v>539</v>
      </c>
      <c r="B77" s="662" t="s">
        <v>585</v>
      </c>
      <c r="C77" s="700" t="s">
        <v>579</v>
      </c>
      <c r="D77" s="700" t="s">
        <v>580</v>
      </c>
      <c r="E77" s="700" t="s">
        <v>581</v>
      </c>
      <c r="F77" s="700" t="s">
        <v>582</v>
      </c>
      <c r="G77" s="700" t="s">
        <v>583</v>
      </c>
      <c r="H77" s="701"/>
      <c r="I77" s="701"/>
      <c r="J77" s="701"/>
      <c r="K77" s="702"/>
      <c r="L77" s="703"/>
      <c r="M77" s="704"/>
      <c r="N77" s="2163"/>
      <c r="O77" s="2163"/>
      <c r="P77" s="2217"/>
      <c r="Q77" s="2157"/>
      <c r="R77" s="2144"/>
      <c r="S77" s="2144"/>
      <c r="T77" s="2144"/>
      <c r="U77" s="2144"/>
      <c r="V77" s="2144"/>
      <c r="W77" s="2144"/>
      <c r="X77" s="2144"/>
      <c r="Y77" s="2144"/>
      <c r="Z77" s="2144"/>
      <c r="AA77" s="2144"/>
      <c r="AB77" s="2144"/>
      <c r="AC77" s="2144"/>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5"/>
      <c r="O78" s="2165"/>
      <c r="P78" s="2213"/>
      <c r="Q78" s="2157"/>
      <c r="R78" s="2144"/>
      <c r="S78" s="2144"/>
      <c r="T78" s="2144"/>
      <c r="U78" s="2144"/>
      <c r="V78" s="2144"/>
      <c r="W78" s="2144"/>
      <c r="X78" s="2144"/>
      <c r="Y78" s="2144"/>
      <c r="Z78" s="2144"/>
      <c r="AA78" s="2144"/>
      <c r="AB78" s="2144"/>
      <c r="AC78" s="2144"/>
    </row>
    <row r="79" spans="1:29" ht="15.75" thickTop="1">
      <c r="A79" s="666"/>
      <c r="B79" s="670" t="s">
        <v>586</v>
      </c>
      <c r="C79" s="705" t="s">
        <v>579</v>
      </c>
      <c r="D79" s="705" t="s">
        <v>580</v>
      </c>
      <c r="E79" s="705" t="s">
        <v>581</v>
      </c>
      <c r="F79" s="705" t="s">
        <v>582</v>
      </c>
      <c r="G79" s="705" t="s">
        <v>583</v>
      </c>
      <c r="H79" s="671"/>
      <c r="I79" s="671"/>
      <c r="J79" s="671"/>
      <c r="K79" s="672"/>
      <c r="L79" s="673"/>
      <c r="M79" s="674"/>
      <c r="N79" s="2163"/>
      <c r="O79" s="2163"/>
      <c r="P79" s="2213"/>
      <c r="Q79" s="2157"/>
      <c r="R79" s="2144"/>
      <c r="S79" s="2144"/>
      <c r="T79" s="2144"/>
      <c r="U79" s="2144"/>
      <c r="V79" s="2144"/>
      <c r="W79" s="2144"/>
      <c r="X79" s="2144"/>
      <c r="Y79" s="2144"/>
      <c r="Z79" s="2144"/>
      <c r="AA79" s="2144"/>
      <c r="AB79" s="2144"/>
      <c r="AC79" s="2144"/>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5"/>
      <c r="O80" s="2165"/>
      <c r="P80" s="2213"/>
      <c r="Q80" s="2157"/>
      <c r="R80" s="2144"/>
      <c r="S80" s="2144"/>
      <c r="T80" s="2144"/>
      <c r="U80" s="2144"/>
      <c r="V80" s="2144"/>
      <c r="W80" s="2144"/>
      <c r="X80" s="2144"/>
      <c r="Y80" s="2144"/>
      <c r="Z80" s="2144"/>
      <c r="AA80" s="2144"/>
      <c r="AB80" s="2144"/>
      <c r="AC80" s="2144"/>
    </row>
    <row r="81" spans="1:29" ht="15.75" thickTop="1">
      <c r="A81" s="666"/>
      <c r="B81" s="1895" t="s">
        <v>2560</v>
      </c>
      <c r="C81" s="705" t="s">
        <v>579</v>
      </c>
      <c r="D81" s="705" t="s">
        <v>580</v>
      </c>
      <c r="E81" s="705" t="s">
        <v>581</v>
      </c>
      <c r="F81" s="705" t="s">
        <v>582</v>
      </c>
      <c r="G81" s="705" t="s">
        <v>583</v>
      </c>
      <c r="H81" s="671"/>
      <c r="I81" s="671"/>
      <c r="J81" s="671"/>
      <c r="K81" s="672"/>
      <c r="L81" s="673"/>
      <c r="M81" s="674"/>
      <c r="N81" s="2163"/>
      <c r="O81" s="2163"/>
      <c r="P81" s="2213"/>
      <c r="Q81" s="2157"/>
      <c r="R81" s="2144"/>
      <c r="S81" s="2144"/>
      <c r="T81" s="2144"/>
      <c r="U81" s="2144"/>
      <c r="V81" s="2144"/>
      <c r="W81" s="2144"/>
      <c r="X81" s="2144"/>
      <c r="Y81" s="2144"/>
      <c r="Z81" s="2144"/>
      <c r="AA81" s="2144"/>
      <c r="AB81" s="2144"/>
      <c r="AC81" s="2144"/>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5"/>
      <c r="O82" s="2165"/>
      <c r="P82" s="2213"/>
      <c r="Q82" s="2157"/>
      <c r="R82" s="2144"/>
      <c r="S82" s="2144"/>
      <c r="T82" s="2144"/>
      <c r="U82" s="2144"/>
      <c r="V82" s="2144"/>
      <c r="W82" s="2144"/>
      <c r="X82" s="2144"/>
      <c r="Y82" s="2144"/>
      <c r="Z82" s="2144"/>
      <c r="AA82" s="2144"/>
      <c r="AB82" s="2144"/>
      <c r="AC82" s="2144"/>
    </row>
    <row r="83" spans="1:29" ht="15.75" thickTop="1">
      <c r="A83" s="666"/>
      <c r="B83" s="2596" t="s">
        <v>2561</v>
      </c>
      <c r="C83" s="2597" t="s">
        <v>2562</v>
      </c>
      <c r="D83" s="2597" t="s">
        <v>2563</v>
      </c>
      <c r="E83" s="2597" t="s">
        <v>2564</v>
      </c>
      <c r="F83" s="2597" t="s">
        <v>2565</v>
      </c>
      <c r="G83" s="2597" t="s">
        <v>2566</v>
      </c>
      <c r="H83" s="671"/>
      <c r="I83" s="671"/>
      <c r="J83" s="671"/>
      <c r="K83" s="671"/>
      <c r="L83" s="671"/>
      <c r="M83" s="2600"/>
      <c r="N83" s="2165"/>
      <c r="O83" s="2165"/>
      <c r="P83" s="2213"/>
      <c r="Q83" s="2157"/>
      <c r="R83" s="2144"/>
      <c r="S83" s="2144"/>
      <c r="T83" s="2144"/>
      <c r="U83" s="2144"/>
      <c r="V83" s="2144"/>
      <c r="W83" s="2144"/>
      <c r="X83" s="2144"/>
      <c r="Y83" s="2144"/>
      <c r="Z83" s="2144"/>
      <c r="AA83" s="2144"/>
      <c r="AB83" s="2144"/>
      <c r="AC83" s="2144"/>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5"/>
      <c r="O84" s="2165"/>
      <c r="P84" s="2213"/>
      <c r="Q84" s="2157"/>
      <c r="R84" s="2144"/>
      <c r="S84" s="2144"/>
      <c r="T84" s="2144"/>
      <c r="U84" s="2144"/>
      <c r="V84" s="2144"/>
      <c r="W84" s="2144"/>
      <c r="X84" s="2144"/>
      <c r="Y84" s="2144"/>
      <c r="Z84" s="2144"/>
      <c r="AA84" s="2144"/>
      <c r="AB84" s="2144"/>
      <c r="AC84" s="2144"/>
    </row>
    <row r="85" spans="1:29" ht="15.75" thickTop="1">
      <c r="A85" s="666"/>
      <c r="B85" s="670" t="s">
        <v>784</v>
      </c>
      <c r="C85" s="705" t="s">
        <v>579</v>
      </c>
      <c r="D85" s="705" t="s">
        <v>580</v>
      </c>
      <c r="E85" s="705" t="s">
        <v>581</v>
      </c>
      <c r="F85" s="705" t="s">
        <v>582</v>
      </c>
      <c r="G85" s="705" t="s">
        <v>583</v>
      </c>
      <c r="H85" s="671"/>
      <c r="I85" s="671"/>
      <c r="J85" s="671"/>
      <c r="K85" s="672"/>
      <c r="L85" s="673"/>
      <c r="M85" s="674"/>
      <c r="N85" s="2163"/>
      <c r="O85" s="2163"/>
      <c r="P85" s="2213"/>
      <c r="Q85" s="2157"/>
      <c r="R85" s="2144"/>
      <c r="S85" s="2144"/>
      <c r="T85" s="2144"/>
      <c r="U85" s="2144"/>
      <c r="V85" s="2144"/>
      <c r="W85" s="2144"/>
      <c r="X85" s="2144"/>
      <c r="Y85" s="2144"/>
      <c r="Z85" s="2144"/>
      <c r="AA85" s="2144"/>
      <c r="AB85" s="2144"/>
      <c r="AC85" s="2144"/>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5"/>
      <c r="O86" s="2165"/>
      <c r="P86" s="2213"/>
      <c r="Q86" s="2157"/>
      <c r="R86" s="2144"/>
      <c r="S86" s="2144"/>
      <c r="T86" s="2144"/>
      <c r="U86" s="2144"/>
      <c r="V86" s="2144"/>
      <c r="W86" s="2144"/>
      <c r="X86" s="2144"/>
      <c r="Y86" s="2144"/>
      <c r="Z86" s="2144"/>
      <c r="AA86" s="2144"/>
      <c r="AB86" s="2144"/>
      <c r="AC86" s="2144"/>
    </row>
    <row r="87" spans="1:29" s="1217" customFormat="1" ht="27.75" thickTop="1">
      <c r="A87" s="706"/>
      <c r="B87" s="670" t="s">
        <v>785</v>
      </c>
      <c r="C87" s="685"/>
      <c r="D87" s="685"/>
      <c r="E87" s="685"/>
      <c r="F87" s="685"/>
      <c r="G87" s="685"/>
      <c r="H87" s="685"/>
      <c r="I87" s="685"/>
      <c r="J87" s="685"/>
      <c r="K87" s="685"/>
      <c r="L87" s="887"/>
      <c r="M87" s="888"/>
      <c r="N87" s="2161"/>
      <c r="O87" s="2161"/>
      <c r="P87" s="2213"/>
      <c r="Q87" s="2157"/>
      <c r="R87" s="1992"/>
      <c r="S87" s="1992"/>
      <c r="T87" s="1992"/>
      <c r="U87" s="1992"/>
      <c r="V87" s="1992"/>
      <c r="W87" s="1992"/>
      <c r="X87" s="1992"/>
      <c r="Y87" s="1992"/>
      <c r="Z87" s="1992"/>
      <c r="AA87" s="1992"/>
      <c r="AB87" s="1992"/>
      <c r="AC87" s="1992"/>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5"/>
      <c r="O88" s="2165"/>
      <c r="P88" s="2213"/>
      <c r="Q88" s="2157"/>
      <c r="R88" s="1992"/>
      <c r="S88" s="1992"/>
      <c r="T88" s="1992"/>
      <c r="U88" s="1992"/>
      <c r="V88" s="1992"/>
      <c r="W88" s="1992"/>
      <c r="X88" s="1992"/>
      <c r="Y88" s="1992"/>
      <c r="Z88" s="1992"/>
      <c r="AA88" s="1992"/>
      <c r="AB88" s="1992"/>
      <c r="AC88" s="1992"/>
    </row>
    <row r="89" spans="1:29" s="1217" customFormat="1" ht="15.75" thickTop="1">
      <c r="A89" s="706"/>
      <c r="B89" s="670" t="str">
        <f>B27</f>
        <v>楼层</v>
      </c>
      <c r="C89" s="685"/>
      <c r="D89" s="685"/>
      <c r="E89" s="685"/>
      <c r="F89" s="889"/>
      <c r="G89" s="685"/>
      <c r="H89" s="685"/>
      <c r="I89" s="685"/>
      <c r="J89" s="685"/>
      <c r="K89" s="685"/>
      <c r="L89" s="685"/>
      <c r="M89" s="888"/>
      <c r="N89" s="2161"/>
      <c r="O89" s="2161"/>
      <c r="P89" s="2213"/>
      <c r="Q89" s="2157"/>
      <c r="R89" s="1992"/>
      <c r="S89" s="1992"/>
      <c r="T89" s="1992"/>
      <c r="U89" s="1992"/>
      <c r="V89" s="1992"/>
      <c r="W89" s="1992"/>
      <c r="X89" s="1992"/>
      <c r="Y89" s="1992"/>
      <c r="Z89" s="1992"/>
      <c r="AA89" s="1992"/>
      <c r="AB89" s="1992"/>
      <c r="AC89" s="1992"/>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5"/>
      <c r="O90" s="2165"/>
      <c r="P90" s="2213"/>
      <c r="Q90" s="2157"/>
      <c r="R90" s="1992"/>
      <c r="S90" s="1992"/>
      <c r="T90" s="1992"/>
      <c r="U90" s="1992"/>
      <c r="V90" s="1992"/>
      <c r="W90" s="1992"/>
      <c r="X90" s="1992"/>
      <c r="Y90" s="1992"/>
      <c r="Z90" s="1992"/>
      <c r="AA90" s="1992"/>
      <c r="AB90" s="1992"/>
      <c r="AC90" s="1992"/>
    </row>
    <row r="91" spans="1:29" s="1336" customFormat="1" ht="15.75" thickTop="1">
      <c r="A91" s="684"/>
      <c r="B91" s="670" t="str">
        <f>B28</f>
        <v>朝向</v>
      </c>
      <c r="C91" s="685"/>
      <c r="D91" s="685"/>
      <c r="E91" s="685"/>
      <c r="F91" s="685"/>
      <c r="G91" s="685"/>
      <c r="H91" s="686"/>
      <c r="I91" s="686"/>
      <c r="J91" s="686"/>
      <c r="K91" s="686"/>
      <c r="L91" s="687"/>
      <c r="M91" s="688"/>
      <c r="N91" s="2166"/>
      <c r="O91" s="2166"/>
      <c r="P91" s="2214"/>
      <c r="Q91" s="2168"/>
      <c r="R91" s="2169"/>
      <c r="S91" s="2169"/>
      <c r="T91" s="2169"/>
      <c r="U91" s="2169"/>
      <c r="V91" s="2169"/>
      <c r="W91" s="2169"/>
      <c r="X91" s="2169"/>
      <c r="Y91" s="2169"/>
      <c r="Z91" s="2169"/>
      <c r="AA91" s="2169"/>
      <c r="AB91" s="2169"/>
      <c r="AC91" s="2169"/>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6"/>
      <c r="B93" s="670">
        <f>B29</f>
        <v>111</v>
      </c>
      <c r="C93" s="685"/>
      <c r="D93" s="685"/>
      <c r="E93" s="685"/>
      <c r="F93" s="685"/>
      <c r="G93" s="685"/>
      <c r="H93" s="685"/>
      <c r="I93" s="685"/>
      <c r="J93" s="685"/>
      <c r="K93" s="685"/>
      <c r="L93" s="887"/>
      <c r="M93" s="888"/>
      <c r="N93" s="2163"/>
      <c r="O93" s="2163"/>
      <c r="P93" s="2213"/>
      <c r="Q93" s="2157"/>
      <c r="R93" s="2144"/>
      <c r="S93" s="2144"/>
      <c r="T93" s="2144"/>
      <c r="U93" s="2144"/>
      <c r="V93" s="2144"/>
      <c r="W93" s="2144"/>
      <c r="X93" s="2144"/>
      <c r="Y93" s="2144"/>
      <c r="Z93" s="2144"/>
      <c r="AA93" s="2144"/>
      <c r="AB93" s="2144"/>
      <c r="AC93" s="2144"/>
    </row>
    <row r="94" spans="1:29" ht="15.75" thickBot="1">
      <c r="A94" s="666"/>
      <c r="B94" s="675"/>
      <c r="C94" s="689"/>
      <c r="D94" s="668"/>
      <c r="E94" s="668"/>
      <c r="F94" s="668"/>
      <c r="G94" s="668"/>
      <c r="H94" s="668"/>
      <c r="I94" s="668"/>
      <c r="J94" s="668"/>
      <c r="K94" s="668"/>
      <c r="L94" s="668"/>
      <c r="M94" s="669"/>
      <c r="N94" s="2165"/>
      <c r="O94" s="2165"/>
      <c r="P94" s="2213"/>
      <c r="Q94" s="2157"/>
      <c r="R94" s="2144"/>
      <c r="S94" s="2144"/>
      <c r="T94" s="2144"/>
      <c r="U94" s="2144"/>
      <c r="V94" s="2144"/>
      <c r="W94" s="2144"/>
      <c r="X94" s="2144"/>
      <c r="Y94" s="2144"/>
      <c r="Z94" s="2144"/>
      <c r="AA94" s="2144"/>
      <c r="AB94" s="2144"/>
      <c r="AC94" s="2144"/>
    </row>
    <row r="95" spans="1:29" ht="15.75" thickTop="1">
      <c r="A95" s="666"/>
      <c r="B95" s="670">
        <f>B30</f>
        <v>111</v>
      </c>
      <c r="C95" s="685"/>
      <c r="D95" s="685"/>
      <c r="E95" s="685"/>
      <c r="F95" s="685"/>
      <c r="G95" s="715"/>
      <c r="H95" s="715"/>
      <c r="I95" s="715"/>
      <c r="J95" s="715"/>
      <c r="K95" s="716"/>
      <c r="L95" s="717"/>
      <c r="M95" s="718"/>
      <c r="N95" s="2163"/>
      <c r="O95" s="2163"/>
      <c r="P95" s="2213"/>
      <c r="Q95" s="2157"/>
      <c r="R95" s="2144"/>
      <c r="S95" s="2144"/>
      <c r="T95" s="2144"/>
      <c r="U95" s="2144"/>
      <c r="V95" s="2144"/>
      <c r="W95" s="2144"/>
      <c r="X95" s="2144"/>
      <c r="Y95" s="2144"/>
      <c r="Z95" s="2144"/>
      <c r="AA95" s="2144"/>
      <c r="AB95" s="2144"/>
      <c r="AC95" s="2144"/>
    </row>
    <row r="96" spans="1:29" ht="15.75" thickBot="1">
      <c r="A96" s="666"/>
      <c r="B96" s="675"/>
      <c r="C96" s="689"/>
      <c r="D96" s="689"/>
      <c r="E96" s="689"/>
      <c r="F96" s="689"/>
      <c r="G96" s="668"/>
      <c r="H96" s="668"/>
      <c r="I96" s="668"/>
      <c r="J96" s="668"/>
      <c r="K96" s="668"/>
      <c r="L96" s="668"/>
      <c r="M96" s="669"/>
      <c r="N96" s="2165"/>
      <c r="O96" s="2165"/>
      <c r="P96" s="2213"/>
      <c r="Q96" s="2157"/>
      <c r="R96" s="2144"/>
      <c r="S96" s="2144"/>
      <c r="T96" s="2144"/>
      <c r="U96" s="2144"/>
      <c r="V96" s="2144"/>
      <c r="W96" s="2144"/>
      <c r="X96" s="2144"/>
      <c r="Y96" s="2144"/>
      <c r="Z96" s="2144"/>
      <c r="AA96" s="2144"/>
      <c r="AB96" s="2144"/>
      <c r="AC96" s="2144"/>
    </row>
    <row r="97" spans="1:29" ht="15.75" thickTop="1">
      <c r="A97" s="666"/>
      <c r="B97" s="670">
        <f>B31</f>
        <v>111</v>
      </c>
      <c r="C97" s="685"/>
      <c r="D97" s="685"/>
      <c r="E97" s="685"/>
      <c r="F97" s="685"/>
      <c r="G97" s="715"/>
      <c r="H97" s="715"/>
      <c r="I97" s="715"/>
      <c r="J97" s="715"/>
      <c r="K97" s="716"/>
      <c r="L97" s="717"/>
      <c r="M97" s="718"/>
      <c r="N97" s="2163"/>
      <c r="O97" s="2163"/>
      <c r="P97" s="2213"/>
      <c r="Q97" s="2157"/>
      <c r="R97" s="2144"/>
      <c r="S97" s="2144"/>
      <c r="T97" s="2144"/>
      <c r="U97" s="2144"/>
      <c r="V97" s="2144"/>
      <c r="W97" s="2144"/>
      <c r="X97" s="2144"/>
      <c r="Y97" s="2144"/>
      <c r="Z97" s="2144"/>
      <c r="AA97" s="2144"/>
      <c r="AB97" s="2144"/>
      <c r="AC97" s="2144"/>
    </row>
    <row r="98" spans="1:29" ht="15.75" thickBot="1">
      <c r="A98" s="666"/>
      <c r="B98" s="675"/>
      <c r="C98" s="689"/>
      <c r="D98" s="668"/>
      <c r="E98" s="668"/>
      <c r="F98" s="668"/>
      <c r="G98" s="668"/>
      <c r="H98" s="668"/>
      <c r="I98" s="668"/>
      <c r="J98" s="668"/>
      <c r="K98" s="668"/>
      <c r="L98" s="668"/>
      <c r="M98" s="669"/>
      <c r="N98" s="2165"/>
      <c r="O98" s="2165"/>
      <c r="P98" s="2213"/>
      <c r="Q98" s="2157"/>
      <c r="R98" s="2144"/>
      <c r="S98" s="2144"/>
      <c r="T98" s="2144"/>
      <c r="U98" s="2144"/>
      <c r="V98" s="2144"/>
      <c r="W98" s="2144"/>
      <c r="X98" s="2144"/>
      <c r="Y98" s="2144"/>
      <c r="Z98" s="2144"/>
      <c r="AA98" s="2144"/>
      <c r="AB98" s="2144"/>
      <c r="AC98" s="2144"/>
    </row>
    <row r="99" spans="1:29" ht="15.75" thickTop="1">
      <c r="A99" s="666"/>
      <c r="B99" s="678">
        <f>B32</f>
        <v>111</v>
      </c>
      <c r="C99" s="658"/>
      <c r="D99" s="658"/>
      <c r="E99" s="658"/>
      <c r="F99" s="658"/>
      <c r="G99" s="719"/>
      <c r="H99" s="719"/>
      <c r="I99" s="719"/>
      <c r="J99" s="719"/>
      <c r="K99" s="720"/>
      <c r="L99" s="721"/>
      <c r="M99" s="722"/>
      <c r="N99" s="2163"/>
      <c r="O99" s="2163"/>
      <c r="P99" s="2213"/>
      <c r="Q99" s="2157"/>
      <c r="R99" s="2144"/>
      <c r="S99" s="2144"/>
      <c r="T99" s="2144"/>
      <c r="U99" s="2144"/>
      <c r="V99" s="2144"/>
      <c r="W99" s="2144"/>
      <c r="X99" s="2144"/>
      <c r="Y99" s="2144"/>
      <c r="Z99" s="2144"/>
      <c r="AA99" s="2144"/>
      <c r="AB99" s="2144"/>
      <c r="AC99" s="2144"/>
    </row>
    <row r="100" spans="1:29" ht="15.75" thickBot="1">
      <c r="A100" s="890"/>
      <c r="B100" s="696"/>
      <c r="C100" s="697"/>
      <c r="D100" s="697"/>
      <c r="E100" s="697"/>
      <c r="F100" s="697"/>
      <c r="G100" s="723"/>
      <c r="H100" s="723"/>
      <c r="I100" s="723"/>
      <c r="J100" s="723"/>
      <c r="K100" s="723"/>
      <c r="L100" s="723"/>
      <c r="M100" s="724"/>
      <c r="N100" s="2165"/>
      <c r="O100" s="2165"/>
      <c r="P100" s="2213"/>
      <c r="Q100" s="2157"/>
      <c r="R100" s="2144"/>
      <c r="S100" s="2144"/>
      <c r="T100" s="2144"/>
      <c r="U100" s="2144"/>
      <c r="V100" s="2144"/>
      <c r="W100" s="2144"/>
      <c r="X100" s="2144"/>
      <c r="Y100" s="2144"/>
      <c r="Z100" s="2144"/>
      <c r="AA100" s="2144"/>
      <c r="AB100" s="2144"/>
      <c r="AC100" s="2144"/>
    </row>
    <row r="101" spans="1:29">
      <c r="A101" s="661" t="s">
        <v>551</v>
      </c>
      <c r="B101" s="662" t="s">
        <v>747</v>
      </c>
      <c r="C101" s="595"/>
      <c r="D101" s="595"/>
      <c r="E101" s="595"/>
      <c r="F101" s="595"/>
      <c r="G101" s="595"/>
      <c r="H101" s="595"/>
      <c r="I101" s="595"/>
      <c r="J101" s="595"/>
      <c r="K101" s="663"/>
      <c r="L101" s="664"/>
      <c r="M101" s="665"/>
      <c r="N101" s="2163"/>
      <c r="O101" s="2163"/>
      <c r="P101" s="2213"/>
      <c r="Q101" s="2157"/>
      <c r="R101" s="2144"/>
      <c r="S101" s="2144"/>
      <c r="T101" s="2144"/>
      <c r="U101" s="2144"/>
      <c r="V101" s="2144"/>
      <c r="W101" s="2144"/>
      <c r="X101" s="2144"/>
      <c r="Y101" s="2144"/>
      <c r="Z101" s="2144"/>
      <c r="AA101" s="2144"/>
      <c r="AB101" s="2144"/>
      <c r="AC101" s="2144"/>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6" customFormat="1">
      <c r="A104" s="725"/>
      <c r="B104" s="726"/>
      <c r="C104" s="727"/>
      <c r="D104" s="727"/>
      <c r="E104" s="727"/>
      <c r="F104" s="727"/>
      <c r="G104" s="727"/>
      <c r="H104" s="727"/>
      <c r="I104" s="727"/>
      <c r="J104" s="728"/>
      <c r="K104" s="728"/>
      <c r="L104" s="729"/>
      <c r="M104" s="730"/>
      <c r="N104" s="2166"/>
      <c r="O104" s="2166"/>
      <c r="P104" s="2214"/>
      <c r="Q104" s="2168"/>
      <c r="R104" s="2169"/>
      <c r="S104" s="2169"/>
      <c r="T104" s="2169"/>
      <c r="U104" s="2169"/>
      <c r="V104" s="2169"/>
      <c r="W104" s="2169"/>
      <c r="X104" s="2169"/>
      <c r="Y104" s="2169"/>
      <c r="Z104" s="2169"/>
      <c r="AA104" s="2169"/>
      <c r="AB104" s="2169"/>
      <c r="AC104" s="2169"/>
    </row>
    <row r="105" spans="1:29" s="1336" customFormat="1" ht="15.75" thickBot="1">
      <c r="A105" s="684"/>
      <c r="B105" s="675"/>
      <c r="C105" s="689"/>
      <c r="D105" s="668"/>
      <c r="E105" s="668"/>
      <c r="F105" s="668"/>
      <c r="G105" s="668"/>
      <c r="H105" s="668"/>
      <c r="I105" s="668"/>
      <c r="J105" s="668"/>
      <c r="K105" s="668"/>
      <c r="L105" s="668"/>
      <c r="M105" s="669"/>
      <c r="N105" s="2165"/>
      <c r="O105" s="2165"/>
      <c r="P105" s="2214"/>
      <c r="Q105" s="2168"/>
      <c r="R105" s="2169"/>
      <c r="S105" s="2169"/>
      <c r="T105" s="2169"/>
      <c r="U105" s="2169"/>
      <c r="V105" s="2169"/>
      <c r="W105" s="2169"/>
      <c r="X105" s="2169"/>
      <c r="Y105" s="2169"/>
      <c r="Z105" s="2169"/>
      <c r="AA105" s="2169"/>
      <c r="AB105" s="2169"/>
      <c r="AC105" s="2169"/>
    </row>
    <row r="106" spans="1:29" ht="15" thickTop="1">
      <c r="A106" s="732"/>
      <c r="B106" s="670" t="s">
        <v>749</v>
      </c>
      <c r="C106" s="685"/>
      <c r="D106" s="685"/>
      <c r="E106" s="715"/>
      <c r="F106" s="715"/>
      <c r="G106" s="715"/>
      <c r="H106" s="715"/>
      <c r="I106" s="715"/>
      <c r="J106" s="715"/>
      <c r="K106" s="716"/>
      <c r="L106" s="717"/>
      <c r="M106" s="718"/>
      <c r="N106" s="2163"/>
      <c r="O106" s="2163"/>
      <c r="P106" s="2213"/>
      <c r="Q106" s="2157"/>
      <c r="R106" s="2144"/>
      <c r="S106" s="2144"/>
      <c r="T106" s="2144"/>
      <c r="U106" s="2144"/>
      <c r="V106" s="2144"/>
      <c r="W106" s="2144"/>
      <c r="X106" s="2144"/>
      <c r="Y106" s="2144"/>
      <c r="Z106" s="2144"/>
      <c r="AA106" s="2144"/>
      <c r="AB106" s="2144"/>
      <c r="AC106" s="2144"/>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2"/>
      <c r="B108" s="670" t="s">
        <v>751</v>
      </c>
      <c r="C108" s="685"/>
      <c r="D108" s="685"/>
      <c r="E108" s="685"/>
      <c r="F108" s="715"/>
      <c r="G108" s="715"/>
      <c r="H108" s="715"/>
      <c r="I108" s="715"/>
      <c r="J108" s="715"/>
      <c r="K108" s="716"/>
      <c r="L108" s="717"/>
      <c r="M108" s="718"/>
      <c r="N108" s="2163"/>
      <c r="O108" s="2163"/>
      <c r="P108" s="2213"/>
      <c r="Q108" s="2157"/>
      <c r="R108" s="2144"/>
      <c r="S108" s="2144"/>
      <c r="T108" s="2144"/>
      <c r="U108" s="2144"/>
      <c r="V108" s="2144"/>
      <c r="W108" s="2144"/>
      <c r="X108" s="2144"/>
      <c r="Y108" s="2144"/>
      <c r="Z108" s="2144"/>
      <c r="AA108" s="2144"/>
      <c r="AB108" s="2144"/>
      <c r="AC108" s="2144"/>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3"/>
      <c r="O110" s="2163"/>
      <c r="P110" s="2213"/>
      <c r="Q110" s="2157"/>
      <c r="R110" s="2144"/>
      <c r="S110" s="2144"/>
      <c r="T110" s="2144"/>
      <c r="U110" s="2144"/>
      <c r="V110" s="2144"/>
      <c r="W110" s="2144"/>
      <c r="X110" s="2144"/>
      <c r="Y110" s="2144"/>
      <c r="Z110" s="2144"/>
      <c r="AA110" s="2144"/>
      <c r="AB110" s="2144"/>
      <c r="AC110" s="2144"/>
    </row>
    <row r="111" spans="1:29">
      <c r="A111" s="732"/>
      <c r="B111" s="678"/>
      <c r="C111" s="891">
        <v>0.5</v>
      </c>
      <c r="D111" s="891">
        <v>0.6</v>
      </c>
      <c r="E111" s="891">
        <v>0.7</v>
      </c>
      <c r="F111" s="891">
        <v>0.8</v>
      </c>
      <c r="G111" s="891">
        <v>0.9</v>
      </c>
      <c r="H111" s="891">
        <v>1.0001</v>
      </c>
      <c r="I111" s="902"/>
      <c r="J111" s="902"/>
      <c r="K111" s="903"/>
      <c r="L111" s="904"/>
      <c r="M111" s="905"/>
      <c r="N111" s="2163"/>
      <c r="O111" s="2163"/>
      <c r="P111" s="2213"/>
      <c r="Q111" s="2157"/>
      <c r="R111" s="2144"/>
      <c r="S111" s="2144"/>
      <c r="T111" s="2144"/>
      <c r="U111" s="2144"/>
      <c r="V111" s="2144"/>
      <c r="W111" s="2144"/>
      <c r="X111" s="2144"/>
      <c r="Y111" s="2144"/>
      <c r="Z111" s="2144"/>
      <c r="AA111" s="2144"/>
      <c r="AB111" s="2144"/>
      <c r="AC111" s="2144"/>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5"/>
      <c r="O112" s="2165"/>
      <c r="P112" s="2213"/>
      <c r="Q112" s="2157"/>
      <c r="R112" s="2144"/>
      <c r="S112" s="2144"/>
      <c r="T112" s="2144"/>
      <c r="U112" s="2144"/>
      <c r="V112" s="2144"/>
      <c r="W112" s="2144"/>
      <c r="X112" s="2144"/>
      <c r="Y112" s="2144"/>
      <c r="Z112" s="2144"/>
      <c r="AA112" s="2144"/>
      <c r="AB112" s="2144"/>
      <c r="AC112" s="2144"/>
    </row>
    <row r="113" spans="1:29" s="1336" customFormat="1" ht="15" thickTop="1">
      <c r="A113" s="725"/>
      <c r="B113" s="670" t="s">
        <v>786</v>
      </c>
      <c r="C113" s="685"/>
      <c r="D113" s="685"/>
      <c r="E113" s="685"/>
      <c r="F113" s="685"/>
      <c r="G113" s="685"/>
      <c r="H113" s="715"/>
      <c r="I113" s="715"/>
      <c r="J113" s="715"/>
      <c r="K113" s="716"/>
      <c r="L113" s="717"/>
      <c r="M113" s="718"/>
      <c r="N113" s="2166"/>
      <c r="O113" s="2166"/>
      <c r="P113" s="2214"/>
      <c r="Q113" s="2168"/>
      <c r="R113" s="2169"/>
      <c r="S113" s="2169"/>
      <c r="T113" s="2169"/>
      <c r="U113" s="2169"/>
      <c r="V113" s="2169"/>
      <c r="W113" s="2169"/>
      <c r="X113" s="2169"/>
      <c r="Y113" s="2169"/>
      <c r="Z113" s="2169"/>
      <c r="AA113" s="2169"/>
      <c r="AB113" s="2169"/>
      <c r="AC113" s="2169"/>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2"/>
      <c r="B115" s="670" t="s">
        <v>753</v>
      </c>
      <c r="C115" s="685"/>
      <c r="D115" s="685"/>
      <c r="E115" s="715"/>
      <c r="F115" s="715"/>
      <c r="G115" s="715"/>
      <c r="H115" s="715"/>
      <c r="I115" s="715"/>
      <c r="J115" s="715"/>
      <c r="K115" s="716"/>
      <c r="L115" s="717"/>
      <c r="M115" s="718"/>
      <c r="N115" s="2163"/>
      <c r="O115" s="2163"/>
      <c r="P115" s="2213"/>
      <c r="Q115" s="2157"/>
      <c r="R115" s="2144"/>
      <c r="S115" s="2144"/>
      <c r="T115" s="2144"/>
      <c r="U115" s="2144"/>
      <c r="V115" s="2144"/>
      <c r="W115" s="2144"/>
      <c r="X115" s="2144"/>
      <c r="Y115" s="2144"/>
      <c r="Z115" s="2144"/>
      <c r="AA115" s="2144"/>
      <c r="AB115" s="2144"/>
      <c r="AC115" s="2144"/>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2"/>
      <c r="B117" s="1895" t="s">
        <v>2559</v>
      </c>
      <c r="C117" s="685"/>
      <c r="D117" s="685"/>
      <c r="E117" s="685"/>
      <c r="F117" s="685"/>
      <c r="G117" s="685"/>
      <c r="H117" s="715"/>
      <c r="I117" s="715"/>
      <c r="J117" s="715"/>
      <c r="K117" s="716"/>
      <c r="L117" s="717"/>
      <c r="M117" s="718"/>
      <c r="N117" s="2163"/>
      <c r="O117" s="2163"/>
      <c r="P117" s="2213"/>
      <c r="Q117" s="2157"/>
      <c r="R117" s="2144"/>
      <c r="S117" s="2144"/>
      <c r="T117" s="2144"/>
      <c r="U117" s="2144"/>
      <c r="V117" s="2144"/>
      <c r="W117" s="2144"/>
      <c r="X117" s="2144"/>
      <c r="Y117" s="2144"/>
      <c r="Z117" s="2144"/>
      <c r="AA117" s="2144"/>
      <c r="AB117" s="2144"/>
      <c r="AC117" s="2144"/>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5"/>
      <c r="O118" s="2165"/>
      <c r="P118" s="2213"/>
      <c r="Q118" s="2157"/>
      <c r="R118" s="2144"/>
      <c r="S118" s="2144"/>
      <c r="T118" s="2144"/>
      <c r="U118" s="2144"/>
      <c r="V118" s="2144"/>
      <c r="W118" s="2144"/>
      <c r="X118" s="2144"/>
      <c r="Y118" s="2144"/>
      <c r="Z118" s="2144"/>
      <c r="AA118" s="2144"/>
      <c r="AB118" s="2144"/>
      <c r="AC118" s="2144"/>
    </row>
    <row r="119" spans="1:29" ht="15" thickTop="1">
      <c r="A119" s="732"/>
      <c r="B119" s="914" t="s">
        <v>787</v>
      </c>
      <c r="C119" s="715"/>
      <c r="D119" s="715"/>
      <c r="E119" s="715"/>
      <c r="F119" s="715"/>
      <c r="G119" s="715"/>
      <c r="H119" s="715"/>
      <c r="I119" s="715"/>
      <c r="J119" s="715"/>
      <c r="K119" s="715"/>
      <c r="L119" s="915"/>
      <c r="M119" s="916"/>
      <c r="N119" s="2165"/>
      <c r="O119" s="2165"/>
      <c r="P119" s="2218"/>
      <c r="Q119" s="2205"/>
      <c r="R119" s="2144"/>
      <c r="S119" s="2144"/>
      <c r="T119" s="2144"/>
      <c r="U119" s="2144"/>
      <c r="V119" s="2144"/>
      <c r="W119" s="2144"/>
      <c r="X119" s="2144"/>
      <c r="Y119" s="2144"/>
      <c r="Z119" s="2144"/>
      <c r="AA119" s="2144"/>
      <c r="AB119" s="2144"/>
      <c r="AC119" s="2144"/>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5"/>
      <c r="O120" s="2165"/>
      <c r="P120" s="2213"/>
      <c r="Q120" s="2157"/>
      <c r="R120" s="2144"/>
      <c r="S120" s="2144"/>
      <c r="T120" s="2144"/>
      <c r="U120" s="2144"/>
      <c r="V120" s="2144"/>
      <c r="W120" s="2144"/>
      <c r="X120" s="2144"/>
      <c r="Y120" s="2144"/>
      <c r="Z120" s="2144"/>
      <c r="AA120" s="2144"/>
      <c r="AB120" s="2144"/>
      <c r="AC120" s="2144"/>
    </row>
    <row r="121" spans="1:29" s="1336" customFormat="1" ht="15" thickTop="1">
      <c r="A121" s="725"/>
      <c r="B121" s="670" t="s">
        <v>775</v>
      </c>
      <c r="C121" s="685"/>
      <c r="D121" s="685"/>
      <c r="E121" s="685"/>
      <c r="F121" s="715"/>
      <c r="G121" s="686"/>
      <c r="H121" s="686"/>
      <c r="I121" s="686"/>
      <c r="J121" s="686"/>
      <c r="K121" s="686"/>
      <c r="L121" s="687"/>
      <c r="M121" s="688"/>
      <c r="N121" s="2166"/>
      <c r="O121" s="2166"/>
      <c r="P121" s="2214"/>
      <c r="Q121" s="2168"/>
      <c r="R121" s="2169"/>
      <c r="S121" s="2169"/>
      <c r="T121" s="2169"/>
      <c r="U121" s="2169"/>
      <c r="V121" s="2169"/>
      <c r="W121" s="2169"/>
      <c r="X121" s="2169"/>
      <c r="Y121" s="2169"/>
      <c r="Z121" s="2169"/>
      <c r="AA121" s="2169"/>
      <c r="AB121" s="2169"/>
      <c r="AC121" s="2169"/>
    </row>
    <row r="122" spans="1:29" s="1336" customFormat="1" ht="15.75" thickBot="1">
      <c r="A122" s="684"/>
      <c r="B122" s="667"/>
      <c r="C122" s="689"/>
      <c r="D122" s="689"/>
      <c r="E122" s="689"/>
      <c r="F122" s="689"/>
      <c r="G122" s="689"/>
      <c r="H122" s="689"/>
      <c r="I122" s="689"/>
      <c r="J122" s="689"/>
      <c r="K122" s="689"/>
      <c r="L122" s="689"/>
      <c r="M122" s="689"/>
      <c r="N122" s="2166"/>
      <c r="O122" s="2166"/>
      <c r="P122" s="2214"/>
      <c r="Q122" s="2168"/>
      <c r="R122" s="2169"/>
      <c r="S122" s="2169"/>
      <c r="T122" s="2169"/>
      <c r="U122" s="2169"/>
      <c r="V122" s="2169"/>
      <c r="W122" s="2169"/>
      <c r="X122" s="2169"/>
      <c r="Y122" s="2169"/>
      <c r="Z122" s="2169"/>
      <c r="AA122" s="2169"/>
      <c r="AB122" s="2169"/>
      <c r="AC122" s="2169"/>
    </row>
    <row r="123" spans="1:29" ht="15" thickTop="1">
      <c r="A123" s="732"/>
      <c r="B123" s="670" t="s">
        <v>755</v>
      </c>
      <c r="C123" s="685"/>
      <c r="D123" s="685"/>
      <c r="E123" s="685"/>
      <c r="F123" s="715"/>
      <c r="G123" s="715"/>
      <c r="H123" s="715"/>
      <c r="I123" s="715"/>
      <c r="J123" s="715"/>
      <c r="K123" s="716"/>
      <c r="L123" s="717"/>
      <c r="M123" s="718"/>
      <c r="N123" s="2163"/>
      <c r="O123" s="2163"/>
      <c r="P123" s="2213"/>
      <c r="Q123" s="2157"/>
      <c r="R123" s="2144"/>
      <c r="S123" s="2144"/>
      <c r="T123" s="2144"/>
      <c r="U123" s="2144"/>
      <c r="V123" s="2144"/>
      <c r="W123" s="2144"/>
      <c r="X123" s="2144"/>
      <c r="Y123" s="2144"/>
      <c r="Z123" s="2144"/>
      <c r="AA123" s="2144"/>
      <c r="AB123" s="2144"/>
      <c r="AC123" s="2144"/>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3"/>
      <c r="O125" s="2163"/>
      <c r="P125" s="2214"/>
      <c r="Q125" s="2157"/>
      <c r="R125" s="2144"/>
      <c r="S125" s="2144"/>
      <c r="T125" s="2144"/>
      <c r="U125" s="2144"/>
      <c r="V125" s="2144"/>
      <c r="W125" s="2144"/>
      <c r="X125" s="2144"/>
      <c r="Y125" s="2144"/>
      <c r="Z125" s="2144"/>
      <c r="AA125" s="2144"/>
      <c r="AB125" s="2144"/>
      <c r="AC125" s="2144"/>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5"/>
      <c r="O126" s="2165"/>
      <c r="P126" s="2213"/>
      <c r="Q126" s="2157"/>
      <c r="R126" s="2144"/>
      <c r="S126" s="2144"/>
      <c r="T126" s="2144"/>
      <c r="U126" s="2144"/>
      <c r="V126" s="2144"/>
      <c r="W126" s="2144"/>
      <c r="X126" s="2144"/>
      <c r="Y126" s="2144"/>
      <c r="Z126" s="2144"/>
      <c r="AA126" s="2144"/>
      <c r="AB126" s="2144"/>
      <c r="AC126" s="2144"/>
    </row>
    <row r="127" spans="1:29" s="1336" customFormat="1" ht="15" thickTop="1">
      <c r="A127" s="725"/>
      <c r="B127" s="670">
        <f>B45</f>
        <v>111</v>
      </c>
      <c r="C127" s="685"/>
      <c r="D127" s="685"/>
      <c r="E127" s="685"/>
      <c r="F127" s="685"/>
      <c r="G127" s="685"/>
      <c r="H127" s="686"/>
      <c r="I127" s="686"/>
      <c r="J127" s="686"/>
      <c r="K127" s="686"/>
      <c r="L127" s="687"/>
      <c r="M127" s="688"/>
      <c r="N127" s="2166"/>
      <c r="O127" s="2166"/>
      <c r="P127" s="2214"/>
      <c r="Q127" s="2168"/>
      <c r="R127" s="2169"/>
      <c r="S127" s="2169"/>
      <c r="T127" s="2169"/>
      <c r="U127" s="2169"/>
      <c r="V127" s="2169"/>
      <c r="W127" s="2169"/>
      <c r="X127" s="2169"/>
      <c r="Y127" s="2169"/>
      <c r="Z127" s="2169"/>
      <c r="AA127" s="2169"/>
      <c r="AB127" s="2169"/>
      <c r="AC127" s="2169"/>
    </row>
    <row r="128" spans="1:29" s="1336" customFormat="1" ht="15.75" thickBot="1">
      <c r="A128" s="684"/>
      <c r="B128" s="675"/>
      <c r="C128" s="689"/>
      <c r="D128" s="668"/>
      <c r="E128" s="668"/>
      <c r="F128" s="668"/>
      <c r="G128" s="689"/>
      <c r="H128" s="690"/>
      <c r="I128" s="690"/>
      <c r="J128" s="690"/>
      <c r="K128" s="690"/>
      <c r="L128" s="690"/>
      <c r="M128" s="691"/>
      <c r="N128" s="2166"/>
      <c r="O128" s="2166"/>
      <c r="P128" s="2214"/>
      <c r="Q128" s="2168"/>
      <c r="R128" s="2169"/>
      <c r="S128" s="2169"/>
      <c r="T128" s="2169"/>
      <c r="U128" s="2169"/>
      <c r="V128" s="2169"/>
      <c r="W128" s="2169"/>
      <c r="X128" s="2169"/>
      <c r="Y128" s="2169"/>
      <c r="Z128" s="2169"/>
      <c r="AA128" s="2169"/>
      <c r="AB128" s="2169"/>
      <c r="AC128" s="2169"/>
    </row>
    <row r="129" spans="1:29" ht="15" thickTop="1">
      <c r="A129" s="732"/>
      <c r="B129" s="670">
        <f>B46</f>
        <v>111</v>
      </c>
      <c r="C129" s="685"/>
      <c r="D129" s="685"/>
      <c r="E129" s="685"/>
      <c r="F129" s="685"/>
      <c r="G129" s="715"/>
      <c r="H129" s="715"/>
      <c r="I129" s="715"/>
      <c r="J129" s="715"/>
      <c r="K129" s="716"/>
      <c r="L129" s="717"/>
      <c r="M129" s="718"/>
      <c r="N129" s="2163"/>
      <c r="O129" s="2163"/>
      <c r="P129" s="2213"/>
      <c r="Q129" s="2157"/>
      <c r="R129" s="2144"/>
      <c r="S129" s="2144"/>
      <c r="T129" s="2144"/>
      <c r="U129" s="2144"/>
      <c r="V129" s="2144"/>
      <c r="W129" s="2144"/>
      <c r="X129" s="2144"/>
      <c r="Y129" s="2144"/>
      <c r="Z129" s="2144"/>
      <c r="AA129" s="2144"/>
      <c r="AB129" s="2144"/>
      <c r="AC129" s="2144"/>
    </row>
    <row r="130" spans="1:29" ht="15.75" thickBot="1">
      <c r="A130" s="666"/>
      <c r="B130" s="675"/>
      <c r="C130" s="689"/>
      <c r="D130" s="689"/>
      <c r="E130" s="689"/>
      <c r="F130" s="689"/>
      <c r="G130" s="668"/>
      <c r="H130" s="668"/>
      <c r="I130" s="668"/>
      <c r="J130" s="668"/>
      <c r="K130" s="668"/>
      <c r="L130" s="668"/>
      <c r="M130" s="669"/>
      <c r="N130" s="2165"/>
      <c r="O130" s="2165"/>
      <c r="P130" s="2213"/>
      <c r="Q130" s="2157"/>
      <c r="R130" s="2144"/>
      <c r="S130" s="2144"/>
      <c r="T130" s="2144"/>
      <c r="U130" s="2144"/>
      <c r="V130" s="2144"/>
      <c r="W130" s="2144"/>
      <c r="X130" s="2144"/>
      <c r="Y130" s="2144"/>
      <c r="Z130" s="2144"/>
      <c r="AA130" s="2144"/>
      <c r="AB130" s="2144"/>
      <c r="AC130" s="2144"/>
    </row>
    <row r="131" spans="1:29" ht="15" thickTop="1">
      <c r="A131" s="732"/>
      <c r="B131" s="678">
        <f>B47</f>
        <v>111</v>
      </c>
      <c r="C131" s="658"/>
      <c r="D131" s="658"/>
      <c r="E131" s="658"/>
      <c r="F131" s="658"/>
      <c r="G131" s="719"/>
      <c r="H131" s="719"/>
      <c r="I131" s="719"/>
      <c r="J131" s="719"/>
      <c r="K131" s="658"/>
      <c r="L131" s="659"/>
      <c r="M131" s="722"/>
      <c r="N131" s="2163"/>
      <c r="O131" s="2163"/>
      <c r="P131" s="2213"/>
      <c r="Q131" s="2157"/>
      <c r="R131" s="2144"/>
      <c r="S131" s="2144"/>
      <c r="T131" s="2144"/>
      <c r="U131" s="2144"/>
      <c r="V131" s="2144"/>
      <c r="W131" s="2144"/>
      <c r="X131" s="2144"/>
      <c r="Y131" s="2144"/>
      <c r="Z131" s="2144"/>
      <c r="AA131" s="2144"/>
      <c r="AB131" s="2144"/>
      <c r="AC131" s="2144"/>
    </row>
    <row r="132" spans="1:29" ht="15.75" thickBot="1">
      <c r="A132" s="890"/>
      <c r="B132" s="696"/>
      <c r="C132" s="697"/>
      <c r="D132" s="697"/>
      <c r="E132" s="697"/>
      <c r="F132" s="697"/>
      <c r="G132" s="723"/>
      <c r="H132" s="723"/>
      <c r="I132" s="723"/>
      <c r="J132" s="723"/>
      <c r="K132" s="723"/>
      <c r="L132" s="723"/>
      <c r="M132" s="724"/>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425"/>
    </row>
    <row r="2" spans="1:29" s="1333" customFormat="1" ht="28.5" customHeight="1">
      <c r="A2" s="420" t="s">
        <v>467</v>
      </c>
      <c r="B2" s="847"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5"/>
    </row>
    <row r="3" spans="1:29" s="1333" customFormat="1" ht="28.5" customHeight="1" thickBot="1">
      <c r="A3" s="506" t="s">
        <v>519</v>
      </c>
      <c r="B3" s="507" t="e">
        <f>C43</f>
        <v>#DIV/0!</v>
      </c>
      <c r="C3" s="849" t="s">
        <v>722</v>
      </c>
      <c r="D3" s="848">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521</v>
      </c>
      <c r="B4" s="510"/>
      <c r="C4" s="3468" t="s">
        <v>522</v>
      </c>
      <c r="D4" s="3469"/>
      <c r="E4" s="3502" t="s">
        <v>523</v>
      </c>
      <c r="F4" s="3503"/>
      <c r="G4" s="3468" t="s">
        <v>524</v>
      </c>
      <c r="H4" s="3469"/>
      <c r="I4" s="3468" t="s">
        <v>525</v>
      </c>
      <c r="J4" s="3469"/>
      <c r="K4" s="511" t="s">
        <v>526</v>
      </c>
      <c r="L4" s="2132"/>
      <c r="M4" s="2133"/>
      <c r="N4" s="2133"/>
      <c r="O4" s="2133"/>
      <c r="P4" s="3470" t="s">
        <v>527</v>
      </c>
      <c r="Q4" s="3471"/>
      <c r="R4" s="3476" t="s">
        <v>523</v>
      </c>
      <c r="S4" s="3477"/>
      <c r="T4" s="3476" t="s">
        <v>524</v>
      </c>
      <c r="U4" s="3477"/>
      <c r="V4" s="3463" t="s">
        <v>525</v>
      </c>
      <c r="W4" s="3463"/>
      <c r="X4" s="1565"/>
      <c r="Y4" s="3476" t="s">
        <v>527</v>
      </c>
      <c r="Z4" s="3477"/>
      <c r="AA4" s="3465" t="s">
        <v>523</v>
      </c>
      <c r="AB4" s="3466" t="s">
        <v>524</v>
      </c>
      <c r="AC4" s="3465" t="s">
        <v>525</v>
      </c>
    </row>
    <row r="5" spans="1:29" ht="15">
      <c r="A5" s="512"/>
      <c r="B5" s="513"/>
      <c r="C5" s="3484" t="s">
        <v>2933</v>
      </c>
      <c r="D5" s="3485"/>
      <c r="E5" s="3504" t="s">
        <v>2934</v>
      </c>
      <c r="F5" s="3505"/>
      <c r="G5" s="3484" t="s">
        <v>2935</v>
      </c>
      <c r="H5" s="3485"/>
      <c r="I5" s="3484" t="s">
        <v>2936</v>
      </c>
      <c r="J5" s="3485"/>
      <c r="K5" s="511"/>
      <c r="L5" s="2132"/>
      <c r="M5" s="2133"/>
      <c r="N5" s="2133"/>
      <c r="O5" s="2133"/>
      <c r="P5" s="3472"/>
      <c r="Q5" s="3473"/>
      <c r="R5" s="3478"/>
      <c r="S5" s="3479"/>
      <c r="T5" s="3478"/>
      <c r="U5" s="3479"/>
      <c r="V5" s="3463"/>
      <c r="W5" s="3463"/>
      <c r="X5" s="1565"/>
      <c r="Y5" s="3478"/>
      <c r="Z5" s="3479"/>
      <c r="AA5" s="3466"/>
      <c r="AB5" s="3466"/>
      <c r="AC5" s="3466"/>
    </row>
    <row r="6" spans="1:29" ht="15.75" thickBot="1">
      <c r="A6" s="514"/>
      <c r="B6" s="515"/>
      <c r="C6" s="3482" t="s">
        <v>2937</v>
      </c>
      <c r="D6" s="3483"/>
      <c r="E6" s="3500" t="s">
        <v>2937</v>
      </c>
      <c r="F6" s="3501"/>
      <c r="G6" s="3482" t="s">
        <v>2937</v>
      </c>
      <c r="H6" s="3483"/>
      <c r="I6" s="3482" t="s">
        <v>2937</v>
      </c>
      <c r="J6" s="3483"/>
      <c r="K6" s="511" t="s">
        <v>528</v>
      </c>
      <c r="L6" s="2132"/>
      <c r="M6" s="2133"/>
      <c r="N6" s="2133"/>
      <c r="O6" s="2133"/>
      <c r="P6" s="3474"/>
      <c r="Q6" s="3475"/>
      <c r="R6" s="3478"/>
      <c r="S6" s="3479"/>
      <c r="T6" s="3480"/>
      <c r="U6" s="3481"/>
      <c r="V6" s="3463"/>
      <c r="W6" s="3463"/>
      <c r="X6" s="1565"/>
      <c r="Y6" s="3480"/>
      <c r="Z6" s="3481"/>
      <c r="AA6" s="3467"/>
      <c r="AB6" s="3467"/>
      <c r="AC6" s="3467"/>
    </row>
    <row r="7" spans="1:29" s="1217" customFormat="1" ht="15.75" thickBot="1">
      <c r="A7" s="2909"/>
      <c r="B7" s="2916" t="s">
        <v>529</v>
      </c>
      <c r="C7" s="516">
        <f>'数据-取费表'!B2</f>
        <v>43650</v>
      </c>
      <c r="D7" s="517">
        <v>100</v>
      </c>
      <c r="E7" s="518"/>
      <c r="F7" s="519">
        <f>SUMIF(52:52,YEAR(E7)&amp;"-"&amp;MONTH(E7),53:53)</f>
        <v>0</v>
      </c>
      <c r="G7" s="518"/>
      <c r="H7" s="517">
        <f>SUMIF(52:52,YEAR(G7)&amp;"-"&amp;MONTH(G7),53:53)</f>
        <v>0</v>
      </c>
      <c r="I7" s="518"/>
      <c r="J7" s="517">
        <f>SUMIF(52:52,YEAR(I7)&amp;"-"&amp;MONTH(I7),53:53)</f>
        <v>0</v>
      </c>
      <c r="K7" s="521"/>
      <c r="L7" s="2134"/>
      <c r="M7" s="2135"/>
      <c r="N7" s="2135"/>
      <c r="O7" s="2135"/>
      <c r="P7" s="3493" t="s">
        <v>530</v>
      </c>
      <c r="Q7" s="3495"/>
      <c r="R7" s="1566" t="s">
        <v>8</v>
      </c>
      <c r="S7" s="1567">
        <f t="shared" ref="S7:S15" si="0">F7</f>
        <v>0</v>
      </c>
      <c r="T7" s="1566" t="s">
        <v>8</v>
      </c>
      <c r="U7" s="1567">
        <f t="shared" ref="U7:U15" si="1">H7</f>
        <v>0</v>
      </c>
      <c r="V7" s="1566" t="s">
        <v>8</v>
      </c>
      <c r="W7" s="1567">
        <f t="shared" ref="W7:W15"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522"/>
      <c r="F8" s="519">
        <f>SUMIF(55:55,E8,56:56)-SUMIF(55:55,C8,56:56)+100</f>
        <v>0</v>
      </c>
      <c r="G8" s="522"/>
      <c r="H8" s="517">
        <f>SUMIF(55:55,G8,56:56)-SUMIF(55:55,C8,56:56)+100</f>
        <v>0</v>
      </c>
      <c r="I8" s="522"/>
      <c r="J8" s="517">
        <f>SUMIF(55:55,I8,56:56)-SUMIF(55:55,C8,56:56)+100</f>
        <v>0</v>
      </c>
      <c r="K8" s="521"/>
      <c r="L8" s="2134"/>
      <c r="M8" s="2135"/>
      <c r="N8" s="2135"/>
      <c r="O8" s="2135"/>
      <c r="P8" s="3493" t="s">
        <v>533</v>
      </c>
      <c r="Q8" s="3494"/>
      <c r="R8" s="1566" t="s">
        <v>8</v>
      </c>
      <c r="S8" s="1567">
        <f t="shared" si="0"/>
        <v>0</v>
      </c>
      <c r="T8" s="1566" t="s">
        <v>8</v>
      </c>
      <c r="U8" s="1567">
        <f t="shared" si="1"/>
        <v>0</v>
      </c>
      <c r="V8" s="1566" t="s">
        <v>8</v>
      </c>
      <c r="W8" s="1567">
        <f t="shared" si="2"/>
        <v>0</v>
      </c>
      <c r="X8" s="1568"/>
      <c r="Y8" s="3493" t="s">
        <v>533</v>
      </c>
      <c r="Z8" s="3494"/>
      <c r="AA8" s="1569" t="e">
        <f t="shared" ref="AA8:AA40" si="3">D8/F8</f>
        <v>#DIV/0!</v>
      </c>
      <c r="AB8" s="1569" t="e">
        <f t="shared" ref="AB8:AB40" si="4">D8/H8</f>
        <v>#DIV/0!</v>
      </c>
      <c r="AC8" s="1569" t="e">
        <f t="shared" ref="AC8:AC40" si="5">D8/J8</f>
        <v>#DIV/0!</v>
      </c>
    </row>
    <row r="9" spans="1:29" s="1217" customFormat="1" ht="15">
      <c r="A9" s="2911"/>
      <c r="B9" s="2918" t="s">
        <v>2759</v>
      </c>
      <c r="C9" s="854"/>
      <c r="D9" s="254">
        <v>100</v>
      </c>
      <c r="E9" s="857"/>
      <c r="F9" s="254">
        <f>SUMIF(57:57,E9,58:58)-SUMIF(57:57,C9,58:58)+100</f>
        <v>100</v>
      </c>
      <c r="G9" s="855"/>
      <c r="H9" s="254">
        <f>SUMIF(57:57,G9,58:58)-SUMIF(57:57,C9,58:58)+100</f>
        <v>100</v>
      </c>
      <c r="I9" s="855"/>
      <c r="J9" s="254">
        <f>SUMIF(57:57,I9,58:58)-SUMIF(57:57,C9,58:58)+100</f>
        <v>100</v>
      </c>
      <c r="K9" s="521"/>
      <c r="L9" s="2134"/>
      <c r="M9" s="2135"/>
      <c r="N9" s="2135"/>
      <c r="O9" s="2136"/>
      <c r="P9" s="3462" t="s">
        <v>535</v>
      </c>
      <c r="Q9" s="1148" t="str">
        <f t="shared" ref="Q9:Q15" si="6">B9</f>
        <v>用途</v>
      </c>
      <c r="R9" s="1566" t="s">
        <v>8</v>
      </c>
      <c r="S9" s="1567">
        <f t="shared" si="0"/>
        <v>100</v>
      </c>
      <c r="T9" s="1566" t="s">
        <v>8</v>
      </c>
      <c r="U9" s="1567">
        <f t="shared" si="1"/>
        <v>100</v>
      </c>
      <c r="V9" s="1566" t="s">
        <v>8</v>
      </c>
      <c r="W9" s="1567">
        <f t="shared" si="2"/>
        <v>100</v>
      </c>
      <c r="X9" s="1568"/>
      <c r="Y9" s="3383"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SUMIF(59:59,E10,60:60)-SUMIF(59:59,C10,60:60)+100</f>
        <v>100</v>
      </c>
      <c r="G10" s="859"/>
      <c r="H10" s="255">
        <f>SUMIF(59:59,G10,60:60)-SUMIF(59:59,C10,60:60)+100</f>
        <v>100</v>
      </c>
      <c r="I10" s="858"/>
      <c r="J10" s="255">
        <f>SUMIF(59:59,I10,60:60)-SUMIF(59:59,C10,60:60)+100</f>
        <v>100</v>
      </c>
      <c r="K10" s="581"/>
      <c r="L10" s="2137"/>
      <c r="M10" s="2177"/>
      <c r="N10" s="2177"/>
      <c r="O10" s="2138"/>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LOOKUP(E11,62:62,63:63)-LOOKUP(C11,62:62,63:63)+100</f>
        <v>#N/A</v>
      </c>
      <c r="G11" s="531"/>
      <c r="H11" s="255" t="e">
        <f>LOOKUP(G11,62:62,63:63)-LOOKUP(C11,62:62,63:63)+100</f>
        <v>#N/A</v>
      </c>
      <c r="I11" s="530"/>
      <c r="J11" s="255" t="e">
        <f>LOOKUP(I11,62:62,63:63)-LOOKUP(C11,62:62,63:63)+100</f>
        <v>#N/A</v>
      </c>
      <c r="K11" s="581"/>
      <c r="L11" s="2139"/>
      <c r="M11" s="2133"/>
      <c r="N11" s="2133"/>
      <c r="O11" s="2140"/>
      <c r="P11" s="3462"/>
      <c r="Q11" s="1148" t="str">
        <f t="shared" si="6"/>
        <v>容积率</v>
      </c>
      <c r="R11" s="1566" t="s">
        <v>8</v>
      </c>
      <c r="S11" s="1567" t="e">
        <f t="shared" si="0"/>
        <v>#N/A</v>
      </c>
      <c r="T11" s="1566" t="s">
        <v>8</v>
      </c>
      <c r="U11" s="1567" t="e">
        <f t="shared" si="1"/>
        <v>#N/A</v>
      </c>
      <c r="V11" s="1566" t="s">
        <v>8</v>
      </c>
      <c r="W11" s="1567" t="e">
        <f t="shared" si="2"/>
        <v>#N/A</v>
      </c>
      <c r="X11" s="1568"/>
      <c r="Y11" s="3383"/>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36"/>
      <c r="F12" s="255">
        <f>SUMIF(64:64,E12,65:65)-SUMIF(64:64,C12,65:65)+100</f>
        <v>100</v>
      </c>
      <c r="G12" s="917"/>
      <c r="H12" s="255">
        <f>SUMIF(64:64,G12,65:65)-SUMIF(64:64,C12,65:65)+100</f>
        <v>100</v>
      </c>
      <c r="I12" s="877"/>
      <c r="J12" s="255">
        <f>SUMIF(64:64,I12,65:65)-SUMIF(64:64,C12,65:65)+100</f>
        <v>100</v>
      </c>
      <c r="K12" s="578"/>
      <c r="L12" s="2134"/>
      <c r="M12" s="2135"/>
      <c r="N12" s="2135"/>
      <c r="O12" s="2136"/>
      <c r="P12" s="3462"/>
      <c r="Q12" s="1148">
        <f t="shared" si="6"/>
        <v>111</v>
      </c>
      <c r="R12" s="1566" t="s">
        <v>8</v>
      </c>
      <c r="S12" s="1567">
        <f t="shared" si="0"/>
        <v>100</v>
      </c>
      <c r="T12" s="1566" t="s">
        <v>8</v>
      </c>
      <c r="U12" s="1567">
        <f t="shared" si="1"/>
        <v>100</v>
      </c>
      <c r="V12" s="1566" t="s">
        <v>8</v>
      </c>
      <c r="W12" s="1567">
        <f t="shared" si="2"/>
        <v>100</v>
      </c>
      <c r="X12" s="1568"/>
      <c r="Y12" s="3383"/>
      <c r="Z12" s="1147">
        <f t="shared" si="7"/>
        <v>111</v>
      </c>
      <c r="AA12" s="1569">
        <f>D12/F12</f>
        <v>1</v>
      </c>
      <c r="AB12" s="1569">
        <f>D12/H12</f>
        <v>1</v>
      </c>
      <c r="AC12" s="1569">
        <f>D12/J12</f>
        <v>1</v>
      </c>
    </row>
    <row r="13" spans="1:29" ht="15">
      <c r="A13" s="2914"/>
      <c r="B13" s="2920">
        <v>111</v>
      </c>
      <c r="C13" s="536"/>
      <c r="D13" s="537">
        <v>100</v>
      </c>
      <c r="E13" s="536"/>
      <c r="F13" s="255">
        <f>SUMIF(66:66,E13,67:67)-SUMIF(66:66,C13,67:67)+100</f>
        <v>100</v>
      </c>
      <c r="G13" s="917"/>
      <c r="H13" s="537">
        <f>SUMIF(66:66,G13,67:67)-SUMIF(66:66,C13,67:67)+100</f>
        <v>100</v>
      </c>
      <c r="I13" s="877"/>
      <c r="J13" s="537">
        <f>SUMIF(66:66,I13,67:67)-SUMIF(66:66,C13,67:67)+100</f>
        <v>100</v>
      </c>
      <c r="K13" s="578"/>
      <c r="L13" s="2141"/>
      <c r="M13" s="2133"/>
      <c r="N13" s="2133"/>
      <c r="O13" s="2140"/>
      <c r="P13" s="3462"/>
      <c r="Q13" s="1148">
        <f t="shared" si="6"/>
        <v>111</v>
      </c>
      <c r="R13" s="1566" t="s">
        <v>8</v>
      </c>
      <c r="S13" s="1567">
        <f t="shared" si="0"/>
        <v>100</v>
      </c>
      <c r="T13" s="1566" t="s">
        <v>8</v>
      </c>
      <c r="U13" s="1567">
        <f t="shared" si="1"/>
        <v>100</v>
      </c>
      <c r="V13" s="1566" t="s">
        <v>8</v>
      </c>
      <c r="W13" s="1567">
        <f t="shared" si="2"/>
        <v>100</v>
      </c>
      <c r="X13" s="1568"/>
      <c r="Y13" s="3383"/>
      <c r="Z13" s="1147">
        <f t="shared" si="7"/>
        <v>111</v>
      </c>
      <c r="AA13" s="1569">
        <f t="shared" si="3"/>
        <v>1</v>
      </c>
      <c r="AB13" s="1569">
        <f t="shared" si="4"/>
        <v>1</v>
      </c>
      <c r="AC13" s="1569">
        <f t="shared" si="5"/>
        <v>1</v>
      </c>
    </row>
    <row r="14" spans="1:29" ht="15.75" thickBot="1">
      <c r="A14" s="2915"/>
      <c r="B14" s="2921">
        <v>111</v>
      </c>
      <c r="C14" s="542"/>
      <c r="D14" s="543">
        <v>100</v>
      </c>
      <c r="E14" s="542"/>
      <c r="F14" s="543">
        <f>SUMIF(68:68,E14,69:69)-SUMIF(68:68,C14,69:69)+100</f>
        <v>100</v>
      </c>
      <c r="G14" s="917"/>
      <c r="H14" s="543">
        <f>SUMIF(68:68,G14,69:69)-SUMIF(68:68,C14,69:69)+100</f>
        <v>100</v>
      </c>
      <c r="I14" s="877"/>
      <c r="J14" s="543">
        <f>SUMIF(68:68,I14,69:69)-SUMIF(68:68,C14,69:69)+100</f>
        <v>100</v>
      </c>
      <c r="K14" s="578"/>
      <c r="L14" s="2141"/>
      <c r="M14" s="2133"/>
      <c r="N14" s="2133"/>
      <c r="O14" s="2140"/>
      <c r="P14" s="3462"/>
      <c r="Q14" s="1148">
        <f t="shared" si="6"/>
        <v>111</v>
      </c>
      <c r="R14" s="1566" t="s">
        <v>8</v>
      </c>
      <c r="S14" s="1567">
        <f t="shared" si="0"/>
        <v>100</v>
      </c>
      <c r="T14" s="1566" t="s">
        <v>8</v>
      </c>
      <c r="U14" s="1567">
        <f t="shared" si="1"/>
        <v>100</v>
      </c>
      <c r="V14" s="1566" t="s">
        <v>8</v>
      </c>
      <c r="W14" s="1567">
        <f t="shared" si="2"/>
        <v>100</v>
      </c>
      <c r="X14" s="1568"/>
      <c r="Y14" s="3383"/>
      <c r="Z14" s="1147">
        <f t="shared" si="7"/>
        <v>111</v>
      </c>
      <c r="AA14" s="1569">
        <f t="shared" si="3"/>
        <v>1</v>
      </c>
      <c r="AB14" s="1569">
        <f t="shared" si="4"/>
        <v>1</v>
      </c>
      <c r="AC14" s="1569">
        <f t="shared" si="5"/>
        <v>1</v>
      </c>
    </row>
    <row r="15" spans="1:29" ht="57">
      <c r="A15" s="2907" t="s">
        <v>2757</v>
      </c>
      <c r="B15" s="166"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41"/>
      <c r="M15" s="2133"/>
      <c r="N15" s="2133"/>
      <c r="O15" s="2140"/>
      <c r="P15" s="3496" t="s">
        <v>540</v>
      </c>
      <c r="Q15" s="1570" t="str">
        <f t="shared" si="6"/>
        <v>产业集聚程度</v>
      </c>
      <c r="R15" s="1571" t="s">
        <v>8</v>
      </c>
      <c r="S15" s="1572">
        <f t="shared" si="0"/>
        <v>100</v>
      </c>
      <c r="T15" s="1571" t="s">
        <v>8</v>
      </c>
      <c r="U15" s="1572">
        <f t="shared" si="1"/>
        <v>100</v>
      </c>
      <c r="V15" s="1571" t="s">
        <v>8</v>
      </c>
      <c r="W15" s="1572">
        <f t="shared" si="2"/>
        <v>100</v>
      </c>
      <c r="X15" s="1565"/>
      <c r="Y15" s="3496" t="s">
        <v>540</v>
      </c>
      <c r="Z15" s="1573" t="str">
        <f t="shared" si="7"/>
        <v>产业集聚程度</v>
      </c>
      <c r="AA15" s="1574">
        <f t="shared" si="3"/>
        <v>1</v>
      </c>
      <c r="AB15" s="1574">
        <f t="shared" si="4"/>
        <v>1</v>
      </c>
      <c r="AC15" s="1574">
        <f t="shared" si="5"/>
        <v>1</v>
      </c>
    </row>
    <row r="16" spans="1:29" ht="15">
      <c r="A16" s="529"/>
      <c r="B16" s="866"/>
      <c r="C16" s="573"/>
      <c r="D16" s="552"/>
      <c r="E16" s="573"/>
      <c r="F16" s="554"/>
      <c r="G16" s="573"/>
      <c r="H16" s="556"/>
      <c r="I16" s="573"/>
      <c r="J16" s="552"/>
      <c r="K16" s="896"/>
      <c r="L16" s="2141"/>
      <c r="M16" s="2133"/>
      <c r="N16" s="2133"/>
      <c r="O16" s="2140"/>
      <c r="P16" s="3497"/>
      <c r="Q16" s="1570"/>
      <c r="R16" s="1571"/>
      <c r="S16" s="1572"/>
      <c r="T16" s="1571"/>
      <c r="U16" s="1572"/>
      <c r="V16" s="1571"/>
      <c r="W16" s="1572"/>
      <c r="X16" s="1565"/>
      <c r="Y16" s="3497"/>
      <c r="Z16" s="1573"/>
      <c r="AA16" s="1574">
        <v>1</v>
      </c>
      <c r="AB16" s="1574">
        <v>1</v>
      </c>
      <c r="AC16" s="1574">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41"/>
      <c r="M17" s="2133"/>
      <c r="N17" s="2133"/>
      <c r="O17" s="2140"/>
      <c r="P17" s="3497"/>
      <c r="Q17" s="1570" t="str">
        <f>B17</f>
        <v>交通便捷度</v>
      </c>
      <c r="R17" s="1571" t="s">
        <v>8</v>
      </c>
      <c r="S17" s="1572">
        <f>F17</f>
        <v>100</v>
      </c>
      <c r="T17" s="1571" t="s">
        <v>8</v>
      </c>
      <c r="U17" s="1572">
        <f>H17</f>
        <v>100</v>
      </c>
      <c r="V17" s="1571" t="s">
        <v>8</v>
      </c>
      <c r="W17" s="1572">
        <f>J17</f>
        <v>100</v>
      </c>
      <c r="X17" s="1565"/>
      <c r="Y17" s="3497"/>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1"/>
      <c r="M18" s="2133"/>
      <c r="N18" s="2133"/>
      <c r="O18" s="2140"/>
      <c r="P18" s="3497"/>
      <c r="Q18" s="1570"/>
      <c r="R18" s="1571"/>
      <c r="S18" s="1572"/>
      <c r="T18" s="1571"/>
      <c r="U18" s="1572"/>
      <c r="V18" s="1571"/>
      <c r="W18" s="1572"/>
      <c r="X18" s="1565"/>
      <c r="Y18" s="3497"/>
      <c r="Z18" s="1573"/>
      <c r="AA18" s="1574">
        <v>1</v>
      </c>
      <c r="AB18" s="1574">
        <v>1</v>
      </c>
      <c r="AC18" s="1574">
        <v>1</v>
      </c>
    </row>
    <row r="19" spans="1:29" ht="42.75">
      <c r="A19" s="529"/>
      <c r="B19" s="2602" t="s">
        <v>2549</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41"/>
      <c r="M19" s="2133"/>
      <c r="N19" s="2133"/>
      <c r="O19" s="2140"/>
      <c r="P19" s="3497"/>
      <c r="Q19" s="1570" t="str">
        <f>B19</f>
        <v>公共配套设施</v>
      </c>
      <c r="R19" s="1571" t="s">
        <v>8</v>
      </c>
      <c r="S19" s="1572">
        <f>F19</f>
        <v>100</v>
      </c>
      <c r="T19" s="1571" t="s">
        <v>8</v>
      </c>
      <c r="U19" s="1572">
        <f>H19</f>
        <v>100</v>
      </c>
      <c r="V19" s="1571" t="s">
        <v>8</v>
      </c>
      <c r="W19" s="1572">
        <f>J19</f>
        <v>100</v>
      </c>
      <c r="X19" s="1565"/>
      <c r="Y19" s="3497"/>
      <c r="Z19" s="1573" t="str">
        <f>Q19</f>
        <v>公共配套设施</v>
      </c>
      <c r="AA19" s="1574">
        <f t="shared" si="3"/>
        <v>1</v>
      </c>
      <c r="AB19" s="1574">
        <f t="shared" si="4"/>
        <v>1</v>
      </c>
      <c r="AC19" s="1574">
        <f t="shared" si="5"/>
        <v>1</v>
      </c>
    </row>
    <row r="20" spans="1:29" ht="15">
      <c r="A20" s="529"/>
      <c r="B20" s="563"/>
      <c r="C20" s="573"/>
      <c r="D20" s="552"/>
      <c r="E20" s="553"/>
      <c r="F20" s="554"/>
      <c r="G20" s="555"/>
      <c r="H20" s="552"/>
      <c r="I20" s="553"/>
      <c r="J20" s="552"/>
      <c r="K20" s="896"/>
      <c r="L20" s="2141"/>
      <c r="M20" s="2133"/>
      <c r="N20" s="2133"/>
      <c r="O20" s="2140"/>
      <c r="P20" s="3497"/>
      <c r="Q20" s="1570"/>
      <c r="R20" s="1571"/>
      <c r="S20" s="1572"/>
      <c r="T20" s="1571"/>
      <c r="U20" s="1572"/>
      <c r="V20" s="1571"/>
      <c r="W20" s="1572"/>
      <c r="X20" s="1565"/>
      <c r="Y20" s="3497"/>
      <c r="Z20" s="1573"/>
      <c r="AA20" s="1574">
        <v>1</v>
      </c>
      <c r="AB20" s="1574">
        <v>1</v>
      </c>
      <c r="AC20" s="1574">
        <v>1</v>
      </c>
    </row>
    <row r="21" spans="1:29" ht="28.5">
      <c r="A21" s="529"/>
      <c r="B21" s="2590" t="s">
        <v>2561</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41"/>
      <c r="M21" s="2133"/>
      <c r="N21" s="2133"/>
      <c r="O21" s="2140"/>
      <c r="P21" s="3497"/>
      <c r="Q21" s="2578" t="str">
        <f>B21</f>
        <v>基础设施水平</v>
      </c>
      <c r="R21" s="1571" t="s">
        <v>8</v>
      </c>
      <c r="S21" s="1572">
        <f>F21</f>
        <v>100</v>
      </c>
      <c r="T21" s="1571" t="s">
        <v>8</v>
      </c>
      <c r="U21" s="1572">
        <f>H21</f>
        <v>100</v>
      </c>
      <c r="V21" s="1571" t="s">
        <v>8</v>
      </c>
      <c r="W21" s="1572">
        <f>J21</f>
        <v>100</v>
      </c>
      <c r="X21" s="2580"/>
      <c r="Y21" s="3497"/>
      <c r="Z21" s="2579" t="str">
        <f>Q21</f>
        <v>基础设施水平</v>
      </c>
      <c r="AA21" s="1574">
        <f t="shared" ref="AA21" si="8">D21/F21</f>
        <v>1</v>
      </c>
      <c r="AB21" s="1574">
        <f t="shared" ref="AB21" si="9">D21/H21</f>
        <v>1</v>
      </c>
      <c r="AC21" s="1574">
        <f t="shared" ref="AC21" si="10">D21/J21</f>
        <v>1</v>
      </c>
    </row>
    <row r="22" spans="1:29" ht="15">
      <c r="A22" s="529"/>
      <c r="B22" s="575"/>
      <c r="C22" s="870"/>
      <c r="D22" s="552"/>
      <c r="E22" s="573"/>
      <c r="F22" s="554"/>
      <c r="G22" s="573"/>
      <c r="H22" s="552"/>
      <c r="I22" s="573"/>
      <c r="J22" s="552"/>
      <c r="K22" s="2601"/>
      <c r="L22" s="2141"/>
      <c r="M22" s="2133"/>
      <c r="N22" s="2133"/>
      <c r="O22" s="2140"/>
      <c r="P22" s="3497"/>
      <c r="Q22" s="2578"/>
      <c r="R22" s="1571"/>
      <c r="S22" s="1572"/>
      <c r="T22" s="1571"/>
      <c r="U22" s="1572"/>
      <c r="V22" s="1571"/>
      <c r="W22" s="1572"/>
      <c r="X22" s="2580"/>
      <c r="Y22" s="3497"/>
      <c r="Z22" s="2579"/>
      <c r="AA22" s="1574">
        <v>1</v>
      </c>
      <c r="AB22" s="1574">
        <v>1</v>
      </c>
      <c r="AC22" s="1574">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41"/>
      <c r="M23" s="2133"/>
      <c r="N23" s="2133"/>
      <c r="O23" s="2140"/>
      <c r="P23" s="3497"/>
      <c r="Q23" s="1570" t="str">
        <f>B23</f>
        <v>环境质量</v>
      </c>
      <c r="R23" s="1571" t="s">
        <v>8</v>
      </c>
      <c r="S23" s="1572">
        <f>F23</f>
        <v>100</v>
      </c>
      <c r="T23" s="1571" t="s">
        <v>8</v>
      </c>
      <c r="U23" s="1572">
        <f>H23</f>
        <v>100</v>
      </c>
      <c r="V23" s="1571" t="s">
        <v>8</v>
      </c>
      <c r="W23" s="1572">
        <f>J23</f>
        <v>100</v>
      </c>
      <c r="X23" s="1565"/>
      <c r="Y23" s="3497"/>
      <c r="Z23" s="1573" t="str">
        <f>Q23</f>
        <v>环境质量</v>
      </c>
      <c r="AA23" s="1574">
        <f t="shared" si="3"/>
        <v>1</v>
      </c>
      <c r="AB23" s="1574">
        <f t="shared" si="4"/>
        <v>1</v>
      </c>
      <c r="AC23" s="1574">
        <f t="shared" si="5"/>
        <v>1</v>
      </c>
    </row>
    <row r="24" spans="1:29" ht="15">
      <c r="A24" s="529"/>
      <c r="B24" s="919"/>
      <c r="C24" s="573"/>
      <c r="D24" s="552"/>
      <c r="E24" s="553"/>
      <c r="F24" s="554"/>
      <c r="G24" s="555"/>
      <c r="H24" s="552"/>
      <c r="I24" s="553"/>
      <c r="J24" s="552"/>
      <c r="K24" s="896"/>
      <c r="L24" s="2141"/>
      <c r="M24" s="2133"/>
      <c r="N24" s="2133"/>
      <c r="O24" s="2140"/>
      <c r="P24" s="3497"/>
      <c r="Q24" s="1570"/>
      <c r="R24" s="1571"/>
      <c r="S24" s="1572"/>
      <c r="T24" s="1571"/>
      <c r="U24" s="1572"/>
      <c r="V24" s="1571"/>
      <c r="W24" s="1572"/>
      <c r="X24" s="1565"/>
      <c r="Y24" s="3497"/>
      <c r="Z24" s="1573"/>
      <c r="AA24" s="1574">
        <v>1</v>
      </c>
      <c r="AB24" s="1574">
        <v>1</v>
      </c>
      <c r="AC24" s="1574">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1"/>
      <c r="M25" s="2133"/>
      <c r="N25" s="2133"/>
      <c r="O25" s="2140"/>
      <c r="P25" s="3497"/>
      <c r="Q25" s="1570">
        <f>B25</f>
        <v>111</v>
      </c>
      <c r="R25" s="1571" t="s">
        <v>8</v>
      </c>
      <c r="S25" s="1572">
        <f>F25</f>
        <v>100</v>
      </c>
      <c r="T25" s="1571" t="s">
        <v>8</v>
      </c>
      <c r="U25" s="1572">
        <f>H25</f>
        <v>100</v>
      </c>
      <c r="V25" s="1571" t="s">
        <v>8</v>
      </c>
      <c r="W25" s="1572">
        <f>J25</f>
        <v>100</v>
      </c>
      <c r="X25" s="1565"/>
      <c r="Y25" s="3497"/>
      <c r="Z25" s="1573">
        <f>Q25</f>
        <v>111</v>
      </c>
      <c r="AA25" s="1574">
        <f t="shared" si="3"/>
        <v>1</v>
      </c>
      <c r="AB25" s="1574">
        <f t="shared" si="4"/>
        <v>1</v>
      </c>
      <c r="AC25" s="1574">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1"/>
      <c r="M26" s="2133"/>
      <c r="N26" s="2133"/>
      <c r="O26" s="2140"/>
      <c r="P26" s="3497"/>
      <c r="Q26" s="1570">
        <f t="shared" ref="Q26:Q40" si="11">B26</f>
        <v>111</v>
      </c>
      <c r="R26" s="1571" t="s">
        <v>8</v>
      </c>
      <c r="S26" s="1572">
        <f>F26</f>
        <v>100</v>
      </c>
      <c r="T26" s="1571" t="s">
        <v>8</v>
      </c>
      <c r="U26" s="1572">
        <f>H26</f>
        <v>100</v>
      </c>
      <c r="V26" s="1571" t="s">
        <v>8</v>
      </c>
      <c r="W26" s="1572">
        <f>J26</f>
        <v>100</v>
      </c>
      <c r="X26" s="1565"/>
      <c r="Y26" s="3497"/>
      <c r="Z26" s="1573">
        <f>Q26</f>
        <v>111</v>
      </c>
      <c r="AA26" s="1574">
        <f t="shared" si="3"/>
        <v>1</v>
      </c>
      <c r="AB26" s="1574">
        <f t="shared" si="4"/>
        <v>1</v>
      </c>
      <c r="AC26" s="1574">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4"/>
      <c r="M27" s="2135"/>
      <c r="N27" s="2135"/>
      <c r="O27" s="2136"/>
      <c r="P27" s="3497"/>
      <c r="Q27" s="1148">
        <f t="shared" si="11"/>
        <v>111</v>
      </c>
      <c r="R27" s="1566" t="s">
        <v>8</v>
      </c>
      <c r="S27" s="1567">
        <f>F27</f>
        <v>100</v>
      </c>
      <c r="T27" s="1566" t="s">
        <v>8</v>
      </c>
      <c r="U27" s="1567">
        <f>H27</f>
        <v>100</v>
      </c>
      <c r="V27" s="1566" t="s">
        <v>8</v>
      </c>
      <c r="W27" s="1567">
        <f>J27</f>
        <v>100</v>
      </c>
      <c r="X27" s="1568"/>
      <c r="Y27" s="3497"/>
      <c r="Z27" s="1147">
        <f>Q27</f>
        <v>111</v>
      </c>
      <c r="AA27" s="1574">
        <f>D27/F27</f>
        <v>1</v>
      </c>
      <c r="AB27" s="1574">
        <f>D27/H27</f>
        <v>1</v>
      </c>
      <c r="AC27" s="1574">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41"/>
      <c r="M28" s="2133"/>
      <c r="N28" s="2133"/>
      <c r="O28" s="2140"/>
      <c r="P28" s="3497"/>
      <c r="Q28" s="1570">
        <f t="shared" si="11"/>
        <v>111</v>
      </c>
      <c r="R28" s="1571" t="s">
        <v>8</v>
      </c>
      <c r="S28" s="1572">
        <f t="shared" ref="S28:S40" si="12">F28</f>
        <v>100</v>
      </c>
      <c r="T28" s="1571" t="s">
        <v>8</v>
      </c>
      <c r="U28" s="1572">
        <f t="shared" ref="U28:U40" si="13">H28</f>
        <v>100</v>
      </c>
      <c r="V28" s="1571" t="s">
        <v>8</v>
      </c>
      <c r="W28" s="1572">
        <f t="shared" ref="W28:W40" si="14">J28</f>
        <v>100</v>
      </c>
      <c r="X28" s="1565"/>
      <c r="Y28" s="3497"/>
      <c r="Z28" s="1573">
        <f t="shared" ref="Z28:Z40" si="15">Q28</f>
        <v>111</v>
      </c>
      <c r="AA28" s="1574">
        <f t="shared" si="3"/>
        <v>1</v>
      </c>
      <c r="AB28" s="1574">
        <f t="shared" si="4"/>
        <v>1</v>
      </c>
      <c r="AC28" s="1574">
        <f t="shared" si="5"/>
        <v>1</v>
      </c>
    </row>
    <row r="29" spans="1:29" ht="15">
      <c r="A29" s="2904"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41"/>
      <c r="M29" s="2133"/>
      <c r="N29" s="2133"/>
      <c r="O29" s="2140"/>
      <c r="P29" s="3498" t="s">
        <v>550</v>
      </c>
      <c r="Q29" s="1570" t="str">
        <f t="shared" si="11"/>
        <v>建筑类型</v>
      </c>
      <c r="R29" s="1571" t="s">
        <v>8</v>
      </c>
      <c r="S29" s="1572">
        <f t="shared" si="12"/>
        <v>100</v>
      </c>
      <c r="T29" s="1571" t="s">
        <v>8</v>
      </c>
      <c r="U29" s="1572">
        <f t="shared" si="13"/>
        <v>100</v>
      </c>
      <c r="V29" s="1571" t="s">
        <v>8</v>
      </c>
      <c r="W29" s="1572">
        <f t="shared" si="14"/>
        <v>100</v>
      </c>
      <c r="X29" s="1565"/>
      <c r="Y29" s="3499" t="s">
        <v>550</v>
      </c>
      <c r="Z29" s="1573" t="str">
        <f t="shared" si="15"/>
        <v>建筑类型</v>
      </c>
      <c r="AA29" s="1574">
        <f t="shared" si="3"/>
        <v>1</v>
      </c>
      <c r="AB29" s="1574">
        <f t="shared" si="4"/>
        <v>1</v>
      </c>
      <c r="AC29" s="1574">
        <f t="shared" si="5"/>
        <v>1</v>
      </c>
    </row>
    <row r="30" spans="1:29" s="1336" customFormat="1" ht="15">
      <c r="A30" s="600"/>
      <c r="B30" s="524" t="s">
        <v>726</v>
      </c>
      <c r="C30" s="877"/>
      <c r="D30" s="255">
        <v>100</v>
      </c>
      <c r="E30" s="531"/>
      <c r="F30" s="860" t="e">
        <f>LOOKUP(E30,91:91,92:92)-LOOKUP(C30,91:91,92:92)+100</f>
        <v>#N/A</v>
      </c>
      <c r="G30" s="530"/>
      <c r="H30" s="255" t="e">
        <f>LOOKUP(G30,91:91,92:92)-LOOKUP(C30,91:91,92:92)+100</f>
        <v>#N/A</v>
      </c>
      <c r="I30" s="530"/>
      <c r="J30" s="255" t="e">
        <f>LOOKUP(I30,91:91,92:92)-LOOKUP(C30,91:91,92:92)+100</f>
        <v>#N/A</v>
      </c>
      <c r="K30" s="578"/>
      <c r="L30" s="2139"/>
      <c r="M30" s="2170"/>
      <c r="N30" s="2170"/>
      <c r="O30" s="2142"/>
      <c r="P30" s="3499"/>
      <c r="Q30" s="1603" t="str">
        <f t="shared" si="11"/>
        <v>项目建筑规模</v>
      </c>
      <c r="R30" s="1575" t="s">
        <v>8</v>
      </c>
      <c r="S30" s="1576" t="e">
        <f t="shared" si="12"/>
        <v>#N/A</v>
      </c>
      <c r="T30" s="1575" t="s">
        <v>8</v>
      </c>
      <c r="U30" s="1576" t="e">
        <f t="shared" si="13"/>
        <v>#N/A</v>
      </c>
      <c r="V30" s="1575" t="s">
        <v>8</v>
      </c>
      <c r="W30" s="1576" t="e">
        <f t="shared" si="14"/>
        <v>#N/A</v>
      </c>
      <c r="X30" s="1577"/>
      <c r="Y30" s="3499"/>
      <c r="Z30" s="1578" t="str">
        <f t="shared" si="15"/>
        <v>项目建筑规模</v>
      </c>
      <c r="AA30" s="1574" t="e">
        <f t="shared" si="3"/>
        <v>#N/A</v>
      </c>
      <c r="AB30" s="1574" t="e">
        <f t="shared" si="4"/>
        <v>#N/A</v>
      </c>
      <c r="AC30" s="1574"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41"/>
      <c r="M31" s="2133"/>
      <c r="N31" s="2133"/>
      <c r="O31" s="2140"/>
      <c r="P31" s="3499"/>
      <c r="Q31" s="1570" t="str">
        <f t="shared" si="11"/>
        <v>建筑结构</v>
      </c>
      <c r="R31" s="1571" t="s">
        <v>8</v>
      </c>
      <c r="S31" s="1572">
        <f t="shared" si="12"/>
        <v>100</v>
      </c>
      <c r="T31" s="1571" t="s">
        <v>8</v>
      </c>
      <c r="U31" s="1572">
        <f t="shared" si="13"/>
        <v>100</v>
      </c>
      <c r="V31" s="1571" t="s">
        <v>8</v>
      </c>
      <c r="W31" s="1572">
        <f t="shared" si="14"/>
        <v>100</v>
      </c>
      <c r="X31" s="1565"/>
      <c r="Y31" s="3499"/>
      <c r="Z31" s="1573" t="str">
        <f t="shared" si="15"/>
        <v>建筑结构</v>
      </c>
      <c r="AA31" s="1574">
        <f t="shared" si="3"/>
        <v>1</v>
      </c>
      <c r="AB31" s="1574">
        <f t="shared" si="4"/>
        <v>1</v>
      </c>
      <c r="AC31" s="1574">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41"/>
      <c r="M32" s="2133"/>
      <c r="N32" s="2133"/>
      <c r="O32" s="2140"/>
      <c r="P32" s="3499"/>
      <c r="Q32" s="1570" t="str">
        <f t="shared" si="11"/>
        <v>公共部分装修</v>
      </c>
      <c r="R32" s="1571" t="s">
        <v>8</v>
      </c>
      <c r="S32" s="1572">
        <f t="shared" si="12"/>
        <v>100</v>
      </c>
      <c r="T32" s="1571" t="s">
        <v>8</v>
      </c>
      <c r="U32" s="1572">
        <f t="shared" si="13"/>
        <v>100</v>
      </c>
      <c r="V32" s="1571" t="s">
        <v>8</v>
      </c>
      <c r="W32" s="1572">
        <f t="shared" si="14"/>
        <v>100</v>
      </c>
      <c r="X32" s="1565"/>
      <c r="Y32" s="3499"/>
      <c r="Z32" s="1573" t="str">
        <f t="shared" si="15"/>
        <v>公共部分装修</v>
      </c>
      <c r="AA32" s="1574">
        <f t="shared" si="3"/>
        <v>1</v>
      </c>
      <c r="AB32" s="1574">
        <f t="shared" si="4"/>
        <v>1</v>
      </c>
      <c r="AC32" s="1574">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41"/>
      <c r="M33" s="2133"/>
      <c r="N33" s="2133"/>
      <c r="O33" s="2140"/>
      <c r="P33" s="3499"/>
      <c r="Q33" s="1570" t="str">
        <f t="shared" si="11"/>
        <v>成新度</v>
      </c>
      <c r="R33" s="1571" t="s">
        <v>8</v>
      </c>
      <c r="S33" s="1572" t="e">
        <f t="shared" si="12"/>
        <v>#N/A</v>
      </c>
      <c r="T33" s="1571" t="s">
        <v>8</v>
      </c>
      <c r="U33" s="1572" t="e">
        <f t="shared" si="13"/>
        <v>#N/A</v>
      </c>
      <c r="V33" s="1571" t="s">
        <v>8</v>
      </c>
      <c r="W33" s="1572" t="e">
        <f t="shared" si="14"/>
        <v>#N/A</v>
      </c>
      <c r="X33" s="1565"/>
      <c r="Y33" s="3499"/>
      <c r="Z33" s="1573" t="str">
        <f t="shared" si="15"/>
        <v>成新度</v>
      </c>
      <c r="AA33" s="1574" t="e">
        <f t="shared" si="3"/>
        <v>#N/A</v>
      </c>
      <c r="AB33" s="1574" t="e">
        <f t="shared" si="4"/>
        <v>#N/A</v>
      </c>
      <c r="AC33" s="1574" t="e">
        <f t="shared" si="5"/>
        <v>#N/A</v>
      </c>
    </row>
    <row r="34" spans="1:29" s="1217" customFormat="1" ht="15">
      <c r="A34" s="597"/>
      <c r="B34" s="524" t="s">
        <v>782</v>
      </c>
      <c r="C34" s="571"/>
      <c r="D34" s="255">
        <v>100</v>
      </c>
      <c r="E34" s="571"/>
      <c r="F34" s="572">
        <f>SUMIF(100:100,E34,101:101)-SUMIF(100:100,C34,101:101)+100</f>
        <v>100</v>
      </c>
      <c r="G34" s="571"/>
      <c r="H34" s="537">
        <f>SUMIF(100:100,G34,101:101)-SUMIF(100:100,C34,101:101)+100</f>
        <v>100</v>
      </c>
      <c r="I34" s="571"/>
      <c r="J34" s="537">
        <f>SUMIF(100:100,I34,101:101)-SUMIF(100:100,C34,101:101)+100</f>
        <v>100</v>
      </c>
      <c r="K34" s="581"/>
      <c r="L34" s="2134"/>
      <c r="M34" s="2135"/>
      <c r="N34" s="2135"/>
      <c r="O34" s="2136"/>
      <c r="P34" s="3499"/>
      <c r="Q34" s="1148" t="str">
        <f t="shared" si="11"/>
        <v>物业管理</v>
      </c>
      <c r="R34" s="1566" t="s">
        <v>8</v>
      </c>
      <c r="S34" s="1567">
        <f t="shared" si="12"/>
        <v>100</v>
      </c>
      <c r="T34" s="1566" t="s">
        <v>8</v>
      </c>
      <c r="U34" s="1567">
        <f t="shared" si="13"/>
        <v>100</v>
      </c>
      <c r="V34" s="1566" t="s">
        <v>8</v>
      </c>
      <c r="W34" s="1567">
        <f t="shared" si="14"/>
        <v>100</v>
      </c>
      <c r="X34" s="1568"/>
      <c r="Y34" s="3499"/>
      <c r="Z34" s="1147" t="str">
        <f t="shared" si="15"/>
        <v>物业管理</v>
      </c>
      <c r="AA34" s="1569">
        <f t="shared" si="3"/>
        <v>1</v>
      </c>
      <c r="AB34" s="1569">
        <f t="shared" si="4"/>
        <v>1</v>
      </c>
      <c r="AC34" s="1569">
        <f t="shared" si="5"/>
        <v>1</v>
      </c>
    </row>
    <row r="35" spans="1:29" ht="15">
      <c r="A35" s="591"/>
      <c r="B35" s="1894"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1"/>
      <c r="M35" s="2133"/>
      <c r="N35" s="2133"/>
      <c r="O35" s="2140"/>
      <c r="P35" s="3499" t="s">
        <v>550</v>
      </c>
      <c r="Q35" s="1570" t="str">
        <f t="shared" si="11"/>
        <v>市政基础设施</v>
      </c>
      <c r="R35" s="1571" t="s">
        <v>8</v>
      </c>
      <c r="S35" s="1572">
        <f t="shared" si="12"/>
        <v>100</v>
      </c>
      <c r="T35" s="1571" t="s">
        <v>8</v>
      </c>
      <c r="U35" s="1572">
        <f t="shared" si="13"/>
        <v>100</v>
      </c>
      <c r="V35" s="1571" t="s">
        <v>8</v>
      </c>
      <c r="W35" s="1572">
        <f t="shared" si="14"/>
        <v>100</v>
      </c>
      <c r="X35" s="1565"/>
      <c r="Y35" s="3499" t="s">
        <v>550</v>
      </c>
      <c r="Z35" s="1573" t="str">
        <f t="shared" si="15"/>
        <v>市政基础设施</v>
      </c>
      <c r="AA35" s="1574">
        <f t="shared" si="3"/>
        <v>1</v>
      </c>
      <c r="AB35" s="1574">
        <f t="shared" si="4"/>
        <v>1</v>
      </c>
      <c r="AC35" s="1574">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1"/>
      <c r="M36" s="2133"/>
      <c r="N36" s="2133"/>
      <c r="O36" s="2140"/>
      <c r="P36" s="3499"/>
      <c r="Q36" s="1570" t="str">
        <f t="shared" si="11"/>
        <v>内部装修</v>
      </c>
      <c r="R36" s="1571" t="s">
        <v>8</v>
      </c>
      <c r="S36" s="1572">
        <f t="shared" si="12"/>
        <v>100</v>
      </c>
      <c r="T36" s="1571" t="s">
        <v>8</v>
      </c>
      <c r="U36" s="1572">
        <f t="shared" si="13"/>
        <v>100</v>
      </c>
      <c r="V36" s="1571" t="s">
        <v>8</v>
      </c>
      <c r="W36" s="1572">
        <f t="shared" si="14"/>
        <v>100</v>
      </c>
      <c r="X36" s="1565"/>
      <c r="Y36" s="3499"/>
      <c r="Z36" s="1573" t="str">
        <f t="shared" si="15"/>
        <v>内部装修</v>
      </c>
      <c r="AA36" s="1574">
        <f t="shared" si="3"/>
        <v>1</v>
      </c>
      <c r="AB36" s="1574">
        <f t="shared" si="4"/>
        <v>1</v>
      </c>
      <c r="AC36" s="1574">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1"/>
      <c r="M37" s="2133"/>
      <c r="N37" s="2133"/>
      <c r="O37" s="2140"/>
      <c r="P37" s="3499"/>
      <c r="Q37" s="1570" t="str">
        <f t="shared" si="11"/>
        <v>内部装修状况</v>
      </c>
      <c r="R37" s="1571" t="s">
        <v>8</v>
      </c>
      <c r="S37" s="1572">
        <f t="shared" si="12"/>
        <v>100</v>
      </c>
      <c r="T37" s="1571" t="s">
        <v>8</v>
      </c>
      <c r="U37" s="1572">
        <f t="shared" si="13"/>
        <v>100</v>
      </c>
      <c r="V37" s="1571" t="s">
        <v>8</v>
      </c>
      <c r="W37" s="1572">
        <f t="shared" si="14"/>
        <v>100</v>
      </c>
      <c r="X37" s="1565"/>
      <c r="Y37" s="3499"/>
      <c r="Z37" s="1573" t="str">
        <f t="shared" si="15"/>
        <v>内部装修状况</v>
      </c>
      <c r="AA37" s="1574">
        <f t="shared" si="3"/>
        <v>1</v>
      </c>
      <c r="AB37" s="1574">
        <f t="shared" si="4"/>
        <v>1</v>
      </c>
      <c r="AC37" s="1574">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9"/>
      <c r="M38" s="2170"/>
      <c r="N38" s="2170"/>
      <c r="O38" s="2142"/>
      <c r="P38" s="3499"/>
      <c r="Q38" s="1603">
        <f t="shared" si="11"/>
        <v>111</v>
      </c>
      <c r="R38" s="1575" t="s">
        <v>8</v>
      </c>
      <c r="S38" s="1576">
        <f t="shared" si="12"/>
        <v>100</v>
      </c>
      <c r="T38" s="1575" t="s">
        <v>8</v>
      </c>
      <c r="U38" s="1576">
        <f t="shared" si="13"/>
        <v>100</v>
      </c>
      <c r="V38" s="1575" t="s">
        <v>8</v>
      </c>
      <c r="W38" s="1576">
        <f t="shared" si="14"/>
        <v>100</v>
      </c>
      <c r="X38" s="1577"/>
      <c r="Y38" s="3499"/>
      <c r="Z38" s="1578">
        <f t="shared" si="15"/>
        <v>111</v>
      </c>
      <c r="AA38" s="1574">
        <f t="shared" si="3"/>
        <v>1</v>
      </c>
      <c r="AB38" s="1574">
        <f t="shared" si="4"/>
        <v>1</v>
      </c>
      <c r="AC38" s="1574">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41"/>
      <c r="M39" s="2133"/>
      <c r="N39" s="2133"/>
      <c r="O39" s="2140"/>
      <c r="P39" s="3499"/>
      <c r="Q39" s="1570">
        <f t="shared" si="11"/>
        <v>111</v>
      </c>
      <c r="R39" s="1571" t="s">
        <v>8</v>
      </c>
      <c r="S39" s="1572">
        <f t="shared" si="12"/>
        <v>100</v>
      </c>
      <c r="T39" s="1571" t="s">
        <v>8</v>
      </c>
      <c r="U39" s="1572">
        <f t="shared" si="13"/>
        <v>100</v>
      </c>
      <c r="V39" s="1571" t="s">
        <v>8</v>
      </c>
      <c r="W39" s="1572">
        <f t="shared" si="14"/>
        <v>100</v>
      </c>
      <c r="X39" s="1565"/>
      <c r="Y39" s="3499"/>
      <c r="Z39" s="1573">
        <f t="shared" si="15"/>
        <v>111</v>
      </c>
      <c r="AA39" s="1574">
        <f t="shared" si="3"/>
        <v>1</v>
      </c>
      <c r="AB39" s="1574">
        <f t="shared" si="4"/>
        <v>1</v>
      </c>
      <c r="AC39" s="1574">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41"/>
      <c r="M40" s="2133"/>
      <c r="N40" s="2133"/>
      <c r="O40" s="2140"/>
      <c r="P40" s="3551"/>
      <c r="Q40" s="1570">
        <f t="shared" si="11"/>
        <v>111</v>
      </c>
      <c r="R40" s="1571" t="s">
        <v>8</v>
      </c>
      <c r="S40" s="1572">
        <f t="shared" si="12"/>
        <v>100</v>
      </c>
      <c r="T40" s="1571" t="s">
        <v>8</v>
      </c>
      <c r="U40" s="1572">
        <f t="shared" si="13"/>
        <v>100</v>
      </c>
      <c r="V40" s="1571" t="s">
        <v>8</v>
      </c>
      <c r="W40" s="1572">
        <f t="shared" si="14"/>
        <v>100</v>
      </c>
      <c r="X40" s="1565"/>
      <c r="Y40" s="3551"/>
      <c r="Z40" s="1573">
        <f t="shared" si="15"/>
        <v>111</v>
      </c>
      <c r="AA40" s="1574">
        <f t="shared" si="3"/>
        <v>1</v>
      </c>
      <c r="AB40" s="1574">
        <f t="shared" si="4"/>
        <v>1</v>
      </c>
      <c r="AC40" s="1574">
        <f t="shared" si="5"/>
        <v>1</v>
      </c>
    </row>
    <row r="41" spans="1:29" ht="15">
      <c r="A41" s="604" t="s">
        <v>736</v>
      </c>
      <c r="B41" s="884"/>
      <c r="C41" s="2626" t="s">
        <v>1</v>
      </c>
      <c r="D41" s="2627"/>
      <c r="E41" s="2628"/>
      <c r="F41" s="2629"/>
      <c r="G41" s="2630"/>
      <c r="H41" s="2631"/>
      <c r="I41" s="2628"/>
      <c r="J41" s="2631"/>
      <c r="K41" s="1609"/>
      <c r="L41" s="2143"/>
      <c r="M41" s="2144"/>
      <c r="N41" s="2133"/>
      <c r="O41" s="2144"/>
      <c r="P41" s="3462" t="str">
        <f>A41</f>
        <v>成交单价（元/平方米）</v>
      </c>
      <c r="Q41" s="3462"/>
      <c r="R41" s="3550">
        <f>E41</f>
        <v>0</v>
      </c>
      <c r="S41" s="3550"/>
      <c r="T41" s="3550">
        <f>G41</f>
        <v>0</v>
      </c>
      <c r="U41" s="3550"/>
      <c r="V41" s="3550">
        <f>I41</f>
        <v>0</v>
      </c>
      <c r="W41" s="3550"/>
      <c r="X41" s="1557"/>
      <c r="Y41" s="1579"/>
      <c r="Z41" s="1557"/>
      <c r="AA41" s="1557"/>
      <c r="AB41" s="1557"/>
      <c r="AC41" s="1557"/>
    </row>
    <row r="42" spans="1:29" ht="15.75" thickBot="1">
      <c r="A42" s="612" t="s">
        <v>2763</v>
      </c>
      <c r="B42" s="885"/>
      <c r="C42" s="2632" t="e">
        <f>R43</f>
        <v>#DIV/0!</v>
      </c>
      <c r="D42" s="2633"/>
      <c r="E42" s="2634" t="e">
        <f>R42</f>
        <v>#DIV/0!</v>
      </c>
      <c r="F42" s="2634"/>
      <c r="G42" s="2632" t="e">
        <f>T42</f>
        <v>#DIV/0!</v>
      </c>
      <c r="H42" s="2633"/>
      <c r="I42" s="2634" t="e">
        <f>V42</f>
        <v>#DIV/0!</v>
      </c>
      <c r="J42" s="2633"/>
      <c r="K42" s="1610"/>
      <c r="L42" s="2143"/>
      <c r="M42" s="2144"/>
      <c r="N42" s="2133"/>
      <c r="O42" s="2144"/>
      <c r="P42" s="3462" t="str">
        <f>A42</f>
        <v>比较价格（元/平方米）</v>
      </c>
      <c r="Q42" s="3462"/>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1557"/>
      <c r="Y42" s="1557"/>
      <c r="Z42" s="1557"/>
      <c r="AA42" s="1557"/>
      <c r="AB42" s="1557"/>
      <c r="AC42" s="1557"/>
    </row>
    <row r="43" spans="1:29" ht="15.75" thickBot="1">
      <c r="A43" s="618" t="s">
        <v>2939</v>
      </c>
      <c r="B43" s="619"/>
      <c r="C43" s="2635" t="e">
        <f>R43</f>
        <v>#DIV/0!</v>
      </c>
      <c r="D43" s="2635"/>
      <c r="E43" s="2635"/>
      <c r="F43" s="2635"/>
      <c r="G43" s="2635"/>
      <c r="H43" s="2635"/>
      <c r="I43" s="2635"/>
      <c r="J43" s="2635"/>
      <c r="K43" s="1611"/>
      <c r="L43" s="2143"/>
      <c r="M43" s="2144"/>
      <c r="N43" s="2144"/>
      <c r="O43" s="2144"/>
      <c r="P43" s="3459" t="str">
        <f>A43</f>
        <v>估价对象XX用房的比较价格（楼面单价，元/平方米）</v>
      </c>
      <c r="Q43" s="3460"/>
      <c r="R43" s="3549" t="e">
        <f>IF(F1="售价",ROUND(AVERAGE(R42:V42),0),ROUND(AVERAGE(R42:V42),1))</f>
        <v>#DIV/0!</v>
      </c>
      <c r="S43" s="3549"/>
      <c r="T43" s="3549"/>
      <c r="U43" s="3549"/>
      <c r="V43" s="3549"/>
      <c r="W43" s="3549"/>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2" customFormat="1" ht="13.5" customHeight="1">
      <c r="A48" s="2145"/>
      <c r="B48" s="2145"/>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2"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4" customFormat="1" ht="15">
      <c r="A52" s="642" t="s">
        <v>529</v>
      </c>
      <c r="B52" s="643"/>
      <c r="C52" s="2799" t="str">
        <f>YEAR(C7)&amp;"-"&amp;MONTH(C7)</f>
        <v>2019-7</v>
      </c>
      <c r="D52" s="2801">
        <f>EDATE(C52,-1)</f>
        <v>43617</v>
      </c>
      <c r="E52" s="2801">
        <f t="shared" ref="E52:O52" si="16">EDATE(D52,-1)</f>
        <v>43586</v>
      </c>
      <c r="F52" s="2801">
        <f t="shared" si="16"/>
        <v>43556</v>
      </c>
      <c r="G52" s="2801">
        <f t="shared" si="16"/>
        <v>43525</v>
      </c>
      <c r="H52" s="2801">
        <f t="shared" si="16"/>
        <v>43497</v>
      </c>
      <c r="I52" s="2801">
        <f t="shared" si="16"/>
        <v>43466</v>
      </c>
      <c r="J52" s="2801">
        <f t="shared" si="16"/>
        <v>43435</v>
      </c>
      <c r="K52" s="2801">
        <f t="shared" si="16"/>
        <v>43405</v>
      </c>
      <c r="L52" s="2801">
        <f t="shared" si="16"/>
        <v>43374</v>
      </c>
      <c r="M52" s="2801">
        <f t="shared" si="16"/>
        <v>43344</v>
      </c>
      <c r="N52" s="2801">
        <f t="shared" si="16"/>
        <v>43313</v>
      </c>
      <c r="O52" s="2801">
        <f t="shared" si="16"/>
        <v>43282</v>
      </c>
      <c r="P52" s="2159"/>
      <c r="Q52" s="2160"/>
      <c r="R52" s="2160"/>
      <c r="S52" s="2160"/>
      <c r="T52" s="2160"/>
      <c r="U52" s="2160"/>
      <c r="V52" s="2160"/>
      <c r="W52" s="2160"/>
      <c r="X52" s="2160"/>
      <c r="Y52" s="2160"/>
      <c r="Z52" s="2160"/>
      <c r="AA52" s="2160"/>
      <c r="AB52" s="2160"/>
      <c r="AC52" s="2160"/>
    </row>
    <row r="53" spans="1:29" s="1217" customFormat="1" ht="15">
      <c r="A53" s="644"/>
      <c r="B53" s="645"/>
      <c r="C53" s="646">
        <v>100</v>
      </c>
      <c r="D53" s="647"/>
      <c r="E53" s="647"/>
      <c r="F53" s="647"/>
      <c r="G53" s="647"/>
      <c r="H53" s="647"/>
      <c r="I53" s="647"/>
      <c r="J53" s="647"/>
      <c r="K53" s="647"/>
      <c r="L53" s="647"/>
      <c r="M53" s="648"/>
      <c r="N53" s="647"/>
      <c r="O53" s="649"/>
      <c r="P53" s="2157"/>
      <c r="Q53" s="1992"/>
      <c r="R53" s="1992"/>
      <c r="S53" s="1992"/>
      <c r="T53" s="1992"/>
      <c r="U53" s="1992"/>
      <c r="V53" s="1992"/>
      <c r="W53" s="1992"/>
      <c r="X53" s="1992"/>
      <c r="Y53" s="1992"/>
      <c r="Z53" s="1992"/>
      <c r="AA53" s="1992"/>
      <c r="AB53" s="1992"/>
      <c r="AC53" s="1992"/>
    </row>
    <row r="54" spans="1:29" s="1217" customFormat="1" ht="15.75" thickBot="1">
      <c r="A54" s="650" t="s">
        <v>575</v>
      </c>
      <c r="B54" s="651"/>
      <c r="C54" s="652"/>
      <c r="D54" s="653"/>
      <c r="E54" s="653"/>
      <c r="F54" s="653"/>
      <c r="G54" s="653"/>
      <c r="H54" s="653"/>
      <c r="I54" s="653"/>
      <c r="J54" s="653"/>
      <c r="K54" s="653"/>
      <c r="L54" s="653"/>
      <c r="M54" s="654"/>
      <c r="N54" s="653"/>
      <c r="O54" s="655"/>
      <c r="P54" s="2157"/>
      <c r="Q54" s="2157"/>
      <c r="R54" s="1992"/>
      <c r="S54" s="1992"/>
      <c r="T54" s="1992"/>
      <c r="U54" s="1992"/>
      <c r="V54" s="1992"/>
      <c r="W54" s="1992"/>
      <c r="X54" s="1992"/>
      <c r="Y54" s="1992"/>
      <c r="Z54" s="1992"/>
      <c r="AA54" s="1992"/>
      <c r="AB54" s="1992"/>
      <c r="AC54" s="1992"/>
    </row>
    <row r="55" spans="1:29" s="1217" customFormat="1" ht="15">
      <c r="A55" s="656" t="s">
        <v>531</v>
      </c>
      <c r="B55" s="645"/>
      <c r="C55" s="657" t="s">
        <v>576</v>
      </c>
      <c r="D55" s="658"/>
      <c r="E55" s="658"/>
      <c r="F55" s="658"/>
      <c r="G55" s="658"/>
      <c r="H55" s="658"/>
      <c r="I55" s="658"/>
      <c r="J55" s="658"/>
      <c r="K55" s="658"/>
      <c r="L55" s="659"/>
      <c r="M55" s="660"/>
      <c r="N55" s="2161"/>
      <c r="O55" s="2161"/>
      <c r="P55" s="2162"/>
      <c r="Q55" s="2157"/>
      <c r="R55" s="1992"/>
      <c r="S55" s="1992"/>
      <c r="T55" s="1992"/>
      <c r="U55" s="1992"/>
      <c r="V55" s="1992"/>
      <c r="W55" s="1992"/>
      <c r="X55" s="1992"/>
      <c r="Y55" s="1992"/>
      <c r="Z55" s="1992"/>
      <c r="AA55" s="1992"/>
      <c r="AB55" s="1992"/>
      <c r="AC55" s="1992"/>
    </row>
    <row r="56" spans="1:29" s="1217" customFormat="1" ht="15.75" thickBot="1">
      <c r="A56" s="656"/>
      <c r="B56" s="645"/>
      <c r="C56" s="646">
        <v>100</v>
      </c>
      <c r="D56" s="647"/>
      <c r="E56" s="647"/>
      <c r="F56" s="647"/>
      <c r="G56" s="647"/>
      <c r="H56" s="647"/>
      <c r="I56" s="647"/>
      <c r="J56" s="647"/>
      <c r="K56" s="647"/>
      <c r="L56" s="647"/>
      <c r="M56" s="649"/>
      <c r="N56" s="2161"/>
      <c r="O56" s="2161"/>
      <c r="P56" s="2157"/>
      <c r="Q56" s="2157"/>
      <c r="R56" s="1992"/>
      <c r="S56" s="1992"/>
      <c r="T56" s="1992"/>
      <c r="U56" s="1992"/>
      <c r="V56" s="1992"/>
      <c r="W56" s="1992"/>
      <c r="X56" s="1992"/>
      <c r="Y56" s="1992"/>
      <c r="Z56" s="1992"/>
      <c r="AA56" s="1992"/>
      <c r="AB56" s="1992"/>
      <c r="AC56" s="1992"/>
    </row>
    <row r="57" spans="1:29">
      <c r="A57" s="661" t="s">
        <v>577</v>
      </c>
      <c r="B57" s="662" t="s">
        <v>534</v>
      </c>
      <c r="C57" s="701">
        <f>C9</f>
        <v>0</v>
      </c>
      <c r="D57" s="595"/>
      <c r="E57" s="595"/>
      <c r="F57" s="595"/>
      <c r="G57" s="595"/>
      <c r="H57" s="595"/>
      <c r="I57" s="595"/>
      <c r="J57" s="595"/>
      <c r="K57" s="663"/>
      <c r="L57" s="664"/>
      <c r="M57" s="665"/>
      <c r="N57" s="2163"/>
      <c r="O57" s="2163"/>
      <c r="P57" s="2164"/>
      <c r="Q57" s="2157"/>
      <c r="R57" s="2144"/>
      <c r="S57" s="2144"/>
      <c r="T57" s="2144"/>
      <c r="U57" s="2144"/>
      <c r="V57" s="2144"/>
      <c r="W57" s="2144"/>
      <c r="X57" s="2144"/>
      <c r="Y57" s="2144"/>
      <c r="Z57" s="2144"/>
      <c r="AA57" s="2144"/>
      <c r="AB57" s="2144"/>
      <c r="AC57" s="2144"/>
    </row>
    <row r="58" spans="1:29" ht="15.75" thickBot="1">
      <c r="A58" s="666"/>
      <c r="B58" s="667"/>
      <c r="C58" s="668"/>
      <c r="D58" s="668"/>
      <c r="E58" s="668"/>
      <c r="F58" s="668"/>
      <c r="G58" s="668"/>
      <c r="H58" s="668"/>
      <c r="I58" s="668"/>
      <c r="J58" s="668"/>
      <c r="K58" s="668"/>
      <c r="L58" s="668"/>
      <c r="M58" s="669"/>
      <c r="N58" s="2165"/>
      <c r="O58" s="2165"/>
      <c r="P58" s="2164"/>
      <c r="Q58" s="2157"/>
      <c r="R58" s="2144"/>
      <c r="S58" s="2144"/>
      <c r="T58" s="2144"/>
      <c r="U58" s="2144"/>
      <c r="V58" s="2144"/>
      <c r="W58" s="2144"/>
      <c r="X58" s="2144"/>
      <c r="Y58" s="2144"/>
      <c r="Z58" s="2144"/>
      <c r="AA58" s="2144"/>
      <c r="AB58" s="2144"/>
      <c r="AC58" s="2144"/>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3"/>
      <c r="O59" s="2163"/>
      <c r="P59" s="2164"/>
      <c r="Q59" s="2157"/>
      <c r="R59" s="2144"/>
      <c r="S59" s="2144"/>
      <c r="T59" s="2144"/>
      <c r="U59" s="2144"/>
      <c r="V59" s="2144"/>
      <c r="W59" s="2144"/>
      <c r="X59" s="2144"/>
      <c r="Y59" s="2144"/>
      <c r="Z59" s="2144"/>
      <c r="AA59" s="2144"/>
      <c r="AB59" s="2144"/>
      <c r="AC59" s="2144"/>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5"/>
      <c r="O60" s="2165"/>
      <c r="P60" s="2164"/>
      <c r="Q60" s="2157"/>
      <c r="R60" s="2144"/>
      <c r="S60" s="2144"/>
      <c r="T60" s="2144"/>
      <c r="U60" s="2144"/>
      <c r="V60" s="2144"/>
      <c r="W60" s="2144"/>
      <c r="X60" s="2144"/>
      <c r="Y60" s="2144"/>
      <c r="Z60" s="2144"/>
      <c r="AA60" s="2144"/>
      <c r="AB60" s="2144"/>
      <c r="AC60" s="2144"/>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6"/>
      <c r="B62" s="680"/>
      <c r="C62" s="538"/>
      <c r="D62" s="538"/>
      <c r="E62" s="538"/>
      <c r="F62" s="538"/>
      <c r="G62" s="538"/>
      <c r="H62" s="538"/>
      <c r="I62" s="538"/>
      <c r="J62" s="538"/>
      <c r="K62" s="681"/>
      <c r="L62" s="682"/>
      <c r="M62" s="683"/>
      <c r="N62" s="2163"/>
      <c r="O62" s="2163"/>
      <c r="P62" s="2164"/>
      <c r="Q62" s="2157"/>
      <c r="R62" s="2144"/>
      <c r="S62" s="2144"/>
      <c r="T62" s="2144"/>
      <c r="U62" s="2144"/>
      <c r="V62" s="2144"/>
      <c r="W62" s="2144"/>
      <c r="X62" s="2144"/>
      <c r="Y62" s="2144"/>
      <c r="Z62" s="2144"/>
      <c r="AA62" s="2144"/>
      <c r="AB62" s="2144"/>
      <c r="AC62" s="2144"/>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5"/>
      <c r="O63" s="2165"/>
      <c r="P63" s="2164"/>
      <c r="Q63" s="2157"/>
      <c r="R63" s="2144"/>
      <c r="S63" s="2144"/>
      <c r="T63" s="2144"/>
      <c r="U63" s="2144"/>
      <c r="V63" s="2144"/>
      <c r="W63" s="2144"/>
      <c r="X63" s="2144"/>
      <c r="Y63" s="2144"/>
      <c r="Z63" s="2144"/>
      <c r="AA63" s="2144"/>
      <c r="AB63" s="2144"/>
      <c r="AC63" s="2144"/>
    </row>
    <row r="64" spans="1:29" s="1336" customFormat="1" ht="15.75" thickTop="1">
      <c r="A64" s="684"/>
      <c r="B64" s="670">
        <f>B12</f>
        <v>111</v>
      </c>
      <c r="C64" s="685"/>
      <c r="D64" s="685"/>
      <c r="E64" s="685"/>
      <c r="F64" s="685"/>
      <c r="G64" s="685"/>
      <c r="H64" s="686"/>
      <c r="I64" s="686"/>
      <c r="J64" s="686"/>
      <c r="K64" s="686"/>
      <c r="L64" s="687"/>
      <c r="M64" s="688"/>
      <c r="N64" s="2166"/>
      <c r="O64" s="2166"/>
      <c r="P64" s="2167"/>
      <c r="Q64" s="2168"/>
      <c r="R64" s="2169"/>
      <c r="S64" s="2169"/>
      <c r="T64" s="2169"/>
      <c r="U64" s="2169"/>
      <c r="V64" s="2169"/>
      <c r="W64" s="2169"/>
      <c r="X64" s="2169"/>
      <c r="Y64" s="2169"/>
      <c r="Z64" s="2169"/>
      <c r="AA64" s="2169"/>
      <c r="AB64" s="2169"/>
      <c r="AC64" s="2169"/>
    </row>
    <row r="65" spans="1:29" s="1336" customFormat="1" ht="15.75" thickBot="1">
      <c r="A65" s="684"/>
      <c r="B65" s="675"/>
      <c r="C65" s="689"/>
      <c r="D65" s="668"/>
      <c r="E65" s="668"/>
      <c r="F65" s="668"/>
      <c r="G65" s="668"/>
      <c r="H65" s="668"/>
      <c r="I65" s="668"/>
      <c r="J65" s="668"/>
      <c r="K65" s="668"/>
      <c r="L65" s="668"/>
      <c r="M65" s="669"/>
      <c r="N65" s="2165"/>
      <c r="O65" s="2165"/>
      <c r="P65" s="2167"/>
      <c r="Q65" s="2168"/>
      <c r="R65" s="2169"/>
      <c r="S65" s="2169"/>
      <c r="T65" s="2169"/>
      <c r="U65" s="2169"/>
      <c r="V65" s="2169"/>
      <c r="W65" s="2169"/>
      <c r="X65" s="2169"/>
      <c r="Y65" s="2169"/>
      <c r="Z65" s="2169"/>
      <c r="AA65" s="2169"/>
      <c r="AB65" s="2169"/>
      <c r="AC65" s="2169"/>
    </row>
    <row r="66" spans="1:29" s="1336" customFormat="1" ht="15.75" thickTop="1">
      <c r="A66" s="684"/>
      <c r="B66" s="670">
        <f>B13</f>
        <v>111</v>
      </c>
      <c r="C66" s="685"/>
      <c r="D66" s="685"/>
      <c r="E66" s="685"/>
      <c r="F66" s="685"/>
      <c r="G66" s="685"/>
      <c r="H66" s="686"/>
      <c r="I66" s="686"/>
      <c r="J66" s="686"/>
      <c r="K66" s="686"/>
      <c r="L66" s="687"/>
      <c r="M66" s="688"/>
      <c r="N66" s="2166"/>
      <c r="O66" s="2166"/>
      <c r="P66" s="2170"/>
      <c r="Q66" s="2171"/>
      <c r="R66" s="2169"/>
      <c r="S66" s="2169"/>
      <c r="T66" s="2169"/>
      <c r="U66" s="2169"/>
      <c r="V66" s="2169"/>
      <c r="W66" s="2169"/>
      <c r="X66" s="2169"/>
      <c r="Y66" s="2169"/>
      <c r="Z66" s="2169"/>
      <c r="AA66" s="2169"/>
      <c r="AB66" s="2169"/>
      <c r="AC66" s="2169"/>
    </row>
    <row r="67" spans="1:29" s="1336" customFormat="1" ht="15.75" thickBot="1">
      <c r="A67" s="684"/>
      <c r="B67" s="675"/>
      <c r="C67" s="689"/>
      <c r="D67" s="668"/>
      <c r="E67" s="668"/>
      <c r="F67" s="668"/>
      <c r="G67" s="689"/>
      <c r="H67" s="690"/>
      <c r="I67" s="690"/>
      <c r="J67" s="690"/>
      <c r="K67" s="690"/>
      <c r="L67" s="690"/>
      <c r="M67" s="691"/>
      <c r="N67" s="2166"/>
      <c r="O67" s="2166"/>
      <c r="P67" s="2167"/>
      <c r="Q67" s="2168"/>
      <c r="R67" s="2169"/>
      <c r="S67" s="2169"/>
      <c r="T67" s="2169"/>
      <c r="U67" s="2169"/>
      <c r="V67" s="2169"/>
      <c r="W67" s="2169"/>
      <c r="X67" s="2169"/>
      <c r="Y67" s="2169"/>
      <c r="Z67" s="2169"/>
      <c r="AA67" s="2169"/>
      <c r="AB67" s="2169"/>
      <c r="AC67" s="2169"/>
    </row>
    <row r="68" spans="1:29" s="1336" customFormat="1" ht="15.75" thickTop="1">
      <c r="A68" s="684"/>
      <c r="B68" s="678">
        <f>B14</f>
        <v>111</v>
      </c>
      <c r="C68" s="658"/>
      <c r="D68" s="658"/>
      <c r="E68" s="658"/>
      <c r="F68" s="658"/>
      <c r="G68" s="658"/>
      <c r="H68" s="692"/>
      <c r="I68" s="692"/>
      <c r="J68" s="692"/>
      <c r="K68" s="692"/>
      <c r="L68" s="693"/>
      <c r="M68" s="694"/>
      <c r="N68" s="2166"/>
      <c r="O68" s="2166"/>
      <c r="P68" s="2172"/>
      <c r="Q68" s="2168"/>
      <c r="R68" s="2169"/>
      <c r="S68" s="2169"/>
      <c r="T68" s="2169"/>
      <c r="U68" s="2169"/>
      <c r="V68" s="2169"/>
      <c r="W68" s="2169"/>
      <c r="X68" s="2169"/>
      <c r="Y68" s="2169"/>
      <c r="Z68" s="2169"/>
      <c r="AA68" s="2169"/>
      <c r="AB68" s="2169"/>
      <c r="AC68" s="2169"/>
    </row>
    <row r="69" spans="1:29" s="1336" customFormat="1" ht="15.75" thickBot="1">
      <c r="A69" s="695"/>
      <c r="B69" s="696"/>
      <c r="C69" s="697"/>
      <c r="D69" s="697"/>
      <c r="E69" s="697"/>
      <c r="F69" s="697"/>
      <c r="G69" s="697"/>
      <c r="H69" s="698"/>
      <c r="I69" s="698"/>
      <c r="J69" s="698"/>
      <c r="K69" s="698"/>
      <c r="L69" s="698"/>
      <c r="M69" s="699"/>
      <c r="N69" s="2166"/>
      <c r="O69" s="2166"/>
      <c r="P69" s="2167"/>
      <c r="Q69" s="2168"/>
      <c r="R69" s="2169"/>
      <c r="S69" s="2169"/>
      <c r="T69" s="2169"/>
      <c r="U69" s="2169"/>
      <c r="V69" s="2169"/>
      <c r="W69" s="2169"/>
      <c r="X69" s="2169"/>
      <c r="Y69" s="2169"/>
      <c r="Z69" s="2169"/>
      <c r="AA69" s="2169"/>
      <c r="AB69" s="2169"/>
      <c r="AC69" s="2169"/>
    </row>
    <row r="70" spans="1:29">
      <c r="A70" s="661" t="s">
        <v>539</v>
      </c>
      <c r="B70" s="662" t="s">
        <v>585</v>
      </c>
      <c r="C70" s="700" t="s">
        <v>579</v>
      </c>
      <c r="D70" s="700" t="s">
        <v>580</v>
      </c>
      <c r="E70" s="700" t="s">
        <v>581</v>
      </c>
      <c r="F70" s="700" t="s">
        <v>582</v>
      </c>
      <c r="G70" s="700" t="s">
        <v>583</v>
      </c>
      <c r="H70" s="701"/>
      <c r="I70" s="701"/>
      <c r="J70" s="701"/>
      <c r="K70" s="702"/>
      <c r="L70" s="703"/>
      <c r="M70" s="704"/>
      <c r="N70" s="2163"/>
      <c r="O70" s="2163"/>
      <c r="P70" s="2173"/>
      <c r="Q70" s="2157"/>
      <c r="R70" s="2144"/>
      <c r="S70" s="2144"/>
      <c r="T70" s="2144"/>
      <c r="U70" s="2144"/>
      <c r="V70" s="2144"/>
      <c r="W70" s="2144"/>
      <c r="X70" s="2144"/>
      <c r="Y70" s="2144"/>
      <c r="Z70" s="2144"/>
      <c r="AA70" s="2144"/>
      <c r="AB70" s="2144"/>
      <c r="AC70" s="2144"/>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5"/>
      <c r="O71" s="2165"/>
      <c r="P71" s="2164"/>
      <c r="Q71" s="2157"/>
      <c r="R71" s="2144"/>
      <c r="S71" s="2144"/>
      <c r="T71" s="2144"/>
      <c r="U71" s="2144"/>
      <c r="V71" s="2144"/>
      <c r="W71" s="2144"/>
      <c r="X71" s="2144"/>
      <c r="Y71" s="2144"/>
      <c r="Z71" s="2144"/>
      <c r="AA71" s="2144"/>
      <c r="AB71" s="2144"/>
      <c r="AC71" s="2144"/>
    </row>
    <row r="72" spans="1:29" ht="15.75" thickTop="1">
      <c r="A72" s="666"/>
      <c r="B72" s="670" t="s">
        <v>586</v>
      </c>
      <c r="C72" s="705" t="s">
        <v>579</v>
      </c>
      <c r="D72" s="705" t="s">
        <v>580</v>
      </c>
      <c r="E72" s="705" t="s">
        <v>581</v>
      </c>
      <c r="F72" s="705" t="s">
        <v>582</v>
      </c>
      <c r="G72" s="705" t="s">
        <v>583</v>
      </c>
      <c r="H72" s="671"/>
      <c r="I72" s="671"/>
      <c r="J72" s="671"/>
      <c r="K72" s="672"/>
      <c r="L72" s="673"/>
      <c r="M72" s="674"/>
      <c r="N72" s="2163"/>
      <c r="O72" s="2163"/>
      <c r="P72" s="2164"/>
      <c r="Q72" s="2157"/>
      <c r="R72" s="2144"/>
      <c r="S72" s="2144"/>
      <c r="T72" s="2144"/>
      <c r="U72" s="2144"/>
      <c r="V72" s="2144"/>
      <c r="W72" s="2144"/>
      <c r="X72" s="2144"/>
      <c r="Y72" s="2144"/>
      <c r="Z72" s="2144"/>
      <c r="AA72" s="2144"/>
      <c r="AB72" s="2144"/>
      <c r="AC72" s="2144"/>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5"/>
      <c r="O73" s="2165"/>
      <c r="P73" s="2164"/>
      <c r="Q73" s="2157"/>
      <c r="R73" s="2144"/>
      <c r="S73" s="2144"/>
      <c r="T73" s="2144"/>
      <c r="U73" s="2144"/>
      <c r="V73" s="2144"/>
      <c r="W73" s="2144"/>
      <c r="X73" s="2144"/>
      <c r="Y73" s="2144"/>
      <c r="Z73" s="2144"/>
      <c r="AA73" s="2144"/>
      <c r="AB73" s="2144"/>
      <c r="AC73" s="2144"/>
    </row>
    <row r="74" spans="1:29" ht="15.75" thickTop="1">
      <c r="A74" s="666"/>
      <c r="B74" s="1895" t="s">
        <v>2560</v>
      </c>
      <c r="C74" s="705" t="s">
        <v>579</v>
      </c>
      <c r="D74" s="705" t="s">
        <v>580</v>
      </c>
      <c r="E74" s="705" t="s">
        <v>581</v>
      </c>
      <c r="F74" s="705" t="s">
        <v>582</v>
      </c>
      <c r="G74" s="705" t="s">
        <v>583</v>
      </c>
      <c r="H74" s="671"/>
      <c r="I74" s="671"/>
      <c r="J74" s="671"/>
      <c r="K74" s="672"/>
      <c r="L74" s="673"/>
      <c r="M74" s="674"/>
      <c r="N74" s="2163"/>
      <c r="O74" s="2163"/>
      <c r="P74" s="2164"/>
      <c r="Q74" s="2157"/>
      <c r="R74" s="2144"/>
      <c r="S74" s="2144"/>
      <c r="T74" s="2144"/>
      <c r="U74" s="2144"/>
      <c r="V74" s="2144"/>
      <c r="W74" s="2144"/>
      <c r="X74" s="2144"/>
      <c r="Y74" s="2144"/>
      <c r="Z74" s="2144"/>
      <c r="AA74" s="2144"/>
      <c r="AB74" s="2144"/>
      <c r="AC74" s="2144"/>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5"/>
      <c r="O75" s="2165"/>
      <c r="P75" s="2164"/>
      <c r="Q75" s="2157"/>
      <c r="R75" s="2144"/>
      <c r="S75" s="2144"/>
      <c r="T75" s="2144"/>
      <c r="U75" s="2144"/>
      <c r="V75" s="2144"/>
      <c r="W75" s="2144"/>
      <c r="X75" s="2144"/>
      <c r="Y75" s="2144"/>
      <c r="Z75" s="2144"/>
      <c r="AA75" s="2144"/>
      <c r="AB75" s="2144"/>
      <c r="AC75" s="2144"/>
    </row>
    <row r="76" spans="1:29" ht="15.75" thickTop="1">
      <c r="A76" s="666"/>
      <c r="B76" s="2596" t="s">
        <v>2561</v>
      </c>
      <c r="C76" s="2597" t="s">
        <v>2562</v>
      </c>
      <c r="D76" s="2597" t="s">
        <v>2563</v>
      </c>
      <c r="E76" s="2597" t="s">
        <v>2564</v>
      </c>
      <c r="F76" s="2597" t="s">
        <v>2565</v>
      </c>
      <c r="G76" s="2597" t="s">
        <v>2566</v>
      </c>
      <c r="H76" s="932"/>
      <c r="I76" s="932"/>
      <c r="J76" s="932"/>
      <c r="K76" s="932"/>
      <c r="L76" s="932"/>
      <c r="M76" s="556"/>
      <c r="N76" s="2165"/>
      <c r="O76" s="2165"/>
      <c r="P76" s="2164"/>
      <c r="Q76" s="2157"/>
      <c r="R76" s="2144"/>
      <c r="S76" s="2144"/>
      <c r="T76" s="2144"/>
      <c r="U76" s="2144"/>
      <c r="V76" s="2144"/>
      <c r="W76" s="2144"/>
      <c r="X76" s="2144"/>
      <c r="Y76" s="2144"/>
      <c r="Z76" s="2144"/>
      <c r="AA76" s="2144"/>
      <c r="AB76" s="2144"/>
      <c r="AC76" s="2144"/>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784</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s="1217" customFormat="1" ht="15.75" thickTop="1">
      <c r="A80" s="706"/>
      <c r="B80" s="670">
        <f>B25</f>
        <v>111</v>
      </c>
      <c r="C80" s="685"/>
      <c r="D80" s="685"/>
      <c r="E80" s="685"/>
      <c r="F80" s="685"/>
      <c r="G80" s="685"/>
      <c r="H80" s="685"/>
      <c r="I80" s="685"/>
      <c r="J80" s="685"/>
      <c r="K80" s="685"/>
      <c r="L80" s="887"/>
      <c r="M80" s="888"/>
      <c r="N80" s="2161"/>
      <c r="O80" s="2161"/>
      <c r="P80" s="2164"/>
      <c r="Q80" s="2157"/>
      <c r="R80" s="1992"/>
      <c r="S80" s="1992"/>
      <c r="T80" s="1992"/>
      <c r="U80" s="1992"/>
      <c r="V80" s="1992"/>
      <c r="W80" s="1992"/>
      <c r="X80" s="1992"/>
      <c r="Y80" s="1992"/>
      <c r="Z80" s="1992"/>
      <c r="AA80" s="1992"/>
      <c r="AB80" s="1992"/>
      <c r="AC80" s="1992"/>
    </row>
    <row r="81" spans="1:29" s="1217" customFormat="1" ht="15.75" thickBot="1">
      <c r="A81" s="706"/>
      <c r="B81" s="675"/>
      <c r="C81" s="689"/>
      <c r="D81" s="668"/>
      <c r="E81" s="668"/>
      <c r="F81" s="668"/>
      <c r="G81" s="668"/>
      <c r="H81" s="668"/>
      <c r="I81" s="668"/>
      <c r="J81" s="668"/>
      <c r="K81" s="668"/>
      <c r="L81" s="668"/>
      <c r="M81" s="669"/>
      <c r="N81" s="2165"/>
      <c r="O81" s="2165"/>
      <c r="P81" s="2164"/>
      <c r="Q81" s="2157"/>
      <c r="R81" s="1992"/>
      <c r="S81" s="1992"/>
      <c r="T81" s="1992"/>
      <c r="U81" s="1992"/>
      <c r="V81" s="1992"/>
      <c r="W81" s="1992"/>
      <c r="X81" s="1992"/>
      <c r="Y81" s="1992"/>
      <c r="Z81" s="1992"/>
      <c r="AA81" s="1992"/>
      <c r="AB81" s="1992"/>
      <c r="AC81" s="1992"/>
    </row>
    <row r="82" spans="1:29" s="1217" customFormat="1" ht="15.75" thickTop="1">
      <c r="A82" s="706"/>
      <c r="B82" s="670">
        <f>B26</f>
        <v>111</v>
      </c>
      <c r="C82" s="685"/>
      <c r="D82" s="685"/>
      <c r="E82" s="685"/>
      <c r="F82" s="685"/>
      <c r="G82" s="685"/>
      <c r="H82" s="685"/>
      <c r="I82" s="685"/>
      <c r="J82" s="685"/>
      <c r="K82" s="685"/>
      <c r="L82" s="887"/>
      <c r="M82" s="888"/>
      <c r="N82" s="2161"/>
      <c r="O82" s="2161"/>
      <c r="P82" s="2164"/>
      <c r="Q82" s="2157"/>
      <c r="R82" s="1992"/>
      <c r="S82" s="1992"/>
      <c r="T82" s="1992"/>
      <c r="U82" s="1992"/>
      <c r="V82" s="1992"/>
      <c r="W82" s="1992"/>
      <c r="X82" s="1992"/>
      <c r="Y82" s="1992"/>
      <c r="Z82" s="1992"/>
      <c r="AA82" s="1992"/>
      <c r="AB82" s="1992"/>
      <c r="AC82" s="1992"/>
    </row>
    <row r="83" spans="1:29" s="1217" customFormat="1" ht="15.75" thickBot="1">
      <c r="A83" s="706"/>
      <c r="B83" s="675"/>
      <c r="C83" s="689"/>
      <c r="D83" s="668"/>
      <c r="E83" s="668"/>
      <c r="F83" s="668"/>
      <c r="G83" s="668"/>
      <c r="H83" s="668"/>
      <c r="I83" s="668"/>
      <c r="J83" s="668"/>
      <c r="K83" s="668"/>
      <c r="L83" s="668"/>
      <c r="M83" s="669"/>
      <c r="N83" s="2165"/>
      <c r="O83" s="2165"/>
      <c r="P83" s="2164"/>
      <c r="Q83" s="2157"/>
      <c r="R83" s="1992"/>
      <c r="S83" s="1992"/>
      <c r="T83" s="1992"/>
      <c r="U83" s="1992"/>
      <c r="V83" s="1992"/>
      <c r="W83" s="1992"/>
      <c r="X83" s="1992"/>
      <c r="Y83" s="1992"/>
      <c r="Z83" s="1992"/>
      <c r="AA83" s="1992"/>
      <c r="AB83" s="1992"/>
      <c r="AC83" s="1992"/>
    </row>
    <row r="84" spans="1:29" s="1336" customFormat="1" ht="15.75" thickTop="1">
      <c r="A84" s="684"/>
      <c r="B84" s="670">
        <f>B27</f>
        <v>111</v>
      </c>
      <c r="C84" s="685"/>
      <c r="D84" s="685"/>
      <c r="E84" s="685"/>
      <c r="F84" s="685"/>
      <c r="G84" s="685"/>
      <c r="H84" s="685"/>
      <c r="I84" s="685"/>
      <c r="J84" s="685"/>
      <c r="K84" s="685"/>
      <c r="L84" s="887"/>
      <c r="M84" s="888"/>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4"/>
      <c r="B85" s="675"/>
      <c r="C85" s="689"/>
      <c r="D85" s="668"/>
      <c r="E85" s="668"/>
      <c r="F85" s="668"/>
      <c r="G85" s="668"/>
      <c r="H85" s="668"/>
      <c r="I85" s="668"/>
      <c r="J85" s="668"/>
      <c r="K85" s="668"/>
      <c r="L85" s="668"/>
      <c r="M85" s="669"/>
      <c r="N85" s="2166"/>
      <c r="O85" s="2166"/>
      <c r="P85" s="2167"/>
      <c r="Q85" s="2168"/>
      <c r="R85" s="2169"/>
      <c r="S85" s="2169"/>
      <c r="T85" s="2169"/>
      <c r="U85" s="2169"/>
      <c r="V85" s="2169"/>
      <c r="W85" s="2169"/>
      <c r="X85" s="2169"/>
      <c r="Y85" s="2169"/>
      <c r="Z85" s="2169"/>
      <c r="AA85" s="2169"/>
      <c r="AB85" s="2169"/>
      <c r="AC85" s="2169"/>
    </row>
    <row r="86" spans="1:29" ht="15.75" thickTop="1">
      <c r="A86" s="666"/>
      <c r="B86" s="678">
        <f>B28</f>
        <v>111</v>
      </c>
      <c r="C86" s="658"/>
      <c r="D86" s="658"/>
      <c r="E86" s="658"/>
      <c r="F86" s="658"/>
      <c r="G86" s="719"/>
      <c r="H86" s="719"/>
      <c r="I86" s="719"/>
      <c r="J86" s="719"/>
      <c r="K86" s="720"/>
      <c r="L86" s="721"/>
      <c r="M86" s="722"/>
      <c r="N86" s="2163"/>
      <c r="O86" s="2163"/>
      <c r="P86" s="2164"/>
      <c r="Q86" s="2157"/>
      <c r="R86" s="2144"/>
      <c r="S86" s="2144"/>
      <c r="T86" s="2144"/>
      <c r="U86" s="2144"/>
      <c r="V86" s="2144"/>
      <c r="W86" s="2144"/>
      <c r="X86" s="2144"/>
      <c r="Y86" s="2144"/>
      <c r="Z86" s="2144"/>
      <c r="AA86" s="2144"/>
      <c r="AB86" s="2144"/>
      <c r="AC86" s="2144"/>
    </row>
    <row r="87" spans="1:29" ht="15.75" thickBot="1">
      <c r="A87" s="890"/>
      <c r="B87" s="696"/>
      <c r="C87" s="697"/>
      <c r="D87" s="697"/>
      <c r="E87" s="697"/>
      <c r="F87" s="697"/>
      <c r="G87" s="723"/>
      <c r="H87" s="723"/>
      <c r="I87" s="723"/>
      <c r="J87" s="723"/>
      <c r="K87" s="723"/>
      <c r="L87" s="723"/>
      <c r="M87" s="724"/>
      <c r="N87" s="2165"/>
      <c r="O87" s="2165"/>
      <c r="P87" s="2164"/>
      <c r="Q87" s="2157"/>
      <c r="R87" s="2144"/>
      <c r="S87" s="2144"/>
      <c r="T87" s="2144"/>
      <c r="U87" s="2144"/>
      <c r="V87" s="2144"/>
      <c r="W87" s="2144"/>
      <c r="X87" s="2144"/>
      <c r="Y87" s="2144"/>
      <c r="Z87" s="2144"/>
      <c r="AA87" s="2144"/>
      <c r="AB87" s="2144"/>
      <c r="AC87" s="2144"/>
    </row>
    <row r="88" spans="1:29">
      <c r="A88" s="661" t="s">
        <v>551</v>
      </c>
      <c r="B88" s="662" t="s">
        <v>747</v>
      </c>
      <c r="C88" s="595"/>
      <c r="D88" s="595"/>
      <c r="E88" s="595"/>
      <c r="F88" s="595"/>
      <c r="G88" s="595"/>
      <c r="H88" s="595"/>
      <c r="I88" s="595"/>
      <c r="J88" s="595"/>
      <c r="K88" s="663"/>
      <c r="L88" s="664"/>
      <c r="M88" s="665"/>
      <c r="N88" s="2163"/>
      <c r="O88" s="2163"/>
      <c r="P88" s="2164"/>
      <c r="Q88" s="2157"/>
      <c r="R88" s="2144"/>
      <c r="S88" s="2144"/>
      <c r="T88" s="2144"/>
      <c r="U88" s="2144"/>
      <c r="V88" s="2144"/>
      <c r="W88" s="2144"/>
      <c r="X88" s="2144"/>
      <c r="Y88" s="2144"/>
      <c r="Z88" s="2144"/>
      <c r="AA88" s="2144"/>
      <c r="AB88" s="2144"/>
      <c r="AC88" s="2144"/>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1"/>
      <c r="O90" s="2161"/>
      <c r="P90" s="2164"/>
      <c r="Q90" s="2157"/>
      <c r="R90" s="2144"/>
      <c r="S90" s="2144"/>
      <c r="T90" s="2144"/>
      <c r="U90" s="2144"/>
      <c r="V90" s="2144"/>
      <c r="W90" s="2144"/>
      <c r="X90" s="2144"/>
      <c r="Y90" s="2144"/>
      <c r="Z90" s="2144"/>
      <c r="AA90" s="2144"/>
      <c r="AB90" s="2144"/>
      <c r="AC90" s="2144"/>
    </row>
    <row r="91" spans="1:29" s="1336" customFormat="1">
      <c r="A91" s="725"/>
      <c r="B91" s="726"/>
      <c r="C91" s="727"/>
      <c r="D91" s="727"/>
      <c r="E91" s="727"/>
      <c r="F91" s="727"/>
      <c r="G91" s="727"/>
      <c r="H91" s="727"/>
      <c r="I91" s="727"/>
      <c r="J91" s="728"/>
      <c r="K91" s="728"/>
      <c r="L91" s="729"/>
      <c r="M91" s="730"/>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4"/>
      <c r="B92" s="675"/>
      <c r="C92" s="689"/>
      <c r="D92" s="668"/>
      <c r="E92" s="668"/>
      <c r="F92" s="668"/>
      <c r="G92" s="668"/>
      <c r="H92" s="668"/>
      <c r="I92" s="668"/>
      <c r="J92" s="668"/>
      <c r="K92" s="668"/>
      <c r="L92" s="668"/>
      <c r="M92" s="669"/>
      <c r="N92" s="2165"/>
      <c r="O92" s="2165"/>
      <c r="P92" s="2167"/>
      <c r="Q92" s="2168"/>
      <c r="R92" s="2169"/>
      <c r="S92" s="2169"/>
      <c r="T92" s="2169"/>
      <c r="U92" s="2169"/>
      <c r="V92" s="2169"/>
      <c r="W92" s="2169"/>
      <c r="X92" s="2169"/>
      <c r="Y92" s="2169"/>
      <c r="Z92" s="2169"/>
      <c r="AA92" s="2169"/>
      <c r="AB92" s="2169"/>
      <c r="AC92" s="2169"/>
    </row>
    <row r="93" spans="1:29" ht="15" thickTop="1">
      <c r="A93" s="732"/>
      <c r="B93" s="670" t="s">
        <v>749</v>
      </c>
      <c r="C93" s="685"/>
      <c r="D93" s="685"/>
      <c r="E93" s="715"/>
      <c r="F93" s="715"/>
      <c r="G93" s="715"/>
      <c r="H93" s="715"/>
      <c r="I93" s="715"/>
      <c r="J93" s="715"/>
      <c r="K93" s="716"/>
      <c r="L93" s="717"/>
      <c r="M93" s="71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2"/>
      <c r="B95" s="670" t="s">
        <v>751</v>
      </c>
      <c r="C95" s="685"/>
      <c r="D95" s="685"/>
      <c r="E95" s="685"/>
      <c r="F95" s="715"/>
      <c r="G95" s="715"/>
      <c r="H95" s="715"/>
      <c r="I95" s="715"/>
      <c r="J95" s="715"/>
      <c r="K95" s="716"/>
      <c r="L95" s="717"/>
      <c r="M95" s="718"/>
      <c r="N95" s="2163"/>
      <c r="O95" s="2163"/>
      <c r="P95" s="2164"/>
      <c r="Q95" s="2157"/>
      <c r="R95" s="2144"/>
      <c r="S95" s="2144"/>
      <c r="T95" s="2144"/>
      <c r="U95" s="2144"/>
      <c r="V95" s="2144"/>
      <c r="W95" s="2144"/>
      <c r="X95" s="2144"/>
      <c r="Y95" s="2144"/>
      <c r="Z95" s="2144"/>
      <c r="AA95" s="2144"/>
      <c r="AB95" s="2144"/>
      <c r="AC95" s="2144"/>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3"/>
      <c r="O97" s="2163"/>
      <c r="P97" s="2164"/>
      <c r="Q97" s="2157"/>
      <c r="R97" s="2144"/>
      <c r="S97" s="2144"/>
      <c r="T97" s="2144"/>
      <c r="U97" s="2144"/>
      <c r="V97" s="2144"/>
      <c r="W97" s="2144"/>
      <c r="X97" s="2144"/>
      <c r="Y97" s="2144"/>
      <c r="Z97" s="2144"/>
      <c r="AA97" s="2144"/>
      <c r="AB97" s="2144"/>
      <c r="AC97" s="2144"/>
    </row>
    <row r="98" spans="1:29">
      <c r="A98" s="732"/>
      <c r="B98" s="678"/>
      <c r="C98" s="891">
        <v>0.5</v>
      </c>
      <c r="D98" s="891">
        <v>0.6</v>
      </c>
      <c r="E98" s="891">
        <v>0.7</v>
      </c>
      <c r="F98" s="891">
        <v>0.8</v>
      </c>
      <c r="G98" s="891">
        <v>0.9</v>
      </c>
      <c r="H98" s="891">
        <v>1.0001</v>
      </c>
      <c r="I98" s="902"/>
      <c r="J98" s="902"/>
      <c r="K98" s="903"/>
      <c r="L98" s="904"/>
      <c r="M98" s="905"/>
      <c r="N98" s="2163"/>
      <c r="O98" s="2163"/>
      <c r="P98" s="2164"/>
      <c r="Q98" s="2157"/>
      <c r="R98" s="2144"/>
      <c r="S98" s="2144"/>
      <c r="T98" s="2144"/>
      <c r="U98" s="2144"/>
      <c r="V98" s="2144"/>
      <c r="W98" s="2144"/>
      <c r="X98" s="2144"/>
      <c r="Y98" s="2144"/>
      <c r="Z98" s="2144"/>
      <c r="AA98" s="2144"/>
      <c r="AB98" s="2144"/>
      <c r="AC98" s="2144"/>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5"/>
      <c r="O99" s="2165"/>
      <c r="P99" s="2164"/>
      <c r="Q99" s="2157"/>
      <c r="R99" s="2144"/>
      <c r="S99" s="2144"/>
      <c r="T99" s="2144"/>
      <c r="U99" s="2144"/>
      <c r="V99" s="2144"/>
      <c r="W99" s="2144"/>
      <c r="X99" s="2144"/>
      <c r="Y99" s="2144"/>
      <c r="Z99" s="2144"/>
      <c r="AA99" s="2144"/>
      <c r="AB99" s="2144"/>
      <c r="AC99" s="2144"/>
    </row>
    <row r="100" spans="1:29" s="1336" customFormat="1" ht="15" thickTop="1">
      <c r="A100" s="725"/>
      <c r="B100" s="670" t="s">
        <v>753</v>
      </c>
      <c r="C100" s="685"/>
      <c r="D100" s="685"/>
      <c r="E100" s="685"/>
      <c r="F100" s="685"/>
      <c r="G100" s="685"/>
      <c r="H100" s="715"/>
      <c r="I100" s="715"/>
      <c r="J100" s="715"/>
      <c r="K100" s="716"/>
      <c r="L100" s="717"/>
      <c r="M100" s="718"/>
      <c r="N100" s="2166"/>
      <c r="O100" s="2166"/>
      <c r="P100" s="2167"/>
      <c r="Q100" s="2168"/>
      <c r="R100" s="2169"/>
      <c r="S100" s="2169"/>
      <c r="T100" s="2169"/>
      <c r="U100" s="2169"/>
      <c r="V100" s="2169"/>
      <c r="W100" s="2169"/>
      <c r="X100" s="2169"/>
      <c r="Y100" s="2169"/>
      <c r="Z100" s="2169"/>
      <c r="AA100" s="2169"/>
      <c r="AB100" s="2169"/>
      <c r="AC100" s="2169"/>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2"/>
      <c r="B102" s="1895" t="s">
        <v>2559</v>
      </c>
      <c r="C102" s="685"/>
      <c r="D102" s="685"/>
      <c r="E102" s="685"/>
      <c r="F102" s="685"/>
      <c r="G102" s="685"/>
      <c r="H102" s="715"/>
      <c r="I102" s="715"/>
      <c r="J102" s="715"/>
      <c r="K102" s="716"/>
      <c r="L102" s="717"/>
      <c r="M102" s="718"/>
      <c r="N102" s="2163"/>
      <c r="O102" s="2163"/>
      <c r="P102" s="2164"/>
      <c r="Q102" s="2157"/>
      <c r="R102" s="2144"/>
      <c r="S102" s="2144"/>
      <c r="T102" s="2144"/>
      <c r="U102" s="2144"/>
      <c r="V102" s="2144"/>
      <c r="W102" s="2144"/>
      <c r="X102" s="2144"/>
      <c r="Y102" s="2144"/>
      <c r="Z102" s="2144"/>
      <c r="AA102" s="2144"/>
      <c r="AB102" s="2144"/>
      <c r="AC102" s="2144"/>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2"/>
      <c r="B104" s="670" t="s">
        <v>755</v>
      </c>
      <c r="C104" s="685"/>
      <c r="D104" s="685"/>
      <c r="E104" s="685"/>
      <c r="F104" s="685"/>
      <c r="G104" s="685"/>
      <c r="H104" s="715"/>
      <c r="I104" s="715"/>
      <c r="J104" s="715"/>
      <c r="K104" s="716"/>
      <c r="L104" s="717"/>
      <c r="M104" s="718"/>
      <c r="N104" s="2163"/>
      <c r="O104" s="2163"/>
      <c r="P104" s="2164"/>
      <c r="Q104" s="2157"/>
      <c r="R104" s="2144"/>
      <c r="S104" s="2144"/>
      <c r="T104" s="2144"/>
      <c r="U104" s="2144"/>
      <c r="V104" s="2144"/>
      <c r="W104" s="2144"/>
      <c r="X104" s="2144"/>
      <c r="Y104" s="2144"/>
      <c r="Z104" s="2144"/>
      <c r="AA104" s="2144"/>
      <c r="AB104" s="2144"/>
      <c r="AC104" s="2144"/>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5"/>
      <c r="O105" s="2165"/>
      <c r="P105" s="2164"/>
      <c r="Q105" s="2157"/>
      <c r="R105" s="2144"/>
      <c r="S105" s="2144"/>
      <c r="T105" s="2144"/>
      <c r="U105" s="2144"/>
      <c r="V105" s="2144"/>
      <c r="W105" s="2144"/>
      <c r="X105" s="2144"/>
      <c r="Y105" s="2144"/>
      <c r="Z105" s="2144"/>
      <c r="AA105" s="2144"/>
      <c r="AB105" s="2144"/>
      <c r="AC105" s="2144"/>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5"/>
      <c r="O106" s="2165"/>
      <c r="P106" s="2204"/>
      <c r="Q106" s="2205"/>
      <c r="R106" s="2144"/>
      <c r="S106" s="2144"/>
      <c r="T106" s="2144"/>
      <c r="U106" s="2144"/>
      <c r="V106" s="2144"/>
      <c r="W106" s="2144"/>
      <c r="X106" s="2144"/>
      <c r="Y106" s="2144"/>
      <c r="Z106" s="2144"/>
      <c r="AA106" s="2144"/>
      <c r="AB106" s="2144"/>
      <c r="AC106" s="2144"/>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5"/>
      <c r="O107" s="2165"/>
      <c r="P107" s="2164"/>
      <c r="Q107" s="2157"/>
      <c r="R107" s="2144"/>
      <c r="S107" s="2144"/>
      <c r="T107" s="2144"/>
      <c r="U107" s="2144"/>
      <c r="V107" s="2144"/>
      <c r="W107" s="2144"/>
      <c r="X107" s="2144"/>
      <c r="Y107" s="2144"/>
      <c r="Z107" s="2144"/>
      <c r="AA107" s="2144"/>
      <c r="AB107" s="2144"/>
      <c r="AC107" s="2144"/>
    </row>
    <row r="108" spans="1:29" s="1336" customFormat="1" ht="15" thickTop="1">
      <c r="A108" s="725"/>
      <c r="B108" s="670">
        <f>B38</f>
        <v>111</v>
      </c>
      <c r="C108" s="685"/>
      <c r="D108" s="685"/>
      <c r="E108" s="685"/>
      <c r="F108" s="685"/>
      <c r="G108" s="685"/>
      <c r="H108" s="686"/>
      <c r="I108" s="686"/>
      <c r="J108" s="686"/>
      <c r="K108" s="686"/>
      <c r="L108" s="687"/>
      <c r="M108" s="688"/>
      <c r="N108" s="2166"/>
      <c r="O108" s="2166"/>
      <c r="P108" s="2167"/>
      <c r="Q108" s="2168"/>
      <c r="R108" s="2169"/>
      <c r="S108" s="2169"/>
      <c r="T108" s="2169"/>
      <c r="U108" s="2169"/>
      <c r="V108" s="2169"/>
      <c r="W108" s="2169"/>
      <c r="X108" s="2169"/>
      <c r="Y108" s="2169"/>
      <c r="Z108" s="2169"/>
      <c r="AA108" s="2169"/>
      <c r="AB108" s="2169"/>
      <c r="AC108" s="2169"/>
    </row>
    <row r="109" spans="1:29" s="1336" customFormat="1" ht="15.75" thickBot="1">
      <c r="A109" s="684"/>
      <c r="B109" s="667"/>
      <c r="C109" s="689"/>
      <c r="D109" s="668"/>
      <c r="E109" s="668"/>
      <c r="F109" s="668"/>
      <c r="G109" s="689"/>
      <c r="H109" s="690"/>
      <c r="I109" s="690"/>
      <c r="J109" s="690"/>
      <c r="K109" s="690"/>
      <c r="L109" s="690"/>
      <c r="M109" s="691"/>
      <c r="N109" s="2166"/>
      <c r="O109" s="2166"/>
      <c r="P109" s="2167"/>
      <c r="Q109" s="2168"/>
      <c r="R109" s="2169"/>
      <c r="S109" s="2169"/>
      <c r="T109" s="2169"/>
      <c r="U109" s="2169"/>
      <c r="V109" s="2169"/>
      <c r="W109" s="2169"/>
      <c r="X109" s="2169"/>
      <c r="Y109" s="2169"/>
      <c r="Z109" s="2169"/>
      <c r="AA109" s="2169"/>
      <c r="AB109" s="2169"/>
      <c r="AC109" s="2169"/>
    </row>
    <row r="110" spans="1:29" ht="15" thickTop="1">
      <c r="A110" s="732"/>
      <c r="B110" s="670">
        <f>B39</f>
        <v>111</v>
      </c>
      <c r="C110" s="685"/>
      <c r="D110" s="685"/>
      <c r="E110" s="685"/>
      <c r="F110" s="685"/>
      <c r="G110" s="685"/>
      <c r="H110" s="686"/>
      <c r="I110" s="686"/>
      <c r="J110" s="686"/>
      <c r="K110" s="686"/>
      <c r="L110" s="687"/>
      <c r="M110" s="688"/>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89"/>
      <c r="D111" s="668"/>
      <c r="E111" s="668"/>
      <c r="F111" s="668"/>
      <c r="G111" s="689"/>
      <c r="H111" s="690"/>
      <c r="I111" s="690"/>
      <c r="J111" s="690"/>
      <c r="K111" s="690"/>
      <c r="L111" s="690"/>
      <c r="M111" s="691"/>
      <c r="N111" s="2165"/>
      <c r="O111" s="2165"/>
      <c r="P111" s="2164"/>
      <c r="Q111" s="2157"/>
      <c r="R111" s="2144"/>
      <c r="S111" s="2144"/>
      <c r="T111" s="2144"/>
      <c r="U111" s="2144"/>
      <c r="V111" s="2144"/>
      <c r="W111" s="2144"/>
      <c r="X111" s="2144"/>
      <c r="Y111" s="2144"/>
      <c r="Z111" s="2144"/>
      <c r="AA111" s="2144"/>
      <c r="AB111" s="2144"/>
      <c r="AC111" s="2144"/>
    </row>
    <row r="112" spans="1:29" ht="15" thickTop="1">
      <c r="A112" s="732"/>
      <c r="B112" s="678">
        <f>B40</f>
        <v>111</v>
      </c>
      <c r="C112" s="658"/>
      <c r="D112" s="658"/>
      <c r="E112" s="658"/>
      <c r="F112" s="658"/>
      <c r="G112" s="719"/>
      <c r="H112" s="719"/>
      <c r="I112" s="719"/>
      <c r="J112" s="719"/>
      <c r="K112" s="658"/>
      <c r="L112" s="659"/>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890"/>
      <c r="B113" s="696"/>
      <c r="C113" s="697"/>
      <c r="D113" s="697"/>
      <c r="E113" s="697"/>
      <c r="F113" s="697"/>
      <c r="G113" s="723"/>
      <c r="H113" s="723"/>
      <c r="I113" s="723"/>
      <c r="J113" s="723"/>
      <c r="K113" s="723"/>
      <c r="L113" s="723"/>
      <c r="M113" s="724"/>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04"/>
      <c r="G1" s="1599" t="s">
        <v>793</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794</v>
      </c>
      <c r="B2" s="847"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795</v>
      </c>
      <c r="B3" s="507" t="e">
        <f>IF(B37="元/平方米",C39,ROUND(B2*10000/D3,0))</f>
        <v>#DIV/0!</v>
      </c>
      <c r="C3" s="849" t="s">
        <v>796</v>
      </c>
      <c r="D3" s="848">
        <f>SUMIF('数据-汇总表'!$C19:$C33,D1,'数据-汇总表'!$E19:$E33)</f>
        <v>0</v>
      </c>
      <c r="E3" s="1847" t="s">
        <v>2079</v>
      </c>
      <c r="F3" s="848">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797</v>
      </c>
      <c r="B4" s="510"/>
      <c r="C4" s="3468" t="s">
        <v>798</v>
      </c>
      <c r="D4" s="3469"/>
      <c r="E4" s="3468" t="s">
        <v>799</v>
      </c>
      <c r="F4" s="3469"/>
      <c r="G4" s="3468" t="s">
        <v>800</v>
      </c>
      <c r="H4" s="3469"/>
      <c r="I4" s="3468" t="s">
        <v>801</v>
      </c>
      <c r="J4" s="3469"/>
      <c r="K4" s="511" t="s">
        <v>802</v>
      </c>
      <c r="L4" s="2132"/>
      <c r="M4" s="2133"/>
      <c r="N4" s="2133"/>
      <c r="O4" s="2133"/>
      <c r="P4" s="3470" t="s">
        <v>803</v>
      </c>
      <c r="Q4" s="3471"/>
      <c r="R4" s="3476" t="s">
        <v>799</v>
      </c>
      <c r="S4" s="3477"/>
      <c r="T4" s="3476" t="s">
        <v>800</v>
      </c>
      <c r="U4" s="3477"/>
      <c r="V4" s="3463" t="s">
        <v>801</v>
      </c>
      <c r="W4" s="3463"/>
      <c r="X4" s="1565"/>
      <c r="Y4" s="3476" t="s">
        <v>803</v>
      </c>
      <c r="Z4" s="3477"/>
      <c r="AA4" s="3465" t="s">
        <v>799</v>
      </c>
      <c r="AB4" s="3466" t="s">
        <v>800</v>
      </c>
      <c r="AC4" s="3465" t="s">
        <v>801</v>
      </c>
    </row>
    <row r="5" spans="1:29" ht="15">
      <c r="A5" s="512"/>
      <c r="B5" s="513"/>
      <c r="C5" s="3484" t="s">
        <v>2933</v>
      </c>
      <c r="D5" s="3485"/>
      <c r="E5" s="3484" t="s">
        <v>2934</v>
      </c>
      <c r="F5" s="3485"/>
      <c r="G5" s="3484" t="s">
        <v>2935</v>
      </c>
      <c r="H5" s="3485"/>
      <c r="I5" s="3484" t="s">
        <v>2936</v>
      </c>
      <c r="J5" s="3485"/>
      <c r="K5" s="511"/>
      <c r="L5" s="2132"/>
      <c r="M5" s="2133"/>
      <c r="N5" s="2133"/>
      <c r="O5" s="2133"/>
      <c r="P5" s="3472"/>
      <c r="Q5" s="3473"/>
      <c r="R5" s="3478"/>
      <c r="S5" s="3479"/>
      <c r="T5" s="3478"/>
      <c r="U5" s="3479"/>
      <c r="V5" s="3463"/>
      <c r="W5" s="3463"/>
      <c r="X5" s="1565"/>
      <c r="Y5" s="3478"/>
      <c r="Z5" s="3479"/>
      <c r="AA5" s="3466"/>
      <c r="AB5" s="3466"/>
      <c r="AC5" s="3466"/>
    </row>
    <row r="6" spans="1:29" ht="15.75" thickBot="1">
      <c r="A6" s="514"/>
      <c r="B6" s="515"/>
      <c r="C6" s="3482" t="s">
        <v>2937</v>
      </c>
      <c r="D6" s="3483"/>
      <c r="E6" s="3486" t="s">
        <v>2937</v>
      </c>
      <c r="F6" s="3487"/>
      <c r="G6" s="3482" t="s">
        <v>2937</v>
      </c>
      <c r="H6" s="3483"/>
      <c r="I6" s="3482" t="s">
        <v>2937</v>
      </c>
      <c r="J6" s="3483"/>
      <c r="K6" s="511" t="s">
        <v>528</v>
      </c>
      <c r="L6" s="2132"/>
      <c r="M6" s="2133"/>
      <c r="N6" s="2133"/>
      <c r="O6" s="2133"/>
      <c r="P6" s="3474"/>
      <c r="Q6" s="3475"/>
      <c r="R6" s="3478"/>
      <c r="S6" s="3479"/>
      <c r="T6" s="3480"/>
      <c r="U6" s="3481"/>
      <c r="V6" s="3463"/>
      <c r="W6" s="3463"/>
      <c r="X6" s="1565"/>
      <c r="Y6" s="3480"/>
      <c r="Z6" s="3481"/>
      <c r="AA6" s="3467"/>
      <c r="AB6" s="3467"/>
      <c r="AC6" s="3467"/>
    </row>
    <row r="7" spans="1:29" s="1217" customFormat="1" ht="15.75" thickBot="1">
      <c r="A7" s="2909"/>
      <c r="B7" s="2916" t="s">
        <v>529</v>
      </c>
      <c r="C7" s="516">
        <f>'数据-取费表'!B2</f>
        <v>43650</v>
      </c>
      <c r="D7" s="517">
        <v>100</v>
      </c>
      <c r="E7" s="518"/>
      <c r="F7" s="519">
        <f>SUMIF(48:48,YEAR(E7)&amp;"-"&amp;MONTH(E7),49:49)</f>
        <v>0</v>
      </c>
      <c r="G7" s="520"/>
      <c r="H7" s="517">
        <f>SUMIF(48:48,YEAR(G7)&amp;"-"&amp;MONTH(G7),49:49)</f>
        <v>0</v>
      </c>
      <c r="I7" s="520"/>
      <c r="J7" s="517">
        <f>SUMIF(48:48,YEAR(I7)&amp;"-"&amp;MONTH(I7),49:49)</f>
        <v>0</v>
      </c>
      <c r="K7" s="521"/>
      <c r="L7" s="2134"/>
      <c r="M7" s="2135"/>
      <c r="N7" s="2135"/>
      <c r="O7" s="2135"/>
      <c r="P7" s="3493" t="s">
        <v>530</v>
      </c>
      <c r="Q7" s="3495"/>
      <c r="R7" s="1566" t="s">
        <v>8</v>
      </c>
      <c r="S7" s="1567">
        <f t="shared" ref="S7:S14" si="0">F7</f>
        <v>0</v>
      </c>
      <c r="T7" s="1566" t="s">
        <v>8</v>
      </c>
      <c r="U7" s="1567">
        <f t="shared" ref="U7:U14" si="1">H7</f>
        <v>0</v>
      </c>
      <c r="V7" s="1566" t="s">
        <v>8</v>
      </c>
      <c r="W7" s="1567">
        <f t="shared" ref="W7:W14"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522"/>
      <c r="F8" s="519">
        <f>SUMIF(51:51,E8,52:52)-SUMIF(51:51,C8,52:52)+100</f>
        <v>0</v>
      </c>
      <c r="G8" s="522"/>
      <c r="H8" s="517">
        <f>SUMIF(51:51,G8,52:52)-SUMIF(51:51,C8,52:52)+100</f>
        <v>0</v>
      </c>
      <c r="I8" s="522"/>
      <c r="J8" s="517">
        <f>SUMIF(51:51,I8,52:52)-SUMIF(51:51,C8,52:52)+100</f>
        <v>0</v>
      </c>
      <c r="K8" s="521"/>
      <c r="L8" s="2134"/>
      <c r="M8" s="2135"/>
      <c r="N8" s="2135"/>
      <c r="O8" s="2135"/>
      <c r="P8" s="3493" t="s">
        <v>533</v>
      </c>
      <c r="Q8" s="3494"/>
      <c r="R8" s="1566" t="s">
        <v>8</v>
      </c>
      <c r="S8" s="1567">
        <f t="shared" si="0"/>
        <v>0</v>
      </c>
      <c r="T8" s="1566" t="s">
        <v>8</v>
      </c>
      <c r="U8" s="1567">
        <f t="shared" si="1"/>
        <v>0</v>
      </c>
      <c r="V8" s="1566" t="s">
        <v>8</v>
      </c>
      <c r="W8" s="1567">
        <f t="shared" si="2"/>
        <v>0</v>
      </c>
      <c r="X8" s="1568"/>
      <c r="Y8" s="3493" t="s">
        <v>533</v>
      </c>
      <c r="Z8" s="3494"/>
      <c r="AA8" s="1569" t="e">
        <f t="shared" ref="AA8:AA36" si="3">D8/F8</f>
        <v>#DIV/0!</v>
      </c>
      <c r="AB8" s="1569" t="e">
        <f t="shared" ref="AB8:AB36" si="4">D8/H8</f>
        <v>#DIV/0!</v>
      </c>
      <c r="AC8" s="1569" t="e">
        <f t="shared" ref="AC8:AC36" si="5">D8/J8</f>
        <v>#DIV/0!</v>
      </c>
    </row>
    <row r="9" spans="1:29" s="1217" customFormat="1" ht="15">
      <c r="A9" s="2911"/>
      <c r="B9" s="2918" t="s">
        <v>2759</v>
      </c>
      <c r="C9" s="854"/>
      <c r="D9" s="254">
        <v>100</v>
      </c>
      <c r="E9" s="857"/>
      <c r="F9" s="254">
        <f>SUMIF(53:53,E9,54:54)-SUMIF(53:53,C9,54:54)+100</f>
        <v>100</v>
      </c>
      <c r="G9" s="855"/>
      <c r="H9" s="254">
        <f>SUMIF(53:53,G9,54:54)-SUMIF(53:53,C9,54:54)+100</f>
        <v>100</v>
      </c>
      <c r="I9" s="855"/>
      <c r="J9" s="254">
        <f>SUMIF(53:53,I9,54:54)-SUMIF(53:53,C9,54:54)+100</f>
        <v>100</v>
      </c>
      <c r="K9" s="521"/>
      <c r="L9" s="2134"/>
      <c r="M9" s="2135"/>
      <c r="N9" s="2135"/>
      <c r="O9" s="2136"/>
      <c r="P9" s="3462" t="s">
        <v>535</v>
      </c>
      <c r="Q9" s="1148" t="str">
        <f t="shared" ref="Q9:Q14" si="6">B9</f>
        <v>用途</v>
      </c>
      <c r="R9" s="1566" t="s">
        <v>8</v>
      </c>
      <c r="S9" s="1567">
        <f t="shared" si="0"/>
        <v>100</v>
      </c>
      <c r="T9" s="1566" t="s">
        <v>8</v>
      </c>
      <c r="U9" s="1567">
        <f t="shared" si="1"/>
        <v>100</v>
      </c>
      <c r="V9" s="1566" t="s">
        <v>8</v>
      </c>
      <c r="W9" s="1567">
        <f t="shared" si="2"/>
        <v>100</v>
      </c>
      <c r="X9" s="1568"/>
      <c r="Y9" s="3383" t="s">
        <v>536</v>
      </c>
      <c r="Z9" s="1147" t="str">
        <f t="shared" ref="Z9:Z14" si="7">Q9</f>
        <v>用途</v>
      </c>
      <c r="AA9" s="1569">
        <f t="shared" si="3"/>
        <v>1</v>
      </c>
      <c r="AB9" s="1569">
        <f t="shared" si="4"/>
        <v>1</v>
      </c>
      <c r="AC9" s="1569">
        <f t="shared" si="5"/>
        <v>1</v>
      </c>
    </row>
    <row r="10" spans="1:29" s="1335" customFormat="1" ht="27">
      <c r="A10" s="2912"/>
      <c r="B10" s="2917" t="s">
        <v>2760</v>
      </c>
      <c r="C10" s="858"/>
      <c r="D10" s="255">
        <v>100</v>
      </c>
      <c r="E10" s="858"/>
      <c r="F10" s="255">
        <f>SUMIF(55:55,E10,56:56)-SUMIF(55:55,C10,56:56)+100</f>
        <v>100</v>
      </c>
      <c r="G10" s="859"/>
      <c r="H10" s="255">
        <f>SUMIF(55:55,G10,56:56)-SUMIF(55:55,C10,56:56)+100</f>
        <v>100</v>
      </c>
      <c r="I10" s="858"/>
      <c r="J10" s="255">
        <f>SUMIF(55:55,I10,56:56)-SUMIF(55:55,C10,56:56)+100</f>
        <v>100</v>
      </c>
      <c r="K10" s="581"/>
      <c r="L10" s="2137"/>
      <c r="M10" s="2177"/>
      <c r="N10" s="2177"/>
      <c r="O10" s="2138"/>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4"/>
      <c r="B11" s="2920">
        <v>111</v>
      </c>
      <c r="C11" s="525"/>
      <c r="D11" s="255">
        <v>100</v>
      </c>
      <c r="E11" s="525"/>
      <c r="F11" s="255">
        <f>SUMIF(57:57,E11,58:58)-SUMIF(57:57,C11,58:58)+100</f>
        <v>100</v>
      </c>
      <c r="G11" s="525"/>
      <c r="H11" s="255">
        <f>SUMIF(57:57,G11,58:58)-SUMIF(57:57,C11,58:58)+100</f>
        <v>100</v>
      </c>
      <c r="I11" s="525"/>
      <c r="J11" s="255">
        <f>SUMIF(57:57,I11,58:58)-SUMIF(57:57,C11,58:58)+100</f>
        <v>100</v>
      </c>
      <c r="K11" s="578"/>
      <c r="L11" s="2139"/>
      <c r="M11" s="2133"/>
      <c r="N11" s="2133"/>
      <c r="O11" s="2140"/>
      <c r="P11" s="3462"/>
      <c r="Q11" s="1148">
        <f t="shared" si="6"/>
        <v>111</v>
      </c>
      <c r="R11" s="1566" t="s">
        <v>8</v>
      </c>
      <c r="S11" s="1567">
        <f t="shared" si="0"/>
        <v>100</v>
      </c>
      <c r="T11" s="1566" t="s">
        <v>8</v>
      </c>
      <c r="U11" s="1567">
        <f t="shared" si="1"/>
        <v>100</v>
      </c>
      <c r="V11" s="1566" t="s">
        <v>8</v>
      </c>
      <c r="W11" s="1567">
        <f t="shared" si="2"/>
        <v>100</v>
      </c>
      <c r="X11" s="1568"/>
      <c r="Y11" s="3383"/>
      <c r="Z11" s="1147">
        <f t="shared" si="7"/>
        <v>111</v>
      </c>
      <c r="AA11" s="1569">
        <f t="shared" si="3"/>
        <v>1</v>
      </c>
      <c r="AB11" s="1569">
        <f t="shared" si="4"/>
        <v>1</v>
      </c>
      <c r="AC11" s="1569">
        <f t="shared" si="5"/>
        <v>1</v>
      </c>
    </row>
    <row r="12" spans="1:29" s="1217" customFormat="1" ht="15">
      <c r="A12" s="2914"/>
      <c r="B12" s="2920">
        <v>111</v>
      </c>
      <c r="C12" s="525"/>
      <c r="D12" s="535">
        <v>100</v>
      </c>
      <c r="E12" s="525"/>
      <c r="F12" s="255">
        <f>SUMIF(59:59,E12,60:60)-SUMIF(59:59,C12,60:60)+100</f>
        <v>100</v>
      </c>
      <c r="G12" s="525"/>
      <c r="H12" s="255">
        <f>SUMIF(59:59,G12,60:60)-SUMIF(59:59,C12,60:60)+100</f>
        <v>100</v>
      </c>
      <c r="I12" s="525"/>
      <c r="J12" s="255">
        <f>SUMIF(59:59,I12,60:60)-SUMIF(59:59,C12,60:60)+100</f>
        <v>100</v>
      </c>
      <c r="K12" s="578"/>
      <c r="L12" s="2134"/>
      <c r="M12" s="2135"/>
      <c r="N12" s="2135"/>
      <c r="O12" s="2136"/>
      <c r="P12" s="3462"/>
      <c r="Q12" s="1148">
        <f t="shared" si="6"/>
        <v>111</v>
      </c>
      <c r="R12" s="1566" t="s">
        <v>8</v>
      </c>
      <c r="S12" s="1567">
        <f t="shared" si="0"/>
        <v>100</v>
      </c>
      <c r="T12" s="1566" t="s">
        <v>8</v>
      </c>
      <c r="U12" s="1567">
        <f t="shared" si="1"/>
        <v>100</v>
      </c>
      <c r="V12" s="1566" t="s">
        <v>8</v>
      </c>
      <c r="W12" s="1567">
        <f t="shared" si="2"/>
        <v>100</v>
      </c>
      <c r="X12" s="1568"/>
      <c r="Y12" s="3383"/>
      <c r="Z12" s="1147">
        <f t="shared" si="7"/>
        <v>111</v>
      </c>
      <c r="AA12" s="1569">
        <f>D12/F12</f>
        <v>1</v>
      </c>
      <c r="AB12" s="1569">
        <f>D12/H12</f>
        <v>1</v>
      </c>
      <c r="AC12" s="1569">
        <f>D12/J12</f>
        <v>1</v>
      </c>
    </row>
    <row r="13" spans="1:29" ht="15.75" thickBot="1">
      <c r="A13" s="2915"/>
      <c r="B13" s="2921">
        <v>111</v>
      </c>
      <c r="C13" s="536"/>
      <c r="D13" s="537">
        <v>100</v>
      </c>
      <c r="E13" s="525"/>
      <c r="F13" s="255">
        <f>SUMIF(61:61,E13,62:62)-SUMIF(61:61,C13,62:62)+100</f>
        <v>100</v>
      </c>
      <c r="G13" s="525"/>
      <c r="H13" s="537">
        <f>SUMIF(61:61,G13,62:62)-SUMIF(61:61,C13,62:62)+100</f>
        <v>100</v>
      </c>
      <c r="I13" s="525"/>
      <c r="J13" s="537">
        <f>SUMIF(61:61,I13,62:62)-SUMIF(61:61,C13,62:62)+100</f>
        <v>100</v>
      </c>
      <c r="K13" s="578"/>
      <c r="L13" s="2141"/>
      <c r="M13" s="2133"/>
      <c r="N13" s="2133"/>
      <c r="O13" s="2140"/>
      <c r="P13" s="3462"/>
      <c r="Q13" s="1148">
        <f t="shared" si="6"/>
        <v>111</v>
      </c>
      <c r="R13" s="1566" t="s">
        <v>8</v>
      </c>
      <c r="S13" s="1567">
        <f t="shared" si="0"/>
        <v>100</v>
      </c>
      <c r="T13" s="1566" t="s">
        <v>8</v>
      </c>
      <c r="U13" s="1567">
        <f t="shared" si="1"/>
        <v>100</v>
      </c>
      <c r="V13" s="1566" t="s">
        <v>8</v>
      </c>
      <c r="W13" s="1567">
        <f t="shared" si="2"/>
        <v>100</v>
      </c>
      <c r="X13" s="1568"/>
      <c r="Y13" s="3383"/>
      <c r="Z13" s="1147">
        <f t="shared" si="7"/>
        <v>111</v>
      </c>
      <c r="AA13" s="1569">
        <f t="shared" si="3"/>
        <v>1</v>
      </c>
      <c r="AB13" s="1569">
        <f t="shared" si="4"/>
        <v>1</v>
      </c>
      <c r="AC13" s="1569">
        <f t="shared" si="5"/>
        <v>1</v>
      </c>
    </row>
    <row r="14" spans="1:29" ht="85.5">
      <c r="A14" s="2907" t="s">
        <v>2757</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41"/>
      <c r="M14" s="2133"/>
      <c r="N14" s="2133"/>
      <c r="O14" s="2140"/>
      <c r="P14" s="3496" t="s">
        <v>540</v>
      </c>
      <c r="Q14" s="1570" t="str">
        <f t="shared" si="6"/>
        <v>交通便捷度</v>
      </c>
      <c r="R14" s="1571" t="s">
        <v>8</v>
      </c>
      <c r="S14" s="1572">
        <f t="shared" si="0"/>
        <v>100</v>
      </c>
      <c r="T14" s="1571" t="s">
        <v>8</v>
      </c>
      <c r="U14" s="1572">
        <f t="shared" si="1"/>
        <v>100</v>
      </c>
      <c r="V14" s="1571" t="s">
        <v>8</v>
      </c>
      <c r="W14" s="1572">
        <f t="shared" si="2"/>
        <v>100</v>
      </c>
      <c r="X14" s="1565"/>
      <c r="Y14" s="3496" t="s">
        <v>540</v>
      </c>
      <c r="Z14" s="1573" t="str">
        <f t="shared" si="7"/>
        <v>交通便捷度</v>
      </c>
      <c r="AA14" s="1574">
        <f t="shared" si="3"/>
        <v>1</v>
      </c>
      <c r="AB14" s="1574">
        <f t="shared" si="4"/>
        <v>1</v>
      </c>
      <c r="AC14" s="1574">
        <f t="shared" si="5"/>
        <v>1</v>
      </c>
    </row>
    <row r="15" spans="1:29" ht="15">
      <c r="A15" s="512"/>
      <c r="B15" s="921"/>
      <c r="C15" s="573"/>
      <c r="D15" s="552"/>
      <c r="E15" s="573"/>
      <c r="F15" s="554"/>
      <c r="G15" s="573"/>
      <c r="H15" s="556"/>
      <c r="I15" s="573"/>
      <c r="J15" s="552"/>
      <c r="K15" s="896"/>
      <c r="L15" s="2141"/>
      <c r="M15" s="2133"/>
      <c r="N15" s="2133"/>
      <c r="O15" s="2140"/>
      <c r="P15" s="3497"/>
      <c r="Q15" s="1570"/>
      <c r="R15" s="1571"/>
      <c r="S15" s="1572"/>
      <c r="T15" s="1571"/>
      <c r="U15" s="1572"/>
      <c r="V15" s="1571"/>
      <c r="W15" s="1572"/>
      <c r="X15" s="1565"/>
      <c r="Y15" s="3497"/>
      <c r="Z15" s="1573"/>
      <c r="AA15" s="1574">
        <v>1</v>
      </c>
      <c r="AB15" s="1574">
        <v>1</v>
      </c>
      <c r="AC15" s="1574">
        <v>1</v>
      </c>
    </row>
    <row r="16" spans="1:29" ht="42.75">
      <c r="A16" s="512"/>
      <c r="B16" s="2602" t="s">
        <v>2549</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41"/>
      <c r="M16" s="2133"/>
      <c r="N16" s="2133"/>
      <c r="O16" s="2140"/>
      <c r="P16" s="3497"/>
      <c r="Q16" s="1570" t="str">
        <f>B16</f>
        <v>公共配套设施</v>
      </c>
      <c r="R16" s="1571" t="s">
        <v>8</v>
      </c>
      <c r="S16" s="1572">
        <f>F16</f>
        <v>100</v>
      </c>
      <c r="T16" s="1571" t="s">
        <v>8</v>
      </c>
      <c r="U16" s="1572">
        <f>H16</f>
        <v>100</v>
      </c>
      <c r="V16" s="1571" t="s">
        <v>8</v>
      </c>
      <c r="W16" s="1572">
        <f>J16</f>
        <v>100</v>
      </c>
      <c r="X16" s="1565"/>
      <c r="Y16" s="3497"/>
      <c r="Z16" s="1573" t="str">
        <f>Q16</f>
        <v>公共配套设施</v>
      </c>
      <c r="AA16" s="1574">
        <f t="shared" si="3"/>
        <v>1</v>
      </c>
      <c r="AB16" s="1574">
        <f t="shared" si="4"/>
        <v>1</v>
      </c>
      <c r="AC16" s="1574">
        <f t="shared" si="5"/>
        <v>1</v>
      </c>
    </row>
    <row r="17" spans="1:29" ht="15">
      <c r="A17" s="512"/>
      <c r="B17" s="563"/>
      <c r="C17" s="870"/>
      <c r="D17" s="552"/>
      <c r="E17" s="573"/>
      <c r="F17" s="554"/>
      <c r="G17" s="573"/>
      <c r="H17" s="552"/>
      <c r="I17" s="573"/>
      <c r="J17" s="552"/>
      <c r="K17" s="896"/>
      <c r="L17" s="2141"/>
      <c r="M17" s="2133"/>
      <c r="N17" s="2133"/>
      <c r="O17" s="2140"/>
      <c r="P17" s="3497"/>
      <c r="Q17" s="1570"/>
      <c r="R17" s="1571"/>
      <c r="S17" s="1572"/>
      <c r="T17" s="1571"/>
      <c r="U17" s="1572"/>
      <c r="V17" s="1571"/>
      <c r="W17" s="1572"/>
      <c r="X17" s="1565"/>
      <c r="Y17" s="3497"/>
      <c r="Z17" s="1573"/>
      <c r="AA17" s="1574">
        <v>1</v>
      </c>
      <c r="AB17" s="1574">
        <v>1</v>
      </c>
      <c r="AC17" s="1574">
        <v>1</v>
      </c>
    </row>
    <row r="18" spans="1:29" ht="28.5">
      <c r="A18" s="512"/>
      <c r="B18" s="2590" t="s">
        <v>2561</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41"/>
      <c r="M18" s="2133"/>
      <c r="N18" s="2133"/>
      <c r="O18" s="2140"/>
      <c r="P18" s="3497"/>
      <c r="Q18" s="2578" t="str">
        <f>B18</f>
        <v>基础设施水平</v>
      </c>
      <c r="R18" s="1571" t="s">
        <v>8</v>
      </c>
      <c r="S18" s="1572">
        <f>F18</f>
        <v>100</v>
      </c>
      <c r="T18" s="1571" t="s">
        <v>8</v>
      </c>
      <c r="U18" s="1572">
        <f>H18</f>
        <v>100</v>
      </c>
      <c r="V18" s="1571" t="s">
        <v>8</v>
      </c>
      <c r="W18" s="1572">
        <f>J18</f>
        <v>100</v>
      </c>
      <c r="X18" s="2580"/>
      <c r="Y18" s="3497"/>
      <c r="Z18" s="2579" t="str">
        <f>Q18</f>
        <v>基础设施水平</v>
      </c>
      <c r="AA18" s="1574">
        <f t="shared" ref="AA18" si="8">D18/F18</f>
        <v>1</v>
      </c>
      <c r="AB18" s="1574">
        <f t="shared" ref="AB18" si="9">D18/H18</f>
        <v>1</v>
      </c>
      <c r="AC18" s="1574">
        <f t="shared" ref="AC18" si="10">D18/J18</f>
        <v>1</v>
      </c>
    </row>
    <row r="19" spans="1:29" ht="15">
      <c r="A19" s="512"/>
      <c r="B19" s="575"/>
      <c r="C19" s="870"/>
      <c r="D19" s="556"/>
      <c r="E19" s="573"/>
      <c r="F19" s="554"/>
      <c r="G19" s="573"/>
      <c r="H19" s="552"/>
      <c r="I19" s="573"/>
      <c r="J19" s="552"/>
      <c r="K19" s="2601"/>
      <c r="L19" s="2141"/>
      <c r="M19" s="2133"/>
      <c r="N19" s="2133"/>
      <c r="O19" s="2140"/>
      <c r="P19" s="3497"/>
      <c r="Q19" s="2578"/>
      <c r="R19" s="1571"/>
      <c r="S19" s="1572"/>
      <c r="T19" s="1571"/>
      <c r="U19" s="1572"/>
      <c r="V19" s="1571"/>
      <c r="W19" s="1572"/>
      <c r="X19" s="2580"/>
      <c r="Y19" s="3497"/>
      <c r="Z19" s="2579"/>
      <c r="AA19" s="1574">
        <v>1</v>
      </c>
      <c r="AB19" s="1574">
        <v>1</v>
      </c>
      <c r="AC19" s="1574">
        <v>1</v>
      </c>
    </row>
    <row r="20" spans="1:29" ht="57">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41"/>
      <c r="M20" s="2133"/>
      <c r="N20" s="2133"/>
      <c r="O20" s="2140"/>
      <c r="P20" s="3497"/>
      <c r="Q20" s="1570" t="str">
        <f>B20</f>
        <v>自然及人文环境</v>
      </c>
      <c r="R20" s="1571" t="s">
        <v>8</v>
      </c>
      <c r="S20" s="1572">
        <f>F20</f>
        <v>100</v>
      </c>
      <c r="T20" s="1571" t="s">
        <v>8</v>
      </c>
      <c r="U20" s="1572">
        <f>H20</f>
        <v>100</v>
      </c>
      <c r="V20" s="1571" t="s">
        <v>8</v>
      </c>
      <c r="W20" s="1572">
        <f>J20</f>
        <v>100</v>
      </c>
      <c r="X20" s="1565"/>
      <c r="Y20" s="3497"/>
      <c r="Z20" s="1573" t="str">
        <f>Q20</f>
        <v>自然及人文环境</v>
      </c>
      <c r="AA20" s="1574">
        <f t="shared" si="3"/>
        <v>1</v>
      </c>
      <c r="AB20" s="1574">
        <f t="shared" si="4"/>
        <v>1</v>
      </c>
      <c r="AC20" s="1574">
        <f t="shared" si="5"/>
        <v>1</v>
      </c>
    </row>
    <row r="21" spans="1:29" ht="15">
      <c r="A21" s="512"/>
      <c r="B21" s="563"/>
      <c r="C21" s="573"/>
      <c r="D21" s="552"/>
      <c r="E21" s="573"/>
      <c r="F21" s="554"/>
      <c r="G21" s="573"/>
      <c r="H21" s="552"/>
      <c r="I21" s="573"/>
      <c r="J21" s="552"/>
      <c r="K21" s="896"/>
      <c r="L21" s="2141"/>
      <c r="M21" s="2133"/>
      <c r="N21" s="2133"/>
      <c r="O21" s="2140"/>
      <c r="P21" s="3497"/>
      <c r="Q21" s="1570"/>
      <c r="R21" s="1571"/>
      <c r="S21" s="1572"/>
      <c r="T21" s="1571"/>
      <c r="U21" s="1572"/>
      <c r="V21" s="1571"/>
      <c r="W21" s="1572"/>
      <c r="X21" s="1565"/>
      <c r="Y21" s="3497"/>
      <c r="Z21" s="1573"/>
      <c r="AA21" s="1574">
        <v>1</v>
      </c>
      <c r="AB21" s="1574">
        <v>1</v>
      </c>
      <c r="AC21" s="1574">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41"/>
      <c r="M22" s="2133"/>
      <c r="N22" s="2133"/>
      <c r="O22" s="2140"/>
      <c r="P22" s="3497"/>
      <c r="Q22" s="1570" t="str">
        <f>B22</f>
        <v>楼层</v>
      </c>
      <c r="R22" s="1571" t="s">
        <v>8</v>
      </c>
      <c r="S22" s="1572">
        <f>F22</f>
        <v>100</v>
      </c>
      <c r="T22" s="1571" t="s">
        <v>8</v>
      </c>
      <c r="U22" s="1572">
        <f>H22</f>
        <v>100</v>
      </c>
      <c r="V22" s="1571" t="s">
        <v>8</v>
      </c>
      <c r="W22" s="1572">
        <f>J22</f>
        <v>100</v>
      </c>
      <c r="X22" s="1565"/>
      <c r="Y22" s="3497"/>
      <c r="Z22" s="1573" t="str">
        <f>Q22</f>
        <v>楼层</v>
      </c>
      <c r="AA22" s="1574">
        <f t="shared" si="3"/>
        <v>1</v>
      </c>
      <c r="AB22" s="1574">
        <f t="shared" si="4"/>
        <v>1</v>
      </c>
      <c r="AC22" s="1574">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41"/>
      <c r="M23" s="2133"/>
      <c r="N23" s="2133"/>
      <c r="O23" s="2140"/>
      <c r="P23" s="3497"/>
      <c r="Q23" s="1570">
        <f>B23</f>
        <v>111</v>
      </c>
      <c r="R23" s="1571" t="s">
        <v>8</v>
      </c>
      <c r="S23" s="1572">
        <f>F23</f>
        <v>100</v>
      </c>
      <c r="T23" s="1571" t="s">
        <v>8</v>
      </c>
      <c r="U23" s="1572">
        <f>H23</f>
        <v>100</v>
      </c>
      <c r="V23" s="1571" t="s">
        <v>8</v>
      </c>
      <c r="W23" s="1572">
        <f>J23</f>
        <v>100</v>
      </c>
      <c r="X23" s="1565"/>
      <c r="Y23" s="3497"/>
      <c r="Z23" s="1573">
        <f>Q23</f>
        <v>111</v>
      </c>
      <c r="AA23" s="1574">
        <f t="shared" si="3"/>
        <v>1</v>
      </c>
      <c r="AB23" s="1574">
        <f t="shared" si="4"/>
        <v>1</v>
      </c>
      <c r="AC23" s="1574">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41"/>
      <c r="M24" s="2133"/>
      <c r="N24" s="2133"/>
      <c r="O24" s="2140"/>
      <c r="P24" s="3497"/>
      <c r="Q24" s="1570">
        <f t="shared" ref="Q24:Q36" si="11">B24</f>
        <v>111</v>
      </c>
      <c r="R24" s="1571" t="s">
        <v>8</v>
      </c>
      <c r="S24" s="1572">
        <f>F24</f>
        <v>100</v>
      </c>
      <c r="T24" s="1571" t="s">
        <v>8</v>
      </c>
      <c r="U24" s="1572">
        <f>H24</f>
        <v>100</v>
      </c>
      <c r="V24" s="1571" t="s">
        <v>8</v>
      </c>
      <c r="W24" s="1572">
        <f>J24</f>
        <v>100</v>
      </c>
      <c r="X24" s="1565"/>
      <c r="Y24" s="3497"/>
      <c r="Z24" s="1573">
        <f>Q24</f>
        <v>111</v>
      </c>
      <c r="AA24" s="1574">
        <f t="shared" si="3"/>
        <v>1</v>
      </c>
      <c r="AB24" s="1574">
        <f t="shared" si="4"/>
        <v>1</v>
      </c>
      <c r="AC24" s="1574">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4"/>
      <c r="M25" s="2135"/>
      <c r="N25" s="2135"/>
      <c r="O25" s="2136"/>
      <c r="P25" s="3497"/>
      <c r="Q25" s="1148">
        <f t="shared" si="11"/>
        <v>111</v>
      </c>
      <c r="R25" s="1566" t="s">
        <v>8</v>
      </c>
      <c r="S25" s="1567">
        <f>F25</f>
        <v>100</v>
      </c>
      <c r="T25" s="1566" t="s">
        <v>8</v>
      </c>
      <c r="U25" s="1567">
        <f>H25</f>
        <v>100</v>
      </c>
      <c r="V25" s="1566" t="s">
        <v>8</v>
      </c>
      <c r="W25" s="1567">
        <f>J25</f>
        <v>100</v>
      </c>
      <c r="X25" s="1568"/>
      <c r="Y25" s="3497"/>
      <c r="Z25" s="1147">
        <f>Q25</f>
        <v>111</v>
      </c>
      <c r="AA25" s="1574">
        <f>D25/F25</f>
        <v>1</v>
      </c>
      <c r="AB25" s="1574">
        <f>D25/H25</f>
        <v>1</v>
      </c>
      <c r="AC25" s="1574">
        <f>D25/J25</f>
        <v>1</v>
      </c>
    </row>
    <row r="26" spans="1:29" ht="15">
      <c r="A26" s="2904"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41"/>
      <c r="M26" s="2133"/>
      <c r="N26" s="2133"/>
      <c r="O26" s="2140"/>
      <c r="P26" s="3498"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99" t="s">
        <v>550</v>
      </c>
      <c r="Z26" s="1573" t="str">
        <f t="shared" ref="Z26:Z36" si="15">Q26</f>
        <v>配套类型</v>
      </c>
      <c r="AA26" s="1574">
        <f t="shared" si="3"/>
        <v>1</v>
      </c>
      <c r="AB26" s="1574">
        <f t="shared" si="4"/>
        <v>1</v>
      </c>
      <c r="AC26" s="1574">
        <f t="shared" si="5"/>
        <v>1</v>
      </c>
    </row>
    <row r="27" spans="1:29" s="1336" customFormat="1" ht="15">
      <c r="A27" s="926"/>
      <c r="B27" s="579" t="s">
        <v>807</v>
      </c>
      <c r="C27" s="927"/>
      <c r="D27" s="255">
        <v>100</v>
      </c>
      <c r="E27" s="927"/>
      <c r="F27" s="572">
        <f>SUMIF(81:81,E27,82:82)-SUMIF(81:81,C27,82:82)+100</f>
        <v>100</v>
      </c>
      <c r="G27" s="927"/>
      <c r="H27" s="537">
        <f>SUMIF(81:81,G27,82:82)-SUMIF(81:81,C27,82:82)+100</f>
        <v>100</v>
      </c>
      <c r="I27" s="927"/>
      <c r="J27" s="537">
        <f>SUMIF(81:81,I27,82:82)-SUMIF(81:81,C27,82:82)+100</f>
        <v>100</v>
      </c>
      <c r="K27" s="578"/>
      <c r="L27" s="2139"/>
      <c r="M27" s="2170"/>
      <c r="N27" s="2170"/>
      <c r="O27" s="2142"/>
      <c r="P27" s="3499"/>
      <c r="Q27" s="1603" t="str">
        <f t="shared" si="11"/>
        <v>项目停车位配比</v>
      </c>
      <c r="R27" s="1575" t="s">
        <v>8</v>
      </c>
      <c r="S27" s="1576">
        <f t="shared" si="12"/>
        <v>100</v>
      </c>
      <c r="T27" s="1575" t="s">
        <v>8</v>
      </c>
      <c r="U27" s="1576">
        <f t="shared" si="13"/>
        <v>100</v>
      </c>
      <c r="V27" s="1575" t="s">
        <v>8</v>
      </c>
      <c r="W27" s="1576">
        <f t="shared" si="14"/>
        <v>100</v>
      </c>
      <c r="X27" s="1577"/>
      <c r="Y27" s="3499"/>
      <c r="Z27" s="1578" t="str">
        <f t="shared" si="15"/>
        <v>项目停车位配比</v>
      </c>
      <c r="AA27" s="1574">
        <f t="shared" si="3"/>
        <v>1</v>
      </c>
      <c r="AB27" s="1574">
        <f t="shared" si="4"/>
        <v>1</v>
      </c>
      <c r="AC27" s="1574">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41"/>
      <c r="M28" s="2133"/>
      <c r="N28" s="2133"/>
      <c r="O28" s="2140"/>
      <c r="P28" s="3499"/>
      <c r="Q28" s="1570" t="str">
        <f t="shared" si="11"/>
        <v>公共部分装修</v>
      </c>
      <c r="R28" s="1571" t="s">
        <v>8</v>
      </c>
      <c r="S28" s="1572">
        <f t="shared" si="12"/>
        <v>100</v>
      </c>
      <c r="T28" s="1571" t="s">
        <v>8</v>
      </c>
      <c r="U28" s="1572">
        <f t="shared" si="13"/>
        <v>100</v>
      </c>
      <c r="V28" s="1571" t="s">
        <v>8</v>
      </c>
      <c r="W28" s="1572">
        <f t="shared" si="14"/>
        <v>100</v>
      </c>
      <c r="X28" s="1565"/>
      <c r="Y28" s="3499"/>
      <c r="Z28" s="1573" t="str">
        <f t="shared" si="15"/>
        <v>公共部分装修</v>
      </c>
      <c r="AA28" s="1574">
        <f t="shared" si="3"/>
        <v>1</v>
      </c>
      <c r="AB28" s="1574">
        <f t="shared" si="4"/>
        <v>1</v>
      </c>
      <c r="AC28" s="1574">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41"/>
      <c r="M29" s="2133"/>
      <c r="N29" s="2133"/>
      <c r="O29" s="2140"/>
      <c r="P29" s="3499"/>
      <c r="Q29" s="1570" t="str">
        <f t="shared" si="11"/>
        <v>成新率</v>
      </c>
      <c r="R29" s="1571" t="s">
        <v>8</v>
      </c>
      <c r="S29" s="1572" t="e">
        <f t="shared" si="12"/>
        <v>#N/A</v>
      </c>
      <c r="T29" s="1571" t="s">
        <v>8</v>
      </c>
      <c r="U29" s="1572" t="e">
        <f t="shared" si="13"/>
        <v>#N/A</v>
      </c>
      <c r="V29" s="1571" t="s">
        <v>8</v>
      </c>
      <c r="W29" s="1572" t="e">
        <f t="shared" si="14"/>
        <v>#N/A</v>
      </c>
      <c r="X29" s="1565"/>
      <c r="Y29" s="3499"/>
      <c r="Z29" s="1573" t="str">
        <f t="shared" si="15"/>
        <v>成新率</v>
      </c>
      <c r="AA29" s="1574" t="e">
        <f t="shared" si="3"/>
        <v>#N/A</v>
      </c>
      <c r="AB29" s="1574" t="e">
        <f t="shared" si="4"/>
        <v>#N/A</v>
      </c>
      <c r="AC29" s="1574"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41"/>
      <c r="M30" s="2133"/>
      <c r="N30" s="2133"/>
      <c r="O30" s="2140"/>
      <c r="P30" s="3499"/>
      <c r="Q30" s="1570" t="str">
        <f t="shared" si="11"/>
        <v>物业等级</v>
      </c>
      <c r="R30" s="1571" t="s">
        <v>8</v>
      </c>
      <c r="S30" s="1572">
        <f t="shared" si="12"/>
        <v>100</v>
      </c>
      <c r="T30" s="1571" t="s">
        <v>8</v>
      </c>
      <c r="U30" s="1572">
        <f t="shared" si="13"/>
        <v>100</v>
      </c>
      <c r="V30" s="1571" t="s">
        <v>8</v>
      </c>
      <c r="W30" s="1572">
        <f t="shared" si="14"/>
        <v>100</v>
      </c>
      <c r="X30" s="1565"/>
      <c r="Y30" s="3499"/>
      <c r="Z30" s="1573" t="str">
        <f t="shared" si="15"/>
        <v>物业等级</v>
      </c>
      <c r="AA30" s="1574">
        <f t="shared" si="3"/>
        <v>1</v>
      </c>
      <c r="AB30" s="1574">
        <f t="shared" si="4"/>
        <v>1</v>
      </c>
      <c r="AC30" s="1574">
        <f t="shared" si="5"/>
        <v>1</v>
      </c>
    </row>
    <row r="31" spans="1:29" s="1217" customFormat="1" ht="15">
      <c r="A31" s="930"/>
      <c r="B31" s="579" t="s">
        <v>811</v>
      </c>
      <c r="C31" s="877"/>
      <c r="D31" s="255">
        <v>100</v>
      </c>
      <c r="E31" s="877"/>
      <c r="F31" s="572" t="e">
        <f>LOOKUP(E31,91:91,92:92)-LOOKUP(C31,91:91,92:92)+100</f>
        <v>#N/A</v>
      </c>
      <c r="G31" s="877"/>
      <c r="H31" s="537" t="e">
        <f>LOOKUP(G31,91:91,92:92)-LOOKUP(C31,91:91,92:92)+100</f>
        <v>#N/A</v>
      </c>
      <c r="I31" s="877"/>
      <c r="J31" s="537" t="e">
        <f>LOOKUP(I31,91:91,92:92)-LOOKUP(C31,91:91,92:92)+100</f>
        <v>#N/A</v>
      </c>
      <c r="K31" s="581"/>
      <c r="L31" s="2134"/>
      <c r="M31" s="2135"/>
      <c r="N31" s="2135"/>
      <c r="O31" s="2136"/>
      <c r="P31" s="3499"/>
      <c r="Q31" s="1148" t="str">
        <f t="shared" si="11"/>
        <v>停车位面积</v>
      </c>
      <c r="R31" s="1566" t="s">
        <v>8</v>
      </c>
      <c r="S31" s="1567" t="e">
        <f t="shared" si="12"/>
        <v>#N/A</v>
      </c>
      <c r="T31" s="1566" t="s">
        <v>8</v>
      </c>
      <c r="U31" s="1567" t="e">
        <f t="shared" si="13"/>
        <v>#N/A</v>
      </c>
      <c r="V31" s="1566" t="s">
        <v>8</v>
      </c>
      <c r="W31" s="1567" t="e">
        <f t="shared" si="14"/>
        <v>#N/A</v>
      </c>
      <c r="X31" s="1568"/>
      <c r="Y31" s="3499"/>
      <c r="Z31" s="1147" t="str">
        <f t="shared" si="15"/>
        <v>停车位面积</v>
      </c>
      <c r="AA31" s="1569" t="e">
        <f t="shared" si="3"/>
        <v>#N/A</v>
      </c>
      <c r="AB31" s="1569" t="e">
        <f t="shared" si="4"/>
        <v>#N/A</v>
      </c>
      <c r="AC31" s="1569"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41"/>
      <c r="M32" s="2133"/>
      <c r="N32" s="2133"/>
      <c r="O32" s="2140"/>
      <c r="P32" s="3499" t="s">
        <v>550</v>
      </c>
      <c r="Q32" s="1570" t="str">
        <f t="shared" si="11"/>
        <v>车位类型</v>
      </c>
      <c r="R32" s="1571" t="s">
        <v>8</v>
      </c>
      <c r="S32" s="1572">
        <f t="shared" si="12"/>
        <v>100</v>
      </c>
      <c r="T32" s="1571" t="s">
        <v>8</v>
      </c>
      <c r="U32" s="1572">
        <f t="shared" si="13"/>
        <v>100</v>
      </c>
      <c r="V32" s="1571" t="s">
        <v>8</v>
      </c>
      <c r="W32" s="1572">
        <f t="shared" si="14"/>
        <v>100</v>
      </c>
      <c r="X32" s="1565"/>
      <c r="Y32" s="3499" t="s">
        <v>550</v>
      </c>
      <c r="Z32" s="1573" t="str">
        <f t="shared" si="15"/>
        <v>车位类型</v>
      </c>
      <c r="AA32" s="1574">
        <f t="shared" si="3"/>
        <v>1</v>
      </c>
      <c r="AB32" s="1574">
        <f t="shared" si="4"/>
        <v>1</v>
      </c>
      <c r="AC32" s="1574">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41"/>
      <c r="M33" s="2133"/>
      <c r="N33" s="2133"/>
      <c r="O33" s="2140"/>
      <c r="P33" s="3499"/>
      <c r="Q33" s="1570" t="str">
        <f t="shared" si="11"/>
        <v>是否直接入户</v>
      </c>
      <c r="R33" s="1571" t="s">
        <v>8</v>
      </c>
      <c r="S33" s="1572">
        <f t="shared" si="12"/>
        <v>100</v>
      </c>
      <c r="T33" s="1571" t="s">
        <v>8</v>
      </c>
      <c r="U33" s="1572">
        <f t="shared" si="13"/>
        <v>100</v>
      </c>
      <c r="V33" s="1571" t="s">
        <v>8</v>
      </c>
      <c r="W33" s="1572">
        <f t="shared" si="14"/>
        <v>100</v>
      </c>
      <c r="X33" s="1565"/>
      <c r="Y33" s="3499"/>
      <c r="Z33" s="1573" t="str">
        <f t="shared" si="15"/>
        <v>是否直接入户</v>
      </c>
      <c r="AA33" s="1574">
        <f t="shared" si="3"/>
        <v>1</v>
      </c>
      <c r="AB33" s="1574">
        <f t="shared" si="4"/>
        <v>1</v>
      </c>
      <c r="AC33" s="1574">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41"/>
      <c r="M34" s="2133"/>
      <c r="N34" s="2133"/>
      <c r="O34" s="2140"/>
      <c r="P34" s="3499"/>
      <c r="Q34" s="1570">
        <f t="shared" si="11"/>
        <v>111</v>
      </c>
      <c r="R34" s="1571" t="s">
        <v>8</v>
      </c>
      <c r="S34" s="1572">
        <f t="shared" si="12"/>
        <v>100</v>
      </c>
      <c r="T34" s="1571" t="s">
        <v>8</v>
      </c>
      <c r="U34" s="1572">
        <f t="shared" si="13"/>
        <v>100</v>
      </c>
      <c r="V34" s="1571" t="s">
        <v>8</v>
      </c>
      <c r="W34" s="1572">
        <f t="shared" si="14"/>
        <v>100</v>
      </c>
      <c r="X34" s="1565"/>
      <c r="Y34" s="3499"/>
      <c r="Z34" s="1573">
        <f t="shared" si="15"/>
        <v>111</v>
      </c>
      <c r="AA34" s="1574">
        <f t="shared" si="3"/>
        <v>1</v>
      </c>
      <c r="AB34" s="1574">
        <f t="shared" si="4"/>
        <v>1</v>
      </c>
      <c r="AC34" s="1574">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9"/>
      <c r="M35" s="2170"/>
      <c r="N35" s="2170"/>
      <c r="O35" s="2142"/>
      <c r="P35" s="3499"/>
      <c r="Q35" s="1603">
        <f t="shared" si="11"/>
        <v>111</v>
      </c>
      <c r="R35" s="1575" t="s">
        <v>8</v>
      </c>
      <c r="S35" s="1576">
        <f t="shared" si="12"/>
        <v>100</v>
      </c>
      <c r="T35" s="1575" t="s">
        <v>8</v>
      </c>
      <c r="U35" s="1576">
        <f t="shared" si="13"/>
        <v>100</v>
      </c>
      <c r="V35" s="1575" t="s">
        <v>8</v>
      </c>
      <c r="W35" s="1576">
        <f t="shared" si="14"/>
        <v>100</v>
      </c>
      <c r="X35" s="1577"/>
      <c r="Y35" s="3499"/>
      <c r="Z35" s="1578">
        <f t="shared" si="15"/>
        <v>111</v>
      </c>
      <c r="AA35" s="1574">
        <f t="shared" si="3"/>
        <v>1</v>
      </c>
      <c r="AB35" s="1574">
        <f t="shared" si="4"/>
        <v>1</v>
      </c>
      <c r="AC35" s="1574">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1"/>
      <c r="M36" s="2133"/>
      <c r="N36" s="2133"/>
      <c r="O36" s="2140"/>
      <c r="P36" s="3499"/>
      <c r="Q36" s="1570">
        <f t="shared" si="11"/>
        <v>111</v>
      </c>
      <c r="R36" s="1571" t="s">
        <v>8</v>
      </c>
      <c r="S36" s="1572">
        <f t="shared" si="12"/>
        <v>100</v>
      </c>
      <c r="T36" s="1571" t="s">
        <v>8</v>
      </c>
      <c r="U36" s="1572">
        <f t="shared" si="13"/>
        <v>100</v>
      </c>
      <c r="V36" s="1571" t="s">
        <v>8</v>
      </c>
      <c r="W36" s="1572">
        <f t="shared" si="14"/>
        <v>100</v>
      </c>
      <c r="X36" s="1565"/>
      <c r="Y36" s="3499"/>
      <c r="Z36" s="1573">
        <f t="shared" si="15"/>
        <v>111</v>
      </c>
      <c r="AA36" s="1574">
        <f t="shared" si="3"/>
        <v>1</v>
      </c>
      <c r="AB36" s="1574">
        <f t="shared" si="4"/>
        <v>1</v>
      </c>
      <c r="AC36" s="1574">
        <f t="shared" si="5"/>
        <v>1</v>
      </c>
    </row>
    <row r="37" spans="1:29" ht="15">
      <c r="A37" s="1845" t="s">
        <v>2080</v>
      </c>
      <c r="B37" s="1846" t="s">
        <v>2081</v>
      </c>
      <c r="C37" s="2626" t="s">
        <v>1</v>
      </c>
      <c r="D37" s="2627"/>
      <c r="E37" s="2628"/>
      <c r="F37" s="2629"/>
      <c r="G37" s="2630"/>
      <c r="H37" s="2631"/>
      <c r="I37" s="2628"/>
      <c r="J37" s="2631"/>
      <c r="K37" s="1609"/>
      <c r="L37" s="2143"/>
      <c r="M37" s="2144"/>
      <c r="N37" s="2133"/>
      <c r="O37" s="2144"/>
      <c r="P37" s="3462" t="str">
        <f>A37</f>
        <v>成交单价</v>
      </c>
      <c r="Q37" s="3462"/>
      <c r="R37" s="3550">
        <f>E37</f>
        <v>0</v>
      </c>
      <c r="S37" s="3550"/>
      <c r="T37" s="3550">
        <f>G37</f>
        <v>0</v>
      </c>
      <c r="U37" s="3550"/>
      <c r="V37" s="3550">
        <f>I37</f>
        <v>0</v>
      </c>
      <c r="W37" s="3550"/>
      <c r="X37" s="1557"/>
      <c r="Y37" s="1579"/>
      <c r="Z37" s="1557"/>
      <c r="AA37" s="1557"/>
      <c r="AB37" s="1557"/>
      <c r="AC37" s="1557"/>
    </row>
    <row r="38" spans="1:29" ht="15.75" thickBot="1">
      <c r="A38" s="612" t="s">
        <v>2763</v>
      </c>
      <c r="B38" s="885"/>
      <c r="C38" s="2632" t="e">
        <f>R39</f>
        <v>#DIV/0!</v>
      </c>
      <c r="D38" s="2633"/>
      <c r="E38" s="2634" t="e">
        <f>R38</f>
        <v>#DIV/0!</v>
      </c>
      <c r="F38" s="2634"/>
      <c r="G38" s="2632" t="e">
        <f>T38</f>
        <v>#DIV/0!</v>
      </c>
      <c r="H38" s="2633"/>
      <c r="I38" s="2634" t="e">
        <f>V38</f>
        <v>#DIV/0!</v>
      </c>
      <c r="J38" s="2633"/>
      <c r="K38" s="1610"/>
      <c r="L38" s="2143"/>
      <c r="M38" s="2144"/>
      <c r="N38" s="2144"/>
      <c r="O38" s="2144"/>
      <c r="P38" s="3462" t="str">
        <f>A38</f>
        <v>比较价格（元/平方米）</v>
      </c>
      <c r="Q38" s="3462"/>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1557"/>
      <c r="Y38" s="1557"/>
      <c r="Z38" s="1557"/>
      <c r="AA38" s="1557"/>
      <c r="AB38" s="1557"/>
      <c r="AC38" s="1557"/>
    </row>
    <row r="39" spans="1:29" ht="15.75" thickBot="1">
      <c r="A39" s="618" t="s">
        <v>2939</v>
      </c>
      <c r="B39" s="619"/>
      <c r="C39" s="2635" t="e">
        <f>R39</f>
        <v>#DIV/0!</v>
      </c>
      <c r="D39" s="2635"/>
      <c r="E39" s="2635"/>
      <c r="F39" s="2635"/>
      <c r="G39" s="2635"/>
      <c r="H39" s="2635"/>
      <c r="I39" s="2635"/>
      <c r="J39" s="2635"/>
      <c r="K39" s="1611"/>
      <c r="L39" s="2143"/>
      <c r="M39" s="2144"/>
      <c r="N39" s="2144"/>
      <c r="O39" s="2144"/>
      <c r="P39" s="3459" t="str">
        <f>A39</f>
        <v>估价对象XX用房的比较价格（楼面单价，元/平方米）</v>
      </c>
      <c r="Q39" s="3460"/>
      <c r="R39" s="3549" t="e">
        <f>IF(F1="售价",ROUND(AVERAGE(R38:V38),0),ROUND(AVERAGE(R38:V38),1))</f>
        <v>#DIV/0!</v>
      </c>
      <c r="S39" s="3549"/>
      <c r="T39" s="3549"/>
      <c r="U39" s="3549"/>
      <c r="V39" s="3549"/>
      <c r="W39" s="3549"/>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2" customFormat="1" ht="13.5" customHeight="1">
      <c r="A44" s="2145"/>
      <c r="B44" s="2145"/>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2"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4" customFormat="1" ht="15">
      <c r="A48" s="642" t="s">
        <v>529</v>
      </c>
      <c r="B48" s="643"/>
      <c r="C48" s="2799" t="str">
        <f>YEAR(C7)&amp;"-"&amp;MONTH(C7)</f>
        <v>2019-7</v>
      </c>
      <c r="D48" s="2801">
        <f>EDATE(C48,-1)</f>
        <v>43617</v>
      </c>
      <c r="E48" s="2801">
        <f t="shared" ref="E48:O48" si="16">EDATE(D48,-1)</f>
        <v>43586</v>
      </c>
      <c r="F48" s="2801">
        <f t="shared" si="16"/>
        <v>43556</v>
      </c>
      <c r="G48" s="2801">
        <f t="shared" si="16"/>
        <v>43525</v>
      </c>
      <c r="H48" s="2801">
        <f t="shared" si="16"/>
        <v>43497</v>
      </c>
      <c r="I48" s="2801">
        <f t="shared" si="16"/>
        <v>43466</v>
      </c>
      <c r="J48" s="2801">
        <f t="shared" si="16"/>
        <v>43435</v>
      </c>
      <c r="K48" s="2801">
        <f t="shared" si="16"/>
        <v>43405</v>
      </c>
      <c r="L48" s="2801">
        <f t="shared" si="16"/>
        <v>43374</v>
      </c>
      <c r="M48" s="2801">
        <f t="shared" si="16"/>
        <v>43344</v>
      </c>
      <c r="N48" s="2801">
        <f t="shared" si="16"/>
        <v>43313</v>
      </c>
      <c r="O48" s="2801">
        <f t="shared" si="16"/>
        <v>43282</v>
      </c>
      <c r="P48" s="2159"/>
      <c r="Q48" s="2160"/>
      <c r="R48" s="2160"/>
      <c r="S48" s="2160"/>
      <c r="T48" s="2160"/>
      <c r="U48" s="2160"/>
      <c r="V48" s="2160"/>
      <c r="W48" s="2160"/>
      <c r="X48" s="2160"/>
      <c r="Y48" s="2160"/>
      <c r="Z48" s="2160"/>
      <c r="AA48" s="2160"/>
      <c r="AB48" s="2160"/>
      <c r="AC48" s="2160"/>
    </row>
    <row r="49" spans="1:29" s="1217" customFormat="1" ht="15">
      <c r="A49" s="644"/>
      <c r="B49" s="645"/>
      <c r="C49" s="2800">
        <v>100</v>
      </c>
      <c r="D49" s="647"/>
      <c r="E49" s="647"/>
      <c r="F49" s="647"/>
      <c r="G49" s="647"/>
      <c r="H49" s="647"/>
      <c r="I49" s="647"/>
      <c r="J49" s="647"/>
      <c r="K49" s="647"/>
      <c r="L49" s="647"/>
      <c r="M49" s="648"/>
      <c r="N49" s="647"/>
      <c r="O49" s="649"/>
      <c r="P49" s="2157"/>
      <c r="Q49" s="1992"/>
      <c r="R49" s="1992"/>
      <c r="S49" s="1992"/>
      <c r="T49" s="1992"/>
      <c r="U49" s="1992"/>
      <c r="V49" s="1992"/>
      <c r="W49" s="1992"/>
      <c r="X49" s="1992"/>
      <c r="Y49" s="1992"/>
      <c r="Z49" s="1992"/>
      <c r="AA49" s="1992"/>
      <c r="AB49" s="1992"/>
      <c r="AC49" s="1992"/>
    </row>
    <row r="50" spans="1:29" s="1217" customFormat="1" ht="15.75" thickBot="1">
      <c r="A50" s="650" t="s">
        <v>575</v>
      </c>
      <c r="B50" s="651"/>
      <c r="C50" s="652"/>
      <c r="D50" s="653"/>
      <c r="E50" s="653"/>
      <c r="F50" s="653"/>
      <c r="G50" s="653"/>
      <c r="H50" s="653"/>
      <c r="I50" s="653"/>
      <c r="J50" s="653"/>
      <c r="K50" s="653"/>
      <c r="L50" s="653"/>
      <c r="M50" s="654"/>
      <c r="N50" s="653"/>
      <c r="O50" s="655"/>
      <c r="P50" s="2157"/>
      <c r="Q50" s="2157"/>
      <c r="R50" s="1992"/>
      <c r="S50" s="1992"/>
      <c r="T50" s="1992"/>
      <c r="U50" s="1992"/>
      <c r="V50" s="1992"/>
      <c r="W50" s="1992"/>
      <c r="X50" s="1992"/>
      <c r="Y50" s="1992"/>
      <c r="Z50" s="1992"/>
      <c r="AA50" s="1992"/>
      <c r="AB50" s="1992"/>
      <c r="AC50" s="1992"/>
    </row>
    <row r="51" spans="1:29" s="1217" customFormat="1" ht="15">
      <c r="A51" s="656" t="s">
        <v>531</v>
      </c>
      <c r="B51" s="645"/>
      <c r="C51" s="657" t="s">
        <v>576</v>
      </c>
      <c r="D51" s="658"/>
      <c r="E51" s="658"/>
      <c r="F51" s="658"/>
      <c r="G51" s="658"/>
      <c r="H51" s="658"/>
      <c r="I51" s="658"/>
      <c r="J51" s="658"/>
      <c r="K51" s="658"/>
      <c r="L51" s="659"/>
      <c r="M51" s="660"/>
      <c r="N51" s="2161"/>
      <c r="O51" s="2161"/>
      <c r="P51" s="2162"/>
      <c r="Q51" s="2157"/>
      <c r="R51" s="1992"/>
      <c r="S51" s="1992"/>
      <c r="T51" s="1992"/>
      <c r="U51" s="1992"/>
      <c r="V51" s="1992"/>
      <c r="W51" s="1992"/>
      <c r="X51" s="1992"/>
      <c r="Y51" s="1992"/>
      <c r="Z51" s="1992"/>
      <c r="AA51" s="1992"/>
      <c r="AB51" s="1992"/>
      <c r="AC51" s="1992"/>
    </row>
    <row r="52" spans="1:29" s="1217" customFormat="1" ht="15.75" thickBot="1">
      <c r="A52" s="656"/>
      <c r="B52" s="645"/>
      <c r="C52" s="646">
        <v>100</v>
      </c>
      <c r="D52" s="647"/>
      <c r="E52" s="647"/>
      <c r="F52" s="647"/>
      <c r="G52" s="647"/>
      <c r="H52" s="647"/>
      <c r="I52" s="647"/>
      <c r="J52" s="647"/>
      <c r="K52" s="647"/>
      <c r="L52" s="647"/>
      <c r="M52" s="649"/>
      <c r="N52" s="2161"/>
      <c r="O52" s="2161"/>
      <c r="P52" s="2157"/>
      <c r="Q52" s="2157"/>
      <c r="R52" s="1992"/>
      <c r="S52" s="1992"/>
      <c r="T52" s="1992"/>
      <c r="U52" s="1992"/>
      <c r="V52" s="1992"/>
      <c r="W52" s="1992"/>
      <c r="X52" s="1992"/>
      <c r="Y52" s="1992"/>
      <c r="Z52" s="1992"/>
      <c r="AA52" s="1992"/>
      <c r="AB52" s="1992"/>
      <c r="AC52" s="1992"/>
    </row>
    <row r="53" spans="1:29">
      <c r="A53" s="661" t="s">
        <v>577</v>
      </c>
      <c r="B53" s="662" t="s">
        <v>534</v>
      </c>
      <c r="C53" s="701">
        <f>C9</f>
        <v>0</v>
      </c>
      <c r="D53" s="595"/>
      <c r="E53" s="595"/>
      <c r="F53" s="595"/>
      <c r="G53" s="595"/>
      <c r="H53" s="595"/>
      <c r="I53" s="595"/>
      <c r="J53" s="595"/>
      <c r="K53" s="663"/>
      <c r="L53" s="664"/>
      <c r="M53" s="665"/>
      <c r="N53" s="2163"/>
      <c r="O53" s="2163"/>
      <c r="P53" s="2164"/>
      <c r="Q53" s="2157"/>
      <c r="R53" s="2144"/>
      <c r="S53" s="2144"/>
      <c r="T53" s="2144"/>
      <c r="U53" s="2144"/>
      <c r="V53" s="2144"/>
      <c r="W53" s="2144"/>
      <c r="X53" s="2144"/>
      <c r="Y53" s="2144"/>
      <c r="Z53" s="2144"/>
      <c r="AA53" s="2144"/>
      <c r="AB53" s="2144"/>
      <c r="AC53" s="2144"/>
    </row>
    <row r="54" spans="1:29" ht="15.75" thickBot="1">
      <c r="A54" s="666"/>
      <c r="B54" s="667"/>
      <c r="C54" s="668"/>
      <c r="D54" s="668"/>
      <c r="E54" s="668"/>
      <c r="F54" s="668"/>
      <c r="G54" s="668"/>
      <c r="H54" s="668"/>
      <c r="I54" s="668"/>
      <c r="J54" s="668"/>
      <c r="K54" s="668"/>
      <c r="L54" s="668"/>
      <c r="M54" s="669"/>
      <c r="N54" s="2165"/>
      <c r="O54" s="2165"/>
      <c r="P54" s="2164"/>
      <c r="Q54" s="2157"/>
      <c r="R54" s="2144"/>
      <c r="S54" s="2144"/>
      <c r="T54" s="2144"/>
      <c r="U54" s="2144"/>
      <c r="V54" s="2144"/>
      <c r="W54" s="2144"/>
      <c r="X54" s="2144"/>
      <c r="Y54" s="2144"/>
      <c r="Z54" s="2144"/>
      <c r="AA54" s="2144"/>
      <c r="AB54" s="2144"/>
      <c r="AC54" s="2144"/>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3"/>
      <c r="O55" s="2163"/>
      <c r="P55" s="2164"/>
      <c r="Q55" s="2157"/>
      <c r="R55" s="2144"/>
      <c r="S55" s="2144"/>
      <c r="T55" s="2144"/>
      <c r="U55" s="2144"/>
      <c r="V55" s="2144"/>
      <c r="W55" s="2144"/>
      <c r="X55" s="2144"/>
      <c r="Y55" s="2144"/>
      <c r="Z55" s="2144"/>
      <c r="AA55" s="2144"/>
      <c r="AB55" s="2144"/>
      <c r="AC55" s="2144"/>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5"/>
      <c r="O56" s="2165"/>
      <c r="P56" s="2164"/>
      <c r="Q56" s="2157"/>
      <c r="R56" s="2144"/>
      <c r="S56" s="2144"/>
      <c r="T56" s="2144"/>
      <c r="U56" s="2144"/>
      <c r="V56" s="2144"/>
      <c r="W56" s="2144"/>
      <c r="X56" s="2144"/>
      <c r="Y56" s="2144"/>
      <c r="Z56" s="2144"/>
      <c r="AA56" s="2144"/>
      <c r="AB56" s="2144"/>
      <c r="AC56" s="2144"/>
    </row>
    <row r="57" spans="1:29" ht="15.75" thickTop="1">
      <c r="A57" s="666"/>
      <c r="B57" s="932">
        <f>B11</f>
        <v>111</v>
      </c>
      <c r="C57" s="538"/>
      <c r="D57" s="538"/>
      <c r="E57" s="538"/>
      <c r="F57" s="538"/>
      <c r="G57" s="538"/>
      <c r="H57" s="538"/>
      <c r="I57" s="538"/>
      <c r="J57" s="538"/>
      <c r="K57" s="681"/>
      <c r="L57" s="682"/>
      <c r="M57" s="683"/>
      <c r="N57" s="2163"/>
      <c r="O57" s="2163"/>
      <c r="P57" s="2164"/>
      <c r="Q57" s="2157"/>
      <c r="R57" s="2144"/>
      <c r="S57" s="2144"/>
      <c r="T57" s="2144"/>
      <c r="U57" s="2144"/>
      <c r="V57" s="2144"/>
      <c r="W57" s="2144"/>
      <c r="X57" s="2144"/>
      <c r="Y57" s="2144"/>
      <c r="Z57" s="2144"/>
      <c r="AA57" s="2144"/>
      <c r="AB57" s="2144"/>
      <c r="AC57" s="2144"/>
    </row>
    <row r="58" spans="1:29" ht="15.75" thickBot="1">
      <c r="A58" s="666"/>
      <c r="B58" s="667"/>
      <c r="C58" s="689"/>
      <c r="D58" s="668"/>
      <c r="E58" s="668"/>
      <c r="F58" s="668"/>
      <c r="G58" s="668"/>
      <c r="H58" s="668"/>
      <c r="I58" s="668"/>
      <c r="J58" s="668"/>
      <c r="K58" s="668"/>
      <c r="L58" s="668"/>
      <c r="M58" s="669"/>
      <c r="N58" s="2165"/>
      <c r="O58" s="2165"/>
      <c r="P58" s="2164"/>
      <c r="Q58" s="2157"/>
      <c r="R58" s="2144"/>
      <c r="S58" s="2144"/>
      <c r="T58" s="2144"/>
      <c r="U58" s="2144"/>
      <c r="V58" s="2144"/>
      <c r="W58" s="2144"/>
      <c r="X58" s="2144"/>
      <c r="Y58" s="2144"/>
      <c r="Z58" s="2144"/>
      <c r="AA58" s="2144"/>
      <c r="AB58" s="2144"/>
      <c r="AC58" s="2144"/>
    </row>
    <row r="59" spans="1:29" s="1336" customFormat="1" ht="15.75" thickTop="1">
      <c r="A59" s="684"/>
      <c r="B59" s="670">
        <f>B12</f>
        <v>111</v>
      </c>
      <c r="C59" s="538"/>
      <c r="D59" s="538"/>
      <c r="E59" s="538"/>
      <c r="F59" s="538"/>
      <c r="G59" s="685"/>
      <c r="H59" s="686"/>
      <c r="I59" s="686"/>
      <c r="J59" s="686"/>
      <c r="K59" s="686"/>
      <c r="L59" s="687"/>
      <c r="M59" s="688"/>
      <c r="N59" s="2166"/>
      <c r="O59" s="2166"/>
      <c r="P59" s="2167"/>
      <c r="Q59" s="2168"/>
      <c r="R59" s="2169"/>
      <c r="S59" s="2169"/>
      <c r="T59" s="2169"/>
      <c r="U59" s="2169"/>
      <c r="V59" s="2169"/>
      <c r="W59" s="2169"/>
      <c r="X59" s="2169"/>
      <c r="Y59" s="2169"/>
      <c r="Z59" s="2169"/>
      <c r="AA59" s="2169"/>
      <c r="AB59" s="2169"/>
      <c r="AC59" s="2169"/>
    </row>
    <row r="60" spans="1:29" s="1336" customFormat="1" ht="15.75" thickBot="1">
      <c r="A60" s="684"/>
      <c r="B60" s="675"/>
      <c r="C60" s="689"/>
      <c r="D60" s="668"/>
      <c r="E60" s="668"/>
      <c r="F60" s="668"/>
      <c r="G60" s="668"/>
      <c r="H60" s="668"/>
      <c r="I60" s="668"/>
      <c r="J60" s="668"/>
      <c r="K60" s="668"/>
      <c r="L60" s="668"/>
      <c r="M60" s="669"/>
      <c r="N60" s="2165"/>
      <c r="O60" s="2165"/>
      <c r="P60" s="2167"/>
      <c r="Q60" s="2168"/>
      <c r="R60" s="2169"/>
      <c r="S60" s="2169"/>
      <c r="T60" s="2169"/>
      <c r="U60" s="2169"/>
      <c r="V60" s="2169"/>
      <c r="W60" s="2169"/>
      <c r="X60" s="2169"/>
      <c r="Y60" s="2169"/>
      <c r="Z60" s="2169"/>
      <c r="AA60" s="2169"/>
      <c r="AB60" s="2169"/>
      <c r="AC60" s="2169"/>
    </row>
    <row r="61" spans="1:29" s="1336" customFormat="1" ht="15.75" thickTop="1">
      <c r="A61" s="684"/>
      <c r="B61" s="670">
        <f>B13</f>
        <v>111</v>
      </c>
      <c r="C61" s="685"/>
      <c r="D61" s="685"/>
      <c r="E61" s="685"/>
      <c r="F61" s="685"/>
      <c r="G61" s="685"/>
      <c r="H61" s="686"/>
      <c r="I61" s="686"/>
      <c r="J61" s="686"/>
      <c r="K61" s="686"/>
      <c r="L61" s="687"/>
      <c r="M61" s="688"/>
      <c r="N61" s="2166"/>
      <c r="O61" s="2166"/>
      <c r="P61" s="2170"/>
      <c r="Q61" s="2171"/>
      <c r="R61" s="2169"/>
      <c r="S61" s="2169"/>
      <c r="T61" s="2169"/>
      <c r="U61" s="2169"/>
      <c r="V61" s="2169"/>
      <c r="W61" s="2169"/>
      <c r="X61" s="2169"/>
      <c r="Y61" s="2169"/>
      <c r="Z61" s="2169"/>
      <c r="AA61" s="2169"/>
      <c r="AB61" s="2169"/>
      <c r="AC61" s="2169"/>
    </row>
    <row r="62" spans="1:29" s="1336" customFormat="1" ht="15.75" thickBot="1">
      <c r="A62" s="684"/>
      <c r="B62" s="675"/>
      <c r="C62" s="689"/>
      <c r="D62" s="689"/>
      <c r="E62" s="689"/>
      <c r="F62" s="689"/>
      <c r="G62" s="689"/>
      <c r="H62" s="690"/>
      <c r="I62" s="690"/>
      <c r="J62" s="690"/>
      <c r="K62" s="690"/>
      <c r="L62" s="690"/>
      <c r="M62" s="691"/>
      <c r="N62" s="2166"/>
      <c r="O62" s="2166"/>
      <c r="P62" s="2167"/>
      <c r="Q62" s="2168"/>
      <c r="R62" s="2169"/>
      <c r="S62" s="2169"/>
      <c r="T62" s="2169"/>
      <c r="U62" s="2169"/>
      <c r="V62" s="2169"/>
      <c r="W62" s="2169"/>
      <c r="X62" s="2169"/>
      <c r="Y62" s="2169"/>
      <c r="Z62" s="2169"/>
      <c r="AA62" s="2169"/>
      <c r="AB62" s="2169"/>
      <c r="AC62" s="2169"/>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3"/>
      <c r="O63" s="2163"/>
      <c r="P63" s="2173"/>
      <c r="Q63" s="2157"/>
      <c r="R63" s="2144"/>
      <c r="S63" s="2144"/>
      <c r="T63" s="2144"/>
      <c r="U63" s="2144"/>
      <c r="V63" s="2144"/>
      <c r="W63" s="2144"/>
      <c r="X63" s="2144"/>
      <c r="Y63" s="2144"/>
      <c r="Z63" s="2144"/>
      <c r="AA63" s="2144"/>
      <c r="AB63" s="2144"/>
      <c r="AC63" s="2144"/>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5"/>
      <c r="O64" s="2165"/>
      <c r="P64" s="2164"/>
      <c r="Q64" s="2157"/>
      <c r="R64" s="2144"/>
      <c r="S64" s="2144"/>
      <c r="T64" s="2144"/>
      <c r="U64" s="2144"/>
      <c r="V64" s="2144"/>
      <c r="W64" s="2144"/>
      <c r="X64" s="2144"/>
      <c r="Y64" s="2144"/>
      <c r="Z64" s="2144"/>
      <c r="AA64" s="2144"/>
      <c r="AB64" s="2144"/>
      <c r="AC64" s="2144"/>
    </row>
    <row r="65" spans="1:29" ht="15.75" thickTop="1">
      <c r="A65" s="666"/>
      <c r="B65" s="1895" t="s">
        <v>2560</v>
      </c>
      <c r="C65" s="705" t="s">
        <v>579</v>
      </c>
      <c r="D65" s="705" t="s">
        <v>580</v>
      </c>
      <c r="E65" s="705" t="s">
        <v>581</v>
      </c>
      <c r="F65" s="705" t="s">
        <v>582</v>
      </c>
      <c r="G65" s="705" t="s">
        <v>583</v>
      </c>
      <c r="H65" s="671"/>
      <c r="I65" s="671"/>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2596" t="s">
        <v>2561</v>
      </c>
      <c r="C67" s="2597" t="s">
        <v>2562</v>
      </c>
      <c r="D67" s="2597" t="s">
        <v>2563</v>
      </c>
      <c r="E67" s="2597" t="s">
        <v>2564</v>
      </c>
      <c r="F67" s="2597" t="s">
        <v>2565</v>
      </c>
      <c r="G67" s="2597" t="s">
        <v>2566</v>
      </c>
      <c r="H67" s="671"/>
      <c r="I67" s="671"/>
      <c r="J67" s="671"/>
      <c r="K67" s="671"/>
      <c r="L67" s="671"/>
      <c r="M67" s="2600"/>
      <c r="N67" s="2165"/>
      <c r="O67" s="2165"/>
      <c r="P67" s="2164"/>
      <c r="Q67" s="2157"/>
      <c r="R67" s="2144"/>
      <c r="S67" s="2144"/>
      <c r="T67" s="2144"/>
      <c r="U67" s="2144"/>
      <c r="V67" s="2144"/>
      <c r="W67" s="2144"/>
      <c r="X67" s="2144"/>
      <c r="Y67" s="2144"/>
      <c r="Z67" s="2144"/>
      <c r="AA67" s="2144"/>
      <c r="AB67" s="2144"/>
      <c r="AC67" s="2144"/>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5"/>
      <c r="O68" s="2165"/>
      <c r="P68" s="2164"/>
      <c r="Q68" s="2157"/>
      <c r="R68" s="2144"/>
      <c r="S68" s="2144"/>
      <c r="T68" s="2144"/>
      <c r="U68" s="2144"/>
      <c r="V68" s="2144"/>
      <c r="W68" s="2144"/>
      <c r="X68" s="2144"/>
      <c r="Y68" s="2144"/>
      <c r="Z68" s="2144"/>
      <c r="AA68" s="2144"/>
      <c r="AB68" s="2144"/>
      <c r="AC68" s="2144"/>
    </row>
    <row r="69" spans="1:29" ht="15.75" thickTop="1">
      <c r="A69" s="666"/>
      <c r="B69" s="670" t="s">
        <v>744</v>
      </c>
      <c r="C69" s="705" t="s">
        <v>579</v>
      </c>
      <c r="D69" s="705" t="s">
        <v>580</v>
      </c>
      <c r="E69" s="705" t="s">
        <v>581</v>
      </c>
      <c r="F69" s="705" t="s">
        <v>582</v>
      </c>
      <c r="G69" s="705" t="s">
        <v>583</v>
      </c>
      <c r="H69" s="671"/>
      <c r="I69" s="671"/>
      <c r="J69" s="671"/>
      <c r="K69" s="672"/>
      <c r="L69" s="673"/>
      <c r="M69" s="674"/>
      <c r="N69" s="2163"/>
      <c r="O69" s="2163"/>
      <c r="P69" s="2164"/>
      <c r="Q69" s="2157"/>
      <c r="R69" s="2144"/>
      <c r="S69" s="2144"/>
      <c r="T69" s="2144"/>
      <c r="U69" s="2144"/>
      <c r="V69" s="2144"/>
      <c r="W69" s="2144"/>
      <c r="X69" s="2144"/>
      <c r="Y69" s="2144"/>
      <c r="Z69" s="2144"/>
      <c r="AA69" s="2144"/>
      <c r="AB69" s="2144"/>
      <c r="AC69" s="2144"/>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5"/>
      <c r="O70" s="2165"/>
      <c r="P70" s="2164"/>
      <c r="Q70" s="2157"/>
      <c r="R70" s="2144"/>
      <c r="S70" s="2144"/>
      <c r="T70" s="2144"/>
      <c r="U70" s="2144"/>
      <c r="V70" s="2144"/>
      <c r="W70" s="2144"/>
      <c r="X70" s="2144"/>
      <c r="Y70" s="2144"/>
      <c r="Z70" s="2144"/>
      <c r="AA70" s="2144"/>
      <c r="AB70" s="2144"/>
      <c r="AC70" s="2144"/>
    </row>
    <row r="71" spans="1:29" ht="15.75" thickTop="1">
      <c r="A71" s="666"/>
      <c r="B71" s="670" t="s">
        <v>745</v>
      </c>
      <c r="C71" s="685"/>
      <c r="D71" s="685"/>
      <c r="E71" s="685"/>
      <c r="F71" s="685"/>
      <c r="G71" s="685"/>
      <c r="H71" s="715"/>
      <c r="I71" s="715"/>
      <c r="J71" s="715"/>
      <c r="K71" s="716"/>
      <c r="L71" s="717"/>
      <c r="M71" s="718"/>
      <c r="N71" s="2163"/>
      <c r="O71" s="2163"/>
      <c r="P71" s="2164"/>
      <c r="Q71" s="2157"/>
      <c r="R71" s="2144"/>
      <c r="S71" s="2144"/>
      <c r="T71" s="2144"/>
      <c r="U71" s="2144"/>
      <c r="V71" s="2144"/>
      <c r="W71" s="2144"/>
      <c r="X71" s="2144"/>
      <c r="Y71" s="2144"/>
      <c r="Z71" s="2144"/>
      <c r="AA71" s="2144"/>
      <c r="AB71" s="2144"/>
      <c r="AC71" s="2144"/>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5"/>
      <c r="O72" s="2165"/>
      <c r="P72" s="2164"/>
      <c r="Q72" s="2157"/>
      <c r="R72" s="2144"/>
      <c r="S72" s="2144"/>
      <c r="T72" s="2144"/>
      <c r="U72" s="2144"/>
      <c r="V72" s="2144"/>
      <c r="W72" s="2144"/>
      <c r="X72" s="2144"/>
      <c r="Y72" s="2144"/>
      <c r="Z72" s="2144"/>
      <c r="AA72" s="2144"/>
      <c r="AB72" s="2144"/>
      <c r="AC72" s="2144"/>
    </row>
    <row r="73" spans="1:29" s="1217" customFormat="1" ht="15.75" thickTop="1">
      <c r="A73" s="706"/>
      <c r="B73" s="670">
        <f>B23</f>
        <v>111</v>
      </c>
      <c r="C73" s="538"/>
      <c r="D73" s="538"/>
      <c r="E73" s="538"/>
      <c r="F73" s="538"/>
      <c r="G73" s="685"/>
      <c r="H73" s="685"/>
      <c r="I73" s="685"/>
      <c r="J73" s="685"/>
      <c r="K73" s="685"/>
      <c r="L73" s="887"/>
      <c r="M73" s="888"/>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6"/>
      <c r="B74" s="675"/>
      <c r="C74" s="689"/>
      <c r="D74" s="668"/>
      <c r="E74" s="668"/>
      <c r="F74" s="668"/>
      <c r="G74" s="668"/>
      <c r="H74" s="668"/>
      <c r="I74" s="668"/>
      <c r="J74" s="668"/>
      <c r="K74" s="668"/>
      <c r="L74" s="668"/>
      <c r="M74" s="669"/>
      <c r="N74" s="2165"/>
      <c r="O74" s="2165"/>
      <c r="P74" s="2164"/>
      <c r="Q74" s="2157"/>
      <c r="R74" s="1992"/>
      <c r="S74" s="1992"/>
      <c r="T74" s="1992"/>
      <c r="U74" s="1992"/>
      <c r="V74" s="1992"/>
      <c r="W74" s="1992"/>
      <c r="X74" s="1992"/>
      <c r="Y74" s="1992"/>
      <c r="Z74" s="1992"/>
      <c r="AA74" s="1992"/>
      <c r="AB74" s="1992"/>
      <c r="AC74" s="1992"/>
    </row>
    <row r="75" spans="1:29" s="1217" customFormat="1" ht="15.75" thickTop="1">
      <c r="A75" s="706"/>
      <c r="B75" s="670">
        <f>B24</f>
        <v>111</v>
      </c>
      <c r="C75" s="538"/>
      <c r="D75" s="538"/>
      <c r="E75" s="538"/>
      <c r="F75" s="538"/>
      <c r="G75" s="685"/>
      <c r="H75" s="685"/>
      <c r="I75" s="685"/>
      <c r="J75" s="685"/>
      <c r="K75" s="685"/>
      <c r="L75" s="685"/>
      <c r="M75" s="888"/>
      <c r="N75" s="2161"/>
      <c r="O75" s="2161"/>
      <c r="P75" s="2164"/>
      <c r="Q75" s="2157"/>
      <c r="R75" s="1992"/>
      <c r="S75" s="1992"/>
      <c r="T75" s="1992"/>
      <c r="U75" s="1992"/>
      <c r="V75" s="1992"/>
      <c r="W75" s="1992"/>
      <c r="X75" s="1992"/>
      <c r="Y75" s="1992"/>
      <c r="Z75" s="1992"/>
      <c r="AA75" s="1992"/>
      <c r="AB75" s="1992"/>
      <c r="AC75" s="1992"/>
    </row>
    <row r="76" spans="1:29" s="1217" customFormat="1" ht="15.75" thickBot="1">
      <c r="A76" s="706"/>
      <c r="B76" s="675"/>
      <c r="C76" s="689"/>
      <c r="D76" s="668"/>
      <c r="E76" s="668"/>
      <c r="F76" s="668"/>
      <c r="G76" s="668"/>
      <c r="H76" s="668"/>
      <c r="I76" s="668"/>
      <c r="J76" s="668"/>
      <c r="K76" s="668"/>
      <c r="L76" s="668"/>
      <c r="M76" s="669"/>
      <c r="N76" s="2165"/>
      <c r="O76" s="2165"/>
      <c r="P76" s="2164"/>
      <c r="Q76" s="2157"/>
      <c r="R76" s="1992"/>
      <c r="S76" s="1992"/>
      <c r="T76" s="1992"/>
      <c r="U76" s="1992"/>
      <c r="V76" s="1992"/>
      <c r="W76" s="1992"/>
      <c r="X76" s="1992"/>
      <c r="Y76" s="1992"/>
      <c r="Z76" s="1992"/>
      <c r="AA76" s="1992"/>
      <c r="AB76" s="1992"/>
      <c r="AC76" s="1992"/>
    </row>
    <row r="77" spans="1:29" s="1336" customFormat="1" ht="15.75" thickTop="1">
      <c r="A77" s="684"/>
      <c r="B77" s="670">
        <f>B25</f>
        <v>111</v>
      </c>
      <c r="C77" s="685"/>
      <c r="D77" s="685"/>
      <c r="E77" s="685"/>
      <c r="F77" s="685"/>
      <c r="G77" s="685"/>
      <c r="H77" s="686"/>
      <c r="I77" s="686"/>
      <c r="J77" s="686"/>
      <c r="K77" s="686"/>
      <c r="L77" s="687"/>
      <c r="M77" s="688"/>
      <c r="N77" s="2166"/>
      <c r="O77" s="2166"/>
      <c r="P77" s="2167"/>
      <c r="Q77" s="2168"/>
      <c r="R77" s="2169"/>
      <c r="S77" s="2169"/>
      <c r="T77" s="2169"/>
      <c r="U77" s="2169"/>
      <c r="V77" s="2169"/>
      <c r="W77" s="2169"/>
      <c r="X77" s="2169"/>
      <c r="Y77" s="2169"/>
      <c r="Z77" s="2169"/>
      <c r="AA77" s="2169"/>
      <c r="AB77" s="2169"/>
      <c r="AC77" s="2169"/>
    </row>
    <row r="78" spans="1:29" s="1336" customFormat="1" ht="15.75" thickBot="1">
      <c r="A78" s="684"/>
      <c r="B78" s="675"/>
      <c r="C78" s="689"/>
      <c r="D78" s="689"/>
      <c r="E78" s="689"/>
      <c r="F78" s="689"/>
      <c r="G78" s="668"/>
      <c r="H78" s="668"/>
      <c r="I78" s="668"/>
      <c r="J78" s="668"/>
      <c r="K78" s="668"/>
      <c r="L78" s="668"/>
      <c r="M78" s="669"/>
      <c r="N78" s="2166"/>
      <c r="O78" s="2166"/>
      <c r="P78" s="2167"/>
      <c r="Q78" s="2168"/>
      <c r="R78" s="2169"/>
      <c r="S78" s="2169"/>
      <c r="T78" s="2169"/>
      <c r="U78" s="2169"/>
      <c r="V78" s="2169"/>
      <c r="W78" s="2169"/>
      <c r="X78" s="2169"/>
      <c r="Y78" s="2169"/>
      <c r="Z78" s="2169"/>
      <c r="AA78" s="2169"/>
      <c r="AB78" s="2169"/>
      <c r="AC78" s="2169"/>
    </row>
    <row r="79" spans="1:29" ht="27.75" thickTop="1">
      <c r="A79" s="661" t="s">
        <v>551</v>
      </c>
      <c r="B79" s="662" t="s">
        <v>814</v>
      </c>
      <c r="C79" s="701">
        <f>C26</f>
        <v>0</v>
      </c>
      <c r="D79" s="595"/>
      <c r="E79" s="595"/>
      <c r="F79" s="595"/>
      <c r="G79" s="595"/>
      <c r="H79" s="595"/>
      <c r="I79" s="595"/>
      <c r="J79" s="595"/>
      <c r="K79" s="663"/>
      <c r="L79" s="664"/>
      <c r="M79" s="665"/>
      <c r="N79" s="2163"/>
      <c r="O79" s="2163"/>
      <c r="P79" s="2164"/>
      <c r="Q79" s="2157"/>
      <c r="R79" s="2144"/>
      <c r="S79" s="2144"/>
      <c r="T79" s="2144"/>
      <c r="U79" s="2144"/>
      <c r="V79" s="2144"/>
      <c r="W79" s="2144"/>
      <c r="X79" s="2144"/>
      <c r="Y79" s="2144"/>
      <c r="Z79" s="2144"/>
      <c r="AA79" s="2144"/>
      <c r="AB79" s="2144"/>
      <c r="AC79" s="2144"/>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6"/>
      <c r="B81" s="670" t="s">
        <v>815</v>
      </c>
      <c r="C81" s="933"/>
      <c r="D81" s="933"/>
      <c r="E81" s="933"/>
      <c r="F81" s="933"/>
      <c r="G81" s="933"/>
      <c r="H81" s="933"/>
      <c r="I81" s="933"/>
      <c r="J81" s="933"/>
      <c r="K81" s="934"/>
      <c r="L81" s="935"/>
      <c r="M81" s="936"/>
      <c r="N81" s="2161"/>
      <c r="O81" s="2161"/>
      <c r="P81" s="2164"/>
      <c r="Q81" s="2157"/>
      <c r="R81" s="2144"/>
      <c r="S81" s="2144"/>
      <c r="T81" s="2144"/>
      <c r="U81" s="2144"/>
      <c r="V81" s="2144"/>
      <c r="W81" s="2144"/>
      <c r="X81" s="2144"/>
      <c r="Y81" s="2144"/>
      <c r="Z81" s="2144"/>
      <c r="AA81" s="2144"/>
      <c r="AB81" s="2144"/>
      <c r="AC81" s="2144"/>
    </row>
    <row r="82" spans="1:29" s="1336" customFormat="1" ht="15.75" thickBot="1">
      <c r="A82" s="684"/>
      <c r="B82" s="675"/>
      <c r="C82" s="689"/>
      <c r="D82" s="668"/>
      <c r="E82" s="668"/>
      <c r="F82" s="668"/>
      <c r="G82" s="668"/>
      <c r="H82" s="668"/>
      <c r="I82" s="668"/>
      <c r="J82" s="668"/>
      <c r="K82" s="668"/>
      <c r="L82" s="668"/>
      <c r="M82" s="669"/>
      <c r="N82" s="2165"/>
      <c r="O82" s="2165"/>
      <c r="P82" s="2167"/>
      <c r="Q82" s="2168"/>
      <c r="R82" s="2169"/>
      <c r="S82" s="2169"/>
      <c r="T82" s="2169"/>
      <c r="U82" s="2169"/>
      <c r="V82" s="2169"/>
      <c r="W82" s="2169"/>
      <c r="X82" s="2169"/>
      <c r="Y82" s="2169"/>
      <c r="Z82" s="2169"/>
      <c r="AA82" s="2169"/>
      <c r="AB82" s="2169"/>
      <c r="AC82" s="2169"/>
    </row>
    <row r="83" spans="1:29" ht="15" thickTop="1">
      <c r="A83" s="732"/>
      <c r="B83" s="670" t="s">
        <v>751</v>
      </c>
      <c r="C83" s="685"/>
      <c r="D83" s="685"/>
      <c r="E83" s="715"/>
      <c r="F83" s="715"/>
      <c r="G83" s="715"/>
      <c r="H83" s="715"/>
      <c r="I83" s="715"/>
      <c r="J83" s="715"/>
      <c r="K83" s="716"/>
      <c r="L83" s="717"/>
      <c r="M83" s="718"/>
      <c r="N83" s="2163"/>
      <c r="O83" s="2163"/>
      <c r="P83" s="2164"/>
      <c r="Q83" s="2157"/>
      <c r="R83" s="2144"/>
      <c r="S83" s="2144"/>
      <c r="T83" s="2144"/>
      <c r="U83" s="2144"/>
      <c r="V83" s="2144"/>
      <c r="W83" s="2144"/>
      <c r="X83" s="2144"/>
      <c r="Y83" s="2144"/>
      <c r="Z83" s="2144"/>
      <c r="AA83" s="2144"/>
      <c r="AB83" s="2144"/>
      <c r="AC83" s="2144"/>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3"/>
      <c r="O85" s="2163"/>
      <c r="P85" s="2164"/>
      <c r="Q85" s="2157"/>
      <c r="R85" s="2144"/>
      <c r="S85" s="2144"/>
      <c r="T85" s="2144"/>
      <c r="U85" s="2144"/>
      <c r="V85" s="2144"/>
      <c r="W85" s="2144"/>
      <c r="X85" s="2144"/>
      <c r="Y85" s="2144"/>
      <c r="Z85" s="2144"/>
      <c r="AA85" s="2144"/>
      <c r="AB85" s="2144"/>
      <c r="AC85" s="2144"/>
    </row>
    <row r="86" spans="1:29">
      <c r="A86" s="732"/>
      <c r="B86" s="678"/>
      <c r="C86" s="891">
        <v>0.5</v>
      </c>
      <c r="D86" s="891">
        <v>0.6</v>
      </c>
      <c r="E86" s="891">
        <v>0.7</v>
      </c>
      <c r="F86" s="891">
        <v>0.8</v>
      </c>
      <c r="G86" s="891">
        <v>0.9</v>
      </c>
      <c r="H86" s="891">
        <v>1.0001</v>
      </c>
      <c r="I86" s="902"/>
      <c r="J86" s="902"/>
      <c r="K86" s="903"/>
      <c r="L86" s="904"/>
      <c r="M86" s="905"/>
      <c r="N86" s="2163"/>
      <c r="O86" s="2163"/>
      <c r="P86" s="2164"/>
      <c r="Q86" s="2157"/>
      <c r="R86" s="2144"/>
      <c r="S86" s="2144"/>
      <c r="T86" s="2144"/>
      <c r="U86" s="2144"/>
      <c r="V86" s="2144"/>
      <c r="W86" s="2144"/>
      <c r="X86" s="2144"/>
      <c r="Y86" s="2144"/>
      <c r="Z86" s="2144"/>
      <c r="AA86" s="2144"/>
      <c r="AB86" s="2144"/>
      <c r="AC86" s="2144"/>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2"/>
      <c r="B88" s="678" t="s">
        <v>817</v>
      </c>
      <c r="C88" s="595"/>
      <c r="D88" s="595"/>
      <c r="E88" s="595"/>
      <c r="F88" s="595"/>
      <c r="G88" s="595"/>
      <c r="H88" s="595"/>
      <c r="I88" s="595"/>
      <c r="J88" s="595"/>
      <c r="K88" s="663"/>
      <c r="L88" s="664"/>
      <c r="M88" s="665"/>
      <c r="N88" s="2163"/>
      <c r="O88" s="2163"/>
      <c r="P88" s="2164"/>
      <c r="Q88" s="2157"/>
      <c r="R88" s="2144"/>
      <c r="S88" s="2144"/>
      <c r="T88" s="2144"/>
      <c r="U88" s="2144"/>
      <c r="V88" s="2144"/>
      <c r="W88" s="2144"/>
      <c r="X88" s="2144"/>
      <c r="Y88" s="2144"/>
      <c r="Z88" s="2144"/>
      <c r="AA88" s="2144"/>
      <c r="AB88" s="2144"/>
      <c r="AC88" s="2144"/>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5"/>
      <c r="O89" s="2165"/>
      <c r="P89" s="2164"/>
      <c r="Q89" s="2157"/>
      <c r="R89" s="2144"/>
      <c r="S89" s="2144"/>
      <c r="T89" s="2144"/>
      <c r="U89" s="2144"/>
      <c r="V89" s="2144"/>
      <c r="W89" s="2144"/>
      <c r="X89" s="2144"/>
      <c r="Y89" s="2144"/>
      <c r="Z89" s="2144"/>
      <c r="AA89" s="2144"/>
      <c r="AB89" s="2144"/>
      <c r="AC89" s="2144"/>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6"/>
      <c r="O90" s="2166"/>
      <c r="P90" s="2167"/>
      <c r="Q90" s="2168"/>
      <c r="R90" s="2169"/>
      <c r="S90" s="2169"/>
      <c r="T90" s="2169"/>
      <c r="U90" s="2169"/>
      <c r="V90" s="2169"/>
      <c r="W90" s="2169"/>
      <c r="X90" s="2169"/>
      <c r="Y90" s="2169"/>
      <c r="Z90" s="2169"/>
      <c r="AA90" s="2169"/>
      <c r="AB90" s="2169"/>
      <c r="AC90" s="2169"/>
    </row>
    <row r="91" spans="1:29" s="1336" customFormat="1">
      <c r="A91" s="725"/>
      <c r="B91" s="678"/>
      <c r="C91" s="727"/>
      <c r="D91" s="727"/>
      <c r="E91" s="727"/>
      <c r="F91" s="727"/>
      <c r="G91" s="727"/>
      <c r="H91" s="727"/>
      <c r="I91" s="727"/>
      <c r="J91" s="728"/>
      <c r="K91" s="728"/>
      <c r="L91" s="729"/>
      <c r="M91" s="730"/>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4"/>
      <c r="B92" s="675"/>
      <c r="C92" s="689"/>
      <c r="D92" s="668"/>
      <c r="E92" s="668"/>
      <c r="F92" s="668"/>
      <c r="G92" s="668"/>
      <c r="H92" s="668"/>
      <c r="I92" s="668"/>
      <c r="J92" s="668"/>
      <c r="K92" s="668"/>
      <c r="L92" s="668"/>
      <c r="M92" s="669"/>
      <c r="N92" s="2166"/>
      <c r="O92" s="2166"/>
      <c r="P92" s="2167"/>
      <c r="Q92" s="2168"/>
      <c r="R92" s="2169"/>
      <c r="S92" s="2169"/>
      <c r="T92" s="2169"/>
      <c r="U92" s="2169"/>
      <c r="V92" s="2169"/>
      <c r="W92" s="2169"/>
      <c r="X92" s="2169"/>
      <c r="Y92" s="2169"/>
      <c r="Z92" s="2169"/>
      <c r="AA92" s="2169"/>
      <c r="AB92" s="2169"/>
      <c r="AC92" s="2169"/>
    </row>
    <row r="93" spans="1:29" ht="15" thickTop="1">
      <c r="A93" s="732"/>
      <c r="B93" s="670" t="s">
        <v>819</v>
      </c>
      <c r="C93" s="685"/>
      <c r="D93" s="685"/>
      <c r="E93" s="715"/>
      <c r="F93" s="715"/>
      <c r="G93" s="715"/>
      <c r="H93" s="715"/>
      <c r="I93" s="715"/>
      <c r="J93" s="715"/>
      <c r="K93" s="716"/>
      <c r="L93" s="717"/>
      <c r="M93" s="71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2"/>
      <c r="B95" s="670" t="s">
        <v>820</v>
      </c>
      <c r="C95" s="595"/>
      <c r="D95" s="595"/>
      <c r="E95" s="595"/>
      <c r="F95" s="595"/>
      <c r="G95" s="595"/>
      <c r="H95" s="595"/>
      <c r="I95" s="595"/>
      <c r="J95" s="595"/>
      <c r="K95" s="663"/>
      <c r="L95" s="664"/>
      <c r="M95" s="665"/>
      <c r="N95" s="2163"/>
      <c r="O95" s="2163"/>
      <c r="P95" s="2164"/>
      <c r="Q95" s="2157"/>
      <c r="R95" s="2144"/>
      <c r="S95" s="2144"/>
      <c r="T95" s="2144"/>
      <c r="U95" s="2144"/>
      <c r="V95" s="2144"/>
      <c r="W95" s="2144"/>
      <c r="X95" s="2144"/>
      <c r="Y95" s="2144"/>
      <c r="Z95" s="2144"/>
      <c r="AA95" s="2144"/>
      <c r="AB95" s="2144"/>
      <c r="AC95" s="2144"/>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5"/>
      <c r="O96" s="2165"/>
      <c r="P96" s="2164"/>
      <c r="Q96" s="2157"/>
      <c r="R96" s="2144"/>
      <c r="S96" s="2144"/>
      <c r="T96" s="2144"/>
      <c r="U96" s="2144"/>
      <c r="V96" s="2144"/>
      <c r="W96" s="2144"/>
      <c r="X96" s="2144"/>
      <c r="Y96" s="2144"/>
      <c r="Z96" s="2144"/>
      <c r="AA96" s="2144"/>
      <c r="AB96" s="2144"/>
      <c r="AC96" s="2144"/>
    </row>
    <row r="97" spans="1:29" ht="15" thickTop="1">
      <c r="A97" s="732"/>
      <c r="B97" s="914">
        <f>B34</f>
        <v>111</v>
      </c>
      <c r="C97" s="538"/>
      <c r="D97" s="538"/>
      <c r="E97" s="538"/>
      <c r="F97" s="538"/>
      <c r="G97" s="685"/>
      <c r="H97" s="686"/>
      <c r="I97" s="686"/>
      <c r="J97" s="686"/>
      <c r="K97" s="686"/>
      <c r="L97" s="687"/>
      <c r="M97" s="688"/>
      <c r="N97" s="2165"/>
      <c r="O97" s="2165"/>
      <c r="P97" s="2204"/>
      <c r="Q97" s="2205"/>
      <c r="R97" s="2144"/>
      <c r="S97" s="2144"/>
      <c r="T97" s="2144"/>
      <c r="U97" s="2144"/>
      <c r="V97" s="2144"/>
      <c r="W97" s="2144"/>
      <c r="X97" s="2144"/>
      <c r="Y97" s="2144"/>
      <c r="Z97" s="2144"/>
      <c r="AA97" s="2144"/>
      <c r="AB97" s="2144"/>
      <c r="AC97" s="2144"/>
    </row>
    <row r="98" spans="1:29" ht="15.75" thickBot="1">
      <c r="A98" s="666"/>
      <c r="B98" s="675"/>
      <c r="C98" s="689"/>
      <c r="D98" s="668"/>
      <c r="E98" s="668"/>
      <c r="F98" s="668"/>
      <c r="G98" s="689"/>
      <c r="H98" s="690"/>
      <c r="I98" s="690"/>
      <c r="J98" s="690"/>
      <c r="K98" s="690"/>
      <c r="L98" s="690"/>
      <c r="M98" s="691"/>
      <c r="N98" s="2165"/>
      <c r="O98" s="2165"/>
      <c r="P98" s="2164"/>
      <c r="Q98" s="2157"/>
      <c r="R98" s="2144"/>
      <c r="S98" s="2144"/>
      <c r="T98" s="2144"/>
      <c r="U98" s="2144"/>
      <c r="V98" s="2144"/>
      <c r="W98" s="2144"/>
      <c r="X98" s="2144"/>
      <c r="Y98" s="2144"/>
      <c r="Z98" s="2144"/>
      <c r="AA98" s="2144"/>
      <c r="AB98" s="2144"/>
      <c r="AC98" s="2144"/>
    </row>
    <row r="99" spans="1:29" s="1336" customFormat="1" ht="15" thickTop="1">
      <c r="A99" s="725"/>
      <c r="B99" s="670">
        <f>B35</f>
        <v>111</v>
      </c>
      <c r="C99" s="538"/>
      <c r="D99" s="538"/>
      <c r="E99" s="538"/>
      <c r="F99" s="538"/>
      <c r="G99" s="685"/>
      <c r="H99" s="686"/>
      <c r="I99" s="686"/>
      <c r="J99" s="686"/>
      <c r="K99" s="686"/>
      <c r="L99" s="687"/>
      <c r="M99" s="688"/>
      <c r="N99" s="2166"/>
      <c r="O99" s="2166"/>
      <c r="P99" s="2167"/>
      <c r="Q99" s="2168"/>
      <c r="R99" s="2169"/>
      <c r="S99" s="2169"/>
      <c r="T99" s="2169"/>
      <c r="U99" s="2169"/>
      <c r="V99" s="2169"/>
      <c r="W99" s="2169"/>
      <c r="X99" s="2169"/>
      <c r="Y99" s="2169"/>
      <c r="Z99" s="2169"/>
      <c r="AA99" s="2169"/>
      <c r="AB99" s="2169"/>
      <c r="AC99" s="2169"/>
    </row>
    <row r="100" spans="1:29" s="1336" customFormat="1" ht="15.75" thickBot="1">
      <c r="A100" s="684"/>
      <c r="B100" s="667"/>
      <c r="C100" s="689"/>
      <c r="D100" s="668"/>
      <c r="E100" s="668"/>
      <c r="F100" s="668"/>
      <c r="G100" s="689"/>
      <c r="H100" s="690"/>
      <c r="I100" s="690"/>
      <c r="J100" s="690"/>
      <c r="K100" s="690"/>
      <c r="L100" s="690"/>
      <c r="M100" s="691"/>
      <c r="N100" s="2166"/>
      <c r="O100" s="2166"/>
      <c r="P100" s="2167"/>
      <c r="Q100" s="2168"/>
      <c r="R100" s="2169"/>
      <c r="S100" s="2169"/>
      <c r="T100" s="2169"/>
      <c r="U100" s="2169"/>
      <c r="V100" s="2169"/>
      <c r="W100" s="2169"/>
      <c r="X100" s="2169"/>
      <c r="Y100" s="2169"/>
      <c r="Z100" s="2169"/>
      <c r="AA100" s="2169"/>
      <c r="AB100" s="2169"/>
      <c r="AC100" s="2169"/>
    </row>
    <row r="101" spans="1:29" ht="15" thickTop="1">
      <c r="A101" s="732"/>
      <c r="B101" s="670">
        <f>B36</f>
        <v>111</v>
      </c>
      <c r="C101" s="685"/>
      <c r="D101" s="685"/>
      <c r="E101" s="685"/>
      <c r="F101" s="685"/>
      <c r="G101" s="685"/>
      <c r="H101" s="686"/>
      <c r="I101" s="686"/>
      <c r="J101" s="686"/>
      <c r="K101" s="686"/>
      <c r="L101" s="687"/>
      <c r="M101" s="688"/>
      <c r="N101" s="2163"/>
      <c r="O101" s="2163"/>
      <c r="P101" s="2164"/>
      <c r="Q101" s="2157"/>
      <c r="R101" s="2144"/>
      <c r="S101" s="2144"/>
      <c r="T101" s="2144"/>
      <c r="U101" s="2144"/>
      <c r="V101" s="2144"/>
      <c r="W101" s="2144"/>
      <c r="X101" s="2144"/>
      <c r="Y101" s="2144"/>
      <c r="Z101" s="2144"/>
      <c r="AA101" s="2144"/>
      <c r="AB101" s="2144"/>
      <c r="AC101" s="2144"/>
    </row>
    <row r="102" spans="1:29" ht="15.75" thickBot="1">
      <c r="A102" s="666"/>
      <c r="B102" s="675"/>
      <c r="C102" s="689"/>
      <c r="D102" s="689"/>
      <c r="E102" s="689"/>
      <c r="F102" s="689"/>
      <c r="G102" s="689"/>
      <c r="H102" s="690"/>
      <c r="I102" s="690"/>
      <c r="J102" s="690"/>
      <c r="K102" s="690"/>
      <c r="L102" s="690"/>
      <c r="M102" s="691"/>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H20" sqref="H20"/>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04"/>
      <c r="G1" s="1599" t="s">
        <v>793</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794</v>
      </c>
      <c r="B2" s="847"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795</v>
      </c>
      <c r="B3" s="507" t="e">
        <f>C37</f>
        <v>#DIV/0!</v>
      </c>
      <c r="C3" s="849" t="s">
        <v>796</v>
      </c>
      <c r="D3" s="848">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797</v>
      </c>
      <c r="B4" s="510"/>
      <c r="C4" s="3468" t="s">
        <v>798</v>
      </c>
      <c r="D4" s="3469"/>
      <c r="E4" s="3502" t="s">
        <v>799</v>
      </c>
      <c r="F4" s="3503"/>
      <c r="G4" s="3468" t="s">
        <v>800</v>
      </c>
      <c r="H4" s="3469"/>
      <c r="I4" s="3468" t="s">
        <v>801</v>
      </c>
      <c r="J4" s="3469"/>
      <c r="K4" s="511" t="s">
        <v>802</v>
      </c>
      <c r="L4" s="2132"/>
      <c r="M4" s="2133"/>
      <c r="N4" s="2133"/>
      <c r="O4" s="2133"/>
      <c r="P4" s="3470" t="s">
        <v>803</v>
      </c>
      <c r="Q4" s="3471"/>
      <c r="R4" s="3476" t="s">
        <v>799</v>
      </c>
      <c r="S4" s="3477"/>
      <c r="T4" s="3476" t="s">
        <v>800</v>
      </c>
      <c r="U4" s="3477"/>
      <c r="V4" s="3463" t="s">
        <v>801</v>
      </c>
      <c r="W4" s="3463"/>
      <c r="X4" s="1565"/>
      <c r="Y4" s="3476" t="s">
        <v>803</v>
      </c>
      <c r="Z4" s="3477"/>
      <c r="AA4" s="3465" t="s">
        <v>799</v>
      </c>
      <c r="AB4" s="3466" t="s">
        <v>800</v>
      </c>
      <c r="AC4" s="3465" t="s">
        <v>801</v>
      </c>
    </row>
    <row r="5" spans="1:29" ht="15">
      <c r="A5" s="512"/>
      <c r="B5" s="513"/>
      <c r="C5" s="3484" t="s">
        <v>2933</v>
      </c>
      <c r="D5" s="3485"/>
      <c r="E5" s="3504" t="s">
        <v>2934</v>
      </c>
      <c r="F5" s="3505"/>
      <c r="G5" s="3484" t="s">
        <v>2935</v>
      </c>
      <c r="H5" s="3485"/>
      <c r="I5" s="3484" t="s">
        <v>2936</v>
      </c>
      <c r="J5" s="3485"/>
      <c r="K5" s="511"/>
      <c r="L5" s="2132"/>
      <c r="M5" s="2133"/>
      <c r="N5" s="2133"/>
      <c r="O5" s="2133"/>
      <c r="P5" s="3472"/>
      <c r="Q5" s="3473"/>
      <c r="R5" s="3478"/>
      <c r="S5" s="3479"/>
      <c r="T5" s="3478"/>
      <c r="U5" s="3479"/>
      <c r="V5" s="3463"/>
      <c r="W5" s="3463"/>
      <c r="X5" s="1565"/>
      <c r="Y5" s="3478"/>
      <c r="Z5" s="3479"/>
      <c r="AA5" s="3466"/>
      <c r="AB5" s="3466"/>
      <c r="AC5" s="3466"/>
    </row>
    <row r="6" spans="1:29" ht="15.75" thickBot="1">
      <c r="A6" s="514"/>
      <c r="B6" s="515"/>
      <c r="C6" s="3482" t="s">
        <v>2937</v>
      </c>
      <c r="D6" s="3483"/>
      <c r="E6" s="3500" t="s">
        <v>2937</v>
      </c>
      <c r="F6" s="3501"/>
      <c r="G6" s="3482" t="s">
        <v>2937</v>
      </c>
      <c r="H6" s="3483"/>
      <c r="I6" s="3482" t="s">
        <v>2937</v>
      </c>
      <c r="J6" s="3483"/>
      <c r="K6" s="511" t="s">
        <v>528</v>
      </c>
      <c r="L6" s="2132"/>
      <c r="M6" s="2133"/>
      <c r="N6" s="2133"/>
      <c r="O6" s="2133"/>
      <c r="P6" s="3474"/>
      <c r="Q6" s="3475"/>
      <c r="R6" s="3478"/>
      <c r="S6" s="3479"/>
      <c r="T6" s="3480"/>
      <c r="U6" s="3481"/>
      <c r="V6" s="3463"/>
      <c r="W6" s="3463"/>
      <c r="X6" s="1565"/>
      <c r="Y6" s="3480"/>
      <c r="Z6" s="3481"/>
      <c r="AA6" s="3467"/>
      <c r="AB6" s="3467"/>
      <c r="AC6" s="3467"/>
    </row>
    <row r="7" spans="1:29" s="1217" customFormat="1" ht="15.75" thickBot="1">
      <c r="A7" s="2909"/>
      <c r="B7" s="2916" t="s">
        <v>529</v>
      </c>
      <c r="C7" s="516">
        <f>'数据-取费表'!B2</f>
        <v>43650</v>
      </c>
      <c r="D7" s="517">
        <v>100</v>
      </c>
      <c r="E7" s="518"/>
      <c r="F7" s="519">
        <f>SUMIF(46:46,YEAR(E7)&amp;"-"&amp;MONTH(E7),47:47)</f>
        <v>0</v>
      </c>
      <c r="G7" s="520"/>
      <c r="H7" s="517">
        <f>SUMIF(46:46,YEAR(G7)&amp;"-"&amp;MONTH(G7),47:47)</f>
        <v>0</v>
      </c>
      <c r="I7" s="520"/>
      <c r="J7" s="517">
        <f>SUMIF(46:46,YEAR(I7)&amp;"-"&amp;MONTH(I7),47:47)</f>
        <v>0</v>
      </c>
      <c r="K7" s="521"/>
      <c r="L7" s="2134"/>
      <c r="M7" s="2135"/>
      <c r="N7" s="2135"/>
      <c r="O7" s="2135"/>
      <c r="P7" s="3493" t="s">
        <v>530</v>
      </c>
      <c r="Q7" s="3495"/>
      <c r="R7" s="1566" t="s">
        <v>8</v>
      </c>
      <c r="S7" s="1567">
        <f t="shared" ref="S7:S14" si="0">F7</f>
        <v>0</v>
      </c>
      <c r="T7" s="1566" t="s">
        <v>8</v>
      </c>
      <c r="U7" s="1567">
        <f t="shared" ref="U7:U14" si="1">H7</f>
        <v>0</v>
      </c>
      <c r="V7" s="1566" t="s">
        <v>8</v>
      </c>
      <c r="W7" s="1567">
        <f t="shared" ref="W7:W14"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522"/>
      <c r="F8" s="519">
        <f>SUMIF(49:49,E8,50:50)-SUMIF(49:49,C8,50:50)+100</f>
        <v>0</v>
      </c>
      <c r="G8" s="522"/>
      <c r="H8" s="517">
        <f>SUMIF(49:49,G8,50:50)-SUMIF(49:49,C8,50:50)+100</f>
        <v>0</v>
      </c>
      <c r="I8" s="522"/>
      <c r="J8" s="517">
        <f>SUMIF(49:49,I8,50:50)-SUMIF(49:49,C8,50:50)+100</f>
        <v>0</v>
      </c>
      <c r="K8" s="521"/>
      <c r="L8" s="2134"/>
      <c r="M8" s="2135"/>
      <c r="N8" s="2135"/>
      <c r="O8" s="2135"/>
      <c r="P8" s="3493" t="s">
        <v>533</v>
      </c>
      <c r="Q8" s="3494"/>
      <c r="R8" s="1566" t="s">
        <v>8</v>
      </c>
      <c r="S8" s="1567">
        <f t="shared" si="0"/>
        <v>0</v>
      </c>
      <c r="T8" s="1566" t="s">
        <v>8</v>
      </c>
      <c r="U8" s="1567">
        <f t="shared" si="1"/>
        <v>0</v>
      </c>
      <c r="V8" s="1566" t="s">
        <v>8</v>
      </c>
      <c r="W8" s="1567">
        <f t="shared" si="2"/>
        <v>0</v>
      </c>
      <c r="X8" s="1568"/>
      <c r="Y8" s="3493" t="s">
        <v>533</v>
      </c>
      <c r="Z8" s="3494"/>
      <c r="AA8" s="1569" t="e">
        <f t="shared" ref="AA8:AA34" si="3">D8/F8</f>
        <v>#DIV/0!</v>
      </c>
      <c r="AB8" s="1569" t="e">
        <f t="shared" ref="AB8:AB34" si="4">D8/H8</f>
        <v>#DIV/0!</v>
      </c>
      <c r="AC8" s="1569" t="e">
        <f t="shared" ref="AC8:AC34" si="5">D8/J8</f>
        <v>#DIV/0!</v>
      </c>
    </row>
    <row r="9" spans="1:29" s="1217" customFormat="1" ht="15">
      <c r="A9" s="2911"/>
      <c r="B9" s="2918" t="s">
        <v>2759</v>
      </c>
      <c r="C9" s="854"/>
      <c r="D9" s="254">
        <v>100</v>
      </c>
      <c r="E9" s="857"/>
      <c r="F9" s="254">
        <f>SUMIF(51:51,E9,52:52)-SUMIF(51:51,C9,52:52)+100</f>
        <v>100</v>
      </c>
      <c r="G9" s="857"/>
      <c r="H9" s="254">
        <f>SUMIF(51:51,G9,52:52)-SUMIF(51:51,C9,52:52)+100</f>
        <v>100</v>
      </c>
      <c r="I9" s="857"/>
      <c r="J9" s="254">
        <f>SUMIF(51:51,I9,52:52)-SUMIF(51:51,C9,52:52)+100</f>
        <v>100</v>
      </c>
      <c r="K9" s="521"/>
      <c r="L9" s="2134"/>
      <c r="M9" s="2135"/>
      <c r="N9" s="2135"/>
      <c r="O9" s="2136"/>
      <c r="P9" s="3462" t="s">
        <v>535</v>
      </c>
      <c r="Q9" s="1148" t="str">
        <f t="shared" ref="Q9:Q14" si="6">B9</f>
        <v>用途</v>
      </c>
      <c r="R9" s="1566" t="s">
        <v>8</v>
      </c>
      <c r="S9" s="1567">
        <f t="shared" si="0"/>
        <v>100</v>
      </c>
      <c r="T9" s="1566" t="s">
        <v>8</v>
      </c>
      <c r="U9" s="1567">
        <f t="shared" si="1"/>
        <v>100</v>
      </c>
      <c r="V9" s="1566" t="s">
        <v>8</v>
      </c>
      <c r="W9" s="1567">
        <f t="shared" si="2"/>
        <v>100</v>
      </c>
      <c r="X9" s="1568"/>
      <c r="Y9" s="3383" t="s">
        <v>536</v>
      </c>
      <c r="Z9" s="1147" t="str">
        <f t="shared" ref="Z9:Z14" si="7">Q9</f>
        <v>用途</v>
      </c>
      <c r="AA9" s="1569">
        <f t="shared" si="3"/>
        <v>1</v>
      </c>
      <c r="AB9" s="1569">
        <f t="shared" si="4"/>
        <v>1</v>
      </c>
      <c r="AC9" s="1569">
        <f t="shared" si="5"/>
        <v>1</v>
      </c>
    </row>
    <row r="10" spans="1:29" s="1335" customFormat="1" ht="27">
      <c r="A10" s="2912"/>
      <c r="B10" s="2917" t="s">
        <v>2760</v>
      </c>
      <c r="C10" s="858"/>
      <c r="D10" s="255">
        <v>100</v>
      </c>
      <c r="E10" s="858"/>
      <c r="F10" s="255">
        <f>SUMIF(53:53,E10,54:54)-SUMIF(53:53,C10,54:54)+100</f>
        <v>100</v>
      </c>
      <c r="G10" s="859"/>
      <c r="H10" s="255">
        <f>SUMIF(53:53,G10,54:54)-SUMIF(53:53,C10,54:54)+100</f>
        <v>100</v>
      </c>
      <c r="I10" s="858"/>
      <c r="J10" s="255">
        <f>SUMIF(53:53,I10,54:54)-SUMIF(53:53,C10,54:54)+100</f>
        <v>100</v>
      </c>
      <c r="K10" s="581"/>
      <c r="L10" s="2137"/>
      <c r="M10" s="2177"/>
      <c r="N10" s="2177"/>
      <c r="O10" s="2138"/>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4"/>
      <c r="B11" s="2920">
        <v>111</v>
      </c>
      <c r="C11" s="525"/>
      <c r="D11" s="255">
        <v>100</v>
      </c>
      <c r="E11" s="877"/>
      <c r="F11" s="255">
        <f>SUMIF(55:55,E11,56:56)-SUMIF(55:55,C11,56:56)+100</f>
        <v>100</v>
      </c>
      <c r="G11" s="877"/>
      <c r="H11" s="255">
        <f>SUMIF(55:55,G11,56:56)-SUMIF(55:55,C11,56:56)+100</f>
        <v>100</v>
      </c>
      <c r="I11" s="877"/>
      <c r="J11" s="255">
        <f>SUMIF(55:55,I11,56:56)-SUMIF(55:55,C11,56:56)+100</f>
        <v>100</v>
      </c>
      <c r="K11" s="578"/>
      <c r="L11" s="2139"/>
      <c r="M11" s="2133"/>
      <c r="N11" s="2133"/>
      <c r="O11" s="2140"/>
      <c r="P11" s="3462"/>
      <c r="Q11" s="1148">
        <f t="shared" si="6"/>
        <v>111</v>
      </c>
      <c r="R11" s="1566" t="s">
        <v>8</v>
      </c>
      <c r="S11" s="1567">
        <f t="shared" si="0"/>
        <v>100</v>
      </c>
      <c r="T11" s="1566" t="s">
        <v>8</v>
      </c>
      <c r="U11" s="1567">
        <f t="shared" si="1"/>
        <v>100</v>
      </c>
      <c r="V11" s="1566" t="s">
        <v>8</v>
      </c>
      <c r="W11" s="1567">
        <f t="shared" si="2"/>
        <v>100</v>
      </c>
      <c r="X11" s="1568"/>
      <c r="Y11" s="3383"/>
      <c r="Z11" s="1147">
        <f t="shared" si="7"/>
        <v>111</v>
      </c>
      <c r="AA11" s="1569">
        <f t="shared" si="3"/>
        <v>1</v>
      </c>
      <c r="AB11" s="1569">
        <f t="shared" si="4"/>
        <v>1</v>
      </c>
      <c r="AC11" s="1569">
        <f t="shared" si="5"/>
        <v>1</v>
      </c>
    </row>
    <row r="12" spans="1:29" s="1217" customFormat="1" ht="15">
      <c r="A12" s="2914"/>
      <c r="B12" s="2920">
        <v>111</v>
      </c>
      <c r="C12" s="525"/>
      <c r="D12" s="535">
        <v>100</v>
      </c>
      <c r="E12" s="877"/>
      <c r="F12" s="255">
        <f>SUMIF(57:57,E12,58:58)-SUMIF(57:57,C12,58:58)+100</f>
        <v>100</v>
      </c>
      <c r="G12" s="877"/>
      <c r="H12" s="255">
        <f>SUMIF(57:57,G12,58:58)-SUMIF(57:57,C12,58:58)+100</f>
        <v>100</v>
      </c>
      <c r="I12" s="877"/>
      <c r="J12" s="255">
        <f>SUMIF(57:57,I12,58:58)-SUMIF(57:57,C12,58:58)+100</f>
        <v>100</v>
      </c>
      <c r="K12" s="578"/>
      <c r="L12" s="2134"/>
      <c r="M12" s="2135"/>
      <c r="N12" s="2135"/>
      <c r="O12" s="2136"/>
      <c r="P12" s="3462"/>
      <c r="Q12" s="1148">
        <f t="shared" si="6"/>
        <v>111</v>
      </c>
      <c r="R12" s="1566" t="s">
        <v>8</v>
      </c>
      <c r="S12" s="1567">
        <f t="shared" si="0"/>
        <v>100</v>
      </c>
      <c r="T12" s="1566" t="s">
        <v>8</v>
      </c>
      <c r="U12" s="1567">
        <f t="shared" si="1"/>
        <v>100</v>
      </c>
      <c r="V12" s="1566" t="s">
        <v>8</v>
      </c>
      <c r="W12" s="1567">
        <f t="shared" si="2"/>
        <v>100</v>
      </c>
      <c r="X12" s="1568"/>
      <c r="Y12" s="3383"/>
      <c r="Z12" s="1147">
        <f t="shared" si="7"/>
        <v>111</v>
      </c>
      <c r="AA12" s="1569">
        <f>D12/F12</f>
        <v>1</v>
      </c>
      <c r="AB12" s="1569">
        <f>D12/H12</f>
        <v>1</v>
      </c>
      <c r="AC12" s="1569">
        <f>D12/J12</f>
        <v>1</v>
      </c>
    </row>
    <row r="13" spans="1:29" ht="15.75" thickBot="1">
      <c r="A13" s="2915"/>
      <c r="B13" s="2921">
        <v>111</v>
      </c>
      <c r="C13" s="536"/>
      <c r="D13" s="537">
        <v>100</v>
      </c>
      <c r="E13" s="877"/>
      <c r="F13" s="255">
        <f>SUMIF(59:59,E13,60:60)-SUMIF(59:59,C13,60:60)+100</f>
        <v>100</v>
      </c>
      <c r="G13" s="877"/>
      <c r="H13" s="537">
        <f>SUMIF(59:59,G13,60:60)-SUMIF(59:59,C13,60:60)+100</f>
        <v>100</v>
      </c>
      <c r="I13" s="877"/>
      <c r="J13" s="537">
        <f>SUMIF(59:59,I13,60:60)-SUMIF(59:59,C13,60:60)+100</f>
        <v>100</v>
      </c>
      <c r="K13" s="578"/>
      <c r="L13" s="2141"/>
      <c r="M13" s="2133"/>
      <c r="N13" s="2133"/>
      <c r="O13" s="2140"/>
      <c r="P13" s="3462"/>
      <c r="Q13" s="1148">
        <f t="shared" si="6"/>
        <v>111</v>
      </c>
      <c r="R13" s="1566" t="s">
        <v>8</v>
      </c>
      <c r="S13" s="1567">
        <f t="shared" si="0"/>
        <v>100</v>
      </c>
      <c r="T13" s="1566" t="s">
        <v>8</v>
      </c>
      <c r="U13" s="1567">
        <f t="shared" si="1"/>
        <v>100</v>
      </c>
      <c r="V13" s="1566" t="s">
        <v>8</v>
      </c>
      <c r="W13" s="1567">
        <f t="shared" si="2"/>
        <v>100</v>
      </c>
      <c r="X13" s="1568"/>
      <c r="Y13" s="3383"/>
      <c r="Z13" s="1147">
        <f t="shared" si="7"/>
        <v>111</v>
      </c>
      <c r="AA13" s="1569">
        <f t="shared" si="3"/>
        <v>1</v>
      </c>
      <c r="AB13" s="1569">
        <f t="shared" si="4"/>
        <v>1</v>
      </c>
      <c r="AC13" s="1569">
        <f t="shared" si="5"/>
        <v>1</v>
      </c>
    </row>
    <row r="14" spans="1:29" ht="85.5">
      <c r="A14" s="2907" t="s">
        <v>2757</v>
      </c>
      <c r="B14" s="166"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41"/>
      <c r="M14" s="2133"/>
      <c r="N14" s="2133"/>
      <c r="O14" s="2140"/>
      <c r="P14" s="3496" t="s">
        <v>540</v>
      </c>
      <c r="Q14" s="1570" t="str">
        <f t="shared" si="6"/>
        <v>交通便捷度</v>
      </c>
      <c r="R14" s="1571" t="s">
        <v>8</v>
      </c>
      <c r="S14" s="1572">
        <f t="shared" si="0"/>
        <v>100</v>
      </c>
      <c r="T14" s="1571" t="s">
        <v>8</v>
      </c>
      <c r="U14" s="1572">
        <f t="shared" si="1"/>
        <v>100</v>
      </c>
      <c r="V14" s="1571" t="s">
        <v>8</v>
      </c>
      <c r="W14" s="1572">
        <f t="shared" si="2"/>
        <v>100</v>
      </c>
      <c r="X14" s="1565"/>
      <c r="Y14" s="3496" t="s">
        <v>540</v>
      </c>
      <c r="Z14" s="1573" t="str">
        <f t="shared" si="7"/>
        <v>交通便捷度</v>
      </c>
      <c r="AA14" s="1574">
        <f t="shared" si="3"/>
        <v>1</v>
      </c>
      <c r="AB14" s="1574">
        <f t="shared" si="4"/>
        <v>1</v>
      </c>
      <c r="AC14" s="1574">
        <f t="shared" si="5"/>
        <v>1</v>
      </c>
    </row>
    <row r="15" spans="1:29" ht="15">
      <c r="A15" s="529"/>
      <c r="B15" s="866"/>
      <c r="C15" s="573"/>
      <c r="D15" s="552"/>
      <c r="E15" s="573"/>
      <c r="F15" s="554"/>
      <c r="G15" s="573"/>
      <c r="H15" s="556"/>
      <c r="I15" s="573"/>
      <c r="J15" s="552"/>
      <c r="K15" s="896"/>
      <c r="L15" s="2141"/>
      <c r="M15" s="2133"/>
      <c r="N15" s="2133"/>
      <c r="O15" s="2140"/>
      <c r="P15" s="3497"/>
      <c r="Q15" s="1570"/>
      <c r="R15" s="1571"/>
      <c r="S15" s="1572"/>
      <c r="T15" s="1571"/>
      <c r="U15" s="1572"/>
      <c r="V15" s="1571"/>
      <c r="W15" s="1572"/>
      <c r="X15" s="1565"/>
      <c r="Y15" s="3497"/>
      <c r="Z15" s="1573"/>
      <c r="AA15" s="1574">
        <v>1</v>
      </c>
      <c r="AB15" s="1574">
        <v>1</v>
      </c>
      <c r="AC15" s="1574">
        <v>1</v>
      </c>
    </row>
    <row r="16" spans="1:29" ht="42.75">
      <c r="A16" s="529"/>
      <c r="B16" s="2602" t="s">
        <v>2549</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41"/>
      <c r="M16" s="2133"/>
      <c r="N16" s="2133"/>
      <c r="O16" s="2140"/>
      <c r="P16" s="3497"/>
      <c r="Q16" s="1570" t="str">
        <f>B16</f>
        <v>公共配套设施</v>
      </c>
      <c r="R16" s="1571" t="s">
        <v>8</v>
      </c>
      <c r="S16" s="1572">
        <f>F16</f>
        <v>100</v>
      </c>
      <c r="T16" s="1571" t="s">
        <v>8</v>
      </c>
      <c r="U16" s="1572">
        <f>H16</f>
        <v>100</v>
      </c>
      <c r="V16" s="1571" t="s">
        <v>8</v>
      </c>
      <c r="W16" s="1572">
        <f>J16</f>
        <v>100</v>
      </c>
      <c r="X16" s="1565"/>
      <c r="Y16" s="3497"/>
      <c r="Z16" s="1573" t="str">
        <f>Q16</f>
        <v>公共配套设施</v>
      </c>
      <c r="AA16" s="1574">
        <f t="shared" si="3"/>
        <v>1</v>
      </c>
      <c r="AB16" s="1574">
        <f t="shared" si="4"/>
        <v>1</v>
      </c>
      <c r="AC16" s="1574">
        <f t="shared" si="5"/>
        <v>1</v>
      </c>
    </row>
    <row r="17" spans="1:29" ht="15">
      <c r="A17" s="529"/>
      <c r="B17" s="563"/>
      <c r="C17" s="870"/>
      <c r="D17" s="552"/>
      <c r="E17" s="573"/>
      <c r="F17" s="554"/>
      <c r="G17" s="573"/>
      <c r="H17" s="552"/>
      <c r="I17" s="573"/>
      <c r="J17" s="552"/>
      <c r="K17" s="896"/>
      <c r="L17" s="2141"/>
      <c r="M17" s="2133"/>
      <c r="N17" s="2133"/>
      <c r="O17" s="2140"/>
      <c r="P17" s="3497"/>
      <c r="Q17" s="1570"/>
      <c r="R17" s="1571"/>
      <c r="S17" s="1572"/>
      <c r="T17" s="1571"/>
      <c r="U17" s="1572"/>
      <c r="V17" s="1571"/>
      <c r="W17" s="1572"/>
      <c r="X17" s="1565"/>
      <c r="Y17" s="3497"/>
      <c r="Z17" s="1573"/>
      <c r="AA17" s="1574">
        <v>1</v>
      </c>
      <c r="AB17" s="1574">
        <v>1</v>
      </c>
      <c r="AC17" s="1574">
        <v>1</v>
      </c>
    </row>
    <row r="18" spans="1:29" ht="28.5">
      <c r="A18" s="529"/>
      <c r="B18" s="2590" t="s">
        <v>2561</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41"/>
      <c r="M18" s="2133"/>
      <c r="N18" s="2133"/>
      <c r="O18" s="2140"/>
      <c r="P18" s="3497"/>
      <c r="Q18" s="2578" t="str">
        <f>B18</f>
        <v>基础设施水平</v>
      </c>
      <c r="R18" s="1571" t="s">
        <v>8</v>
      </c>
      <c r="S18" s="1572">
        <f>F18</f>
        <v>100</v>
      </c>
      <c r="T18" s="1571" t="s">
        <v>8</v>
      </c>
      <c r="U18" s="1572">
        <f>H18</f>
        <v>100</v>
      </c>
      <c r="V18" s="1571" t="s">
        <v>8</v>
      </c>
      <c r="W18" s="1572">
        <f>J18</f>
        <v>100</v>
      </c>
      <c r="X18" s="2580"/>
      <c r="Y18" s="3497"/>
      <c r="Z18" s="2579" t="str">
        <f>Q18</f>
        <v>基础设施水平</v>
      </c>
      <c r="AA18" s="1574">
        <f t="shared" ref="AA18" si="8">D18/F18</f>
        <v>1</v>
      </c>
      <c r="AB18" s="1574">
        <f t="shared" ref="AB18" si="9">D18/H18</f>
        <v>1</v>
      </c>
      <c r="AC18" s="1574">
        <f t="shared" ref="AC18" si="10">D18/J18</f>
        <v>1</v>
      </c>
    </row>
    <row r="19" spans="1:29" ht="15">
      <c r="A19" s="529"/>
      <c r="B19" s="575"/>
      <c r="C19" s="870"/>
      <c r="D19" s="556"/>
      <c r="E19" s="870"/>
      <c r="F19" s="560"/>
      <c r="G19" s="870"/>
      <c r="H19" s="552"/>
      <c r="I19" s="573"/>
      <c r="J19" s="552"/>
      <c r="K19" s="2601"/>
      <c r="L19" s="2141"/>
      <c r="M19" s="2133"/>
      <c r="N19" s="2133"/>
      <c r="O19" s="2140"/>
      <c r="P19" s="3497"/>
      <c r="Q19" s="2578"/>
      <c r="R19" s="1571"/>
      <c r="S19" s="1572"/>
      <c r="T19" s="1571"/>
      <c r="U19" s="1572"/>
      <c r="V19" s="1571"/>
      <c r="W19" s="1572"/>
      <c r="X19" s="2580"/>
      <c r="Y19" s="3497"/>
      <c r="Z19" s="2579"/>
      <c r="AA19" s="1574">
        <v>1</v>
      </c>
      <c r="AB19" s="1574">
        <v>1</v>
      </c>
      <c r="AC19" s="1574">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41"/>
      <c r="M20" s="2133"/>
      <c r="N20" s="2133"/>
      <c r="O20" s="2140"/>
      <c r="P20" s="3497"/>
      <c r="Q20" s="1570" t="str">
        <f>B20</f>
        <v>自然及人文环境</v>
      </c>
      <c r="R20" s="1571" t="s">
        <v>8</v>
      </c>
      <c r="S20" s="1572">
        <f>F20</f>
        <v>100</v>
      </c>
      <c r="T20" s="1571" t="s">
        <v>8</v>
      </c>
      <c r="U20" s="1572">
        <f>H20</f>
        <v>100</v>
      </c>
      <c r="V20" s="1571" t="s">
        <v>8</v>
      </c>
      <c r="W20" s="1572">
        <f>J20</f>
        <v>100</v>
      </c>
      <c r="X20" s="1565"/>
      <c r="Y20" s="3497"/>
      <c r="Z20" s="1573" t="str">
        <f>Q20</f>
        <v>自然及人文环境</v>
      </c>
      <c r="AA20" s="1574">
        <f t="shared" si="3"/>
        <v>1</v>
      </c>
      <c r="AB20" s="1574">
        <f t="shared" si="4"/>
        <v>1</v>
      </c>
      <c r="AC20" s="1574">
        <f t="shared" si="5"/>
        <v>1</v>
      </c>
    </row>
    <row r="21" spans="1:29" ht="15">
      <c r="A21" s="529"/>
      <c r="B21" s="592"/>
      <c r="C21" s="573"/>
      <c r="D21" s="552"/>
      <c r="E21" s="573"/>
      <c r="F21" s="554"/>
      <c r="G21" s="573"/>
      <c r="H21" s="552"/>
      <c r="I21" s="573"/>
      <c r="J21" s="552"/>
      <c r="K21" s="896"/>
      <c r="L21" s="2141"/>
      <c r="M21" s="2133"/>
      <c r="N21" s="2133"/>
      <c r="O21" s="2140"/>
      <c r="P21" s="3497"/>
      <c r="Q21" s="1570"/>
      <c r="R21" s="1571"/>
      <c r="S21" s="1572"/>
      <c r="T21" s="1571"/>
      <c r="U21" s="1572"/>
      <c r="V21" s="1571"/>
      <c r="W21" s="1572"/>
      <c r="X21" s="1565"/>
      <c r="Y21" s="3497"/>
      <c r="Z21" s="1573"/>
      <c r="AA21" s="1574">
        <v>1</v>
      </c>
      <c r="AB21" s="1574">
        <v>1</v>
      </c>
      <c r="AC21" s="1574">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41"/>
      <c r="M22" s="2133"/>
      <c r="N22" s="2133"/>
      <c r="O22" s="2140"/>
      <c r="P22" s="3497"/>
      <c r="Q22" s="1570" t="str">
        <f>B22</f>
        <v>楼层</v>
      </c>
      <c r="R22" s="1571" t="s">
        <v>8</v>
      </c>
      <c r="S22" s="1572">
        <f>F22</f>
        <v>100</v>
      </c>
      <c r="T22" s="1571" t="s">
        <v>8</v>
      </c>
      <c r="U22" s="1572">
        <f>H22</f>
        <v>100</v>
      </c>
      <c r="V22" s="1571" t="s">
        <v>8</v>
      </c>
      <c r="W22" s="1572">
        <f>J22</f>
        <v>100</v>
      </c>
      <c r="X22" s="1565"/>
      <c r="Y22" s="3497"/>
      <c r="Z22" s="1573" t="str">
        <f>Q22</f>
        <v>楼层</v>
      </c>
      <c r="AA22" s="1574">
        <f t="shared" si="3"/>
        <v>1</v>
      </c>
      <c r="AB22" s="1574">
        <f t="shared" si="4"/>
        <v>1</v>
      </c>
      <c r="AC22" s="1574">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1"/>
      <c r="M23" s="2133"/>
      <c r="N23" s="2133"/>
      <c r="O23" s="2140"/>
      <c r="P23" s="3497"/>
      <c r="Q23" s="1570">
        <f>B23</f>
        <v>111</v>
      </c>
      <c r="R23" s="1571" t="s">
        <v>8</v>
      </c>
      <c r="S23" s="1572">
        <f>F23</f>
        <v>100</v>
      </c>
      <c r="T23" s="1571" t="s">
        <v>8</v>
      </c>
      <c r="U23" s="1572">
        <f>H23</f>
        <v>100</v>
      </c>
      <c r="V23" s="1571" t="s">
        <v>8</v>
      </c>
      <c r="W23" s="1572">
        <f>J23</f>
        <v>100</v>
      </c>
      <c r="X23" s="1565"/>
      <c r="Y23" s="3497"/>
      <c r="Z23" s="1573">
        <f>Q23</f>
        <v>111</v>
      </c>
      <c r="AA23" s="1574">
        <f t="shared" si="3"/>
        <v>1</v>
      </c>
      <c r="AB23" s="1574">
        <f t="shared" si="4"/>
        <v>1</v>
      </c>
      <c r="AC23" s="1574">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1"/>
      <c r="M24" s="2133"/>
      <c r="N24" s="2133"/>
      <c r="O24" s="2140"/>
      <c r="P24" s="3497"/>
      <c r="Q24" s="1570">
        <f t="shared" ref="Q24:Q34" si="11">B24</f>
        <v>111</v>
      </c>
      <c r="R24" s="1571" t="s">
        <v>8</v>
      </c>
      <c r="S24" s="1572">
        <f>F24</f>
        <v>100</v>
      </c>
      <c r="T24" s="1571" t="s">
        <v>8</v>
      </c>
      <c r="U24" s="1572">
        <f>H24</f>
        <v>100</v>
      </c>
      <c r="V24" s="1571" t="s">
        <v>8</v>
      </c>
      <c r="W24" s="1572">
        <f>J24</f>
        <v>100</v>
      </c>
      <c r="X24" s="1565"/>
      <c r="Y24" s="3497"/>
      <c r="Z24" s="1573">
        <f>Q24</f>
        <v>111</v>
      </c>
      <c r="AA24" s="1574">
        <f t="shared" si="3"/>
        <v>1</v>
      </c>
      <c r="AB24" s="1574">
        <f t="shared" si="4"/>
        <v>1</v>
      </c>
      <c r="AC24" s="1574">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4"/>
      <c r="M25" s="2135"/>
      <c r="N25" s="2135"/>
      <c r="O25" s="2136"/>
      <c r="P25" s="3497"/>
      <c r="Q25" s="1148">
        <f t="shared" si="11"/>
        <v>111</v>
      </c>
      <c r="R25" s="1566" t="s">
        <v>8</v>
      </c>
      <c r="S25" s="1567">
        <f>F25</f>
        <v>100</v>
      </c>
      <c r="T25" s="1566" t="s">
        <v>8</v>
      </c>
      <c r="U25" s="1567">
        <f>H25</f>
        <v>100</v>
      </c>
      <c r="V25" s="1566" t="s">
        <v>8</v>
      </c>
      <c r="W25" s="1567">
        <f>J25</f>
        <v>100</v>
      </c>
      <c r="X25" s="1568"/>
      <c r="Y25" s="3497"/>
      <c r="Z25" s="1147">
        <f>Q25</f>
        <v>111</v>
      </c>
      <c r="AA25" s="1574">
        <f>D25/F25</f>
        <v>1</v>
      </c>
      <c r="AB25" s="1574">
        <f>D25/H25</f>
        <v>1</v>
      </c>
      <c r="AC25" s="1574">
        <f>D25/J25</f>
        <v>1</v>
      </c>
    </row>
    <row r="26" spans="1:29" ht="15">
      <c r="A26" s="2904"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41"/>
      <c r="M26" s="2133"/>
      <c r="N26" s="2133"/>
      <c r="O26" s="2140"/>
      <c r="P26" s="3498"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99" t="s">
        <v>821</v>
      </c>
      <c r="Z26" s="1573" t="str">
        <f t="shared" ref="Z26:Z34" si="15">Q26</f>
        <v>公共部分装修</v>
      </c>
      <c r="AA26" s="1574">
        <f t="shared" si="3"/>
        <v>1</v>
      </c>
      <c r="AB26" s="1574">
        <f t="shared" si="4"/>
        <v>1</v>
      </c>
      <c r="AC26" s="1574">
        <f t="shared" si="5"/>
        <v>1</v>
      </c>
    </row>
    <row r="27" spans="1:29" s="1336" customFormat="1" ht="15">
      <c r="A27" s="600"/>
      <c r="B27" s="524" t="s">
        <v>809</v>
      </c>
      <c r="C27" s="880"/>
      <c r="D27" s="255">
        <v>100</v>
      </c>
      <c r="E27" s="881"/>
      <c r="F27" s="572" t="e">
        <f>LOOKUP(E27,80:80,81:81)-LOOKUP(C27,80:80,81:81)+100</f>
        <v>#N/A</v>
      </c>
      <c r="G27" s="882"/>
      <c r="H27" s="537" t="e">
        <f>LOOKUP(G27,80:80,81:81)-LOOKUP(C27,80:80,81:81)+100</f>
        <v>#N/A</v>
      </c>
      <c r="I27" s="882"/>
      <c r="J27" s="537" t="e">
        <f>LOOKUP(I27,80:80,81:81)-LOOKUP(C27,80:80,81:81)+100</f>
        <v>#N/A</v>
      </c>
      <c r="K27" s="581"/>
      <c r="L27" s="2139"/>
      <c r="M27" s="2170"/>
      <c r="N27" s="2170"/>
      <c r="O27" s="2142"/>
      <c r="P27" s="3499"/>
      <c r="Q27" s="1603" t="str">
        <f t="shared" si="11"/>
        <v>成新率</v>
      </c>
      <c r="R27" s="1575" t="s">
        <v>8</v>
      </c>
      <c r="S27" s="1576" t="e">
        <f t="shared" si="12"/>
        <v>#N/A</v>
      </c>
      <c r="T27" s="1575" t="s">
        <v>8</v>
      </c>
      <c r="U27" s="1576" t="e">
        <f t="shared" si="13"/>
        <v>#N/A</v>
      </c>
      <c r="V27" s="1575" t="s">
        <v>8</v>
      </c>
      <c r="W27" s="1576" t="e">
        <f t="shared" si="14"/>
        <v>#N/A</v>
      </c>
      <c r="X27" s="1577"/>
      <c r="Y27" s="3499"/>
      <c r="Z27" s="1578" t="str">
        <f t="shared" si="15"/>
        <v>成新率</v>
      </c>
      <c r="AA27" s="1574" t="e">
        <f t="shared" si="3"/>
        <v>#N/A</v>
      </c>
      <c r="AB27" s="1574" t="e">
        <f t="shared" si="4"/>
        <v>#N/A</v>
      </c>
      <c r="AC27" s="1574"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41"/>
      <c r="M28" s="2133"/>
      <c r="N28" s="2133"/>
      <c r="O28" s="2140"/>
      <c r="P28" s="3499"/>
      <c r="Q28" s="1570" t="str">
        <f t="shared" si="11"/>
        <v>物业等级</v>
      </c>
      <c r="R28" s="1571" t="s">
        <v>8</v>
      </c>
      <c r="S28" s="1572">
        <f t="shared" si="12"/>
        <v>100</v>
      </c>
      <c r="T28" s="1571" t="s">
        <v>8</v>
      </c>
      <c r="U28" s="1572">
        <f t="shared" si="13"/>
        <v>100</v>
      </c>
      <c r="V28" s="1571" t="s">
        <v>8</v>
      </c>
      <c r="W28" s="1572">
        <f t="shared" si="14"/>
        <v>100</v>
      </c>
      <c r="X28" s="1565"/>
      <c r="Y28" s="3499"/>
      <c r="Z28" s="1573" t="str">
        <f t="shared" si="15"/>
        <v>物业等级</v>
      </c>
      <c r="AA28" s="1574">
        <f t="shared" si="3"/>
        <v>1</v>
      </c>
      <c r="AB28" s="1574">
        <f t="shared" si="4"/>
        <v>1</v>
      </c>
      <c r="AC28" s="1574">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41"/>
      <c r="M29" s="2133"/>
      <c r="N29" s="2133"/>
      <c r="O29" s="2140"/>
      <c r="P29" s="3499"/>
      <c r="Q29" s="1570" t="str">
        <f t="shared" si="11"/>
        <v>有无电梯</v>
      </c>
      <c r="R29" s="1571" t="s">
        <v>8</v>
      </c>
      <c r="S29" s="1572">
        <f t="shared" si="12"/>
        <v>100</v>
      </c>
      <c r="T29" s="1571" t="s">
        <v>8</v>
      </c>
      <c r="U29" s="1572">
        <f t="shared" si="13"/>
        <v>100</v>
      </c>
      <c r="V29" s="1571" t="s">
        <v>8</v>
      </c>
      <c r="W29" s="1572">
        <f t="shared" si="14"/>
        <v>100</v>
      </c>
      <c r="X29" s="1565"/>
      <c r="Y29" s="3499"/>
      <c r="Z29" s="1573" t="str">
        <f t="shared" si="15"/>
        <v>有无电梯</v>
      </c>
      <c r="AA29" s="1574">
        <f t="shared" si="3"/>
        <v>1</v>
      </c>
      <c r="AB29" s="1574">
        <f t="shared" si="4"/>
        <v>1</v>
      </c>
      <c r="AC29" s="1574">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41"/>
      <c r="M30" s="2133"/>
      <c r="N30" s="2133"/>
      <c r="O30" s="2140"/>
      <c r="P30" s="3499"/>
      <c r="Q30" s="1570" t="str">
        <f t="shared" si="11"/>
        <v>建筑面积</v>
      </c>
      <c r="R30" s="1571" t="s">
        <v>8</v>
      </c>
      <c r="S30" s="1572" t="e">
        <f t="shared" si="12"/>
        <v>#N/A</v>
      </c>
      <c r="T30" s="1571" t="s">
        <v>8</v>
      </c>
      <c r="U30" s="1572" t="e">
        <f t="shared" si="13"/>
        <v>#N/A</v>
      </c>
      <c r="V30" s="1571" t="s">
        <v>8</v>
      </c>
      <c r="W30" s="1572" t="e">
        <f t="shared" si="14"/>
        <v>#N/A</v>
      </c>
      <c r="X30" s="1565"/>
      <c r="Y30" s="3499"/>
      <c r="Z30" s="1573" t="str">
        <f t="shared" si="15"/>
        <v>建筑面积</v>
      </c>
      <c r="AA30" s="1574" t="e">
        <f t="shared" si="3"/>
        <v>#N/A</v>
      </c>
      <c r="AB30" s="1574" t="e">
        <f t="shared" si="4"/>
        <v>#N/A</v>
      </c>
      <c r="AC30" s="1574" t="e">
        <f t="shared" si="5"/>
        <v>#N/A</v>
      </c>
    </row>
    <row r="31" spans="1:29" s="1217" customFormat="1" ht="15">
      <c r="A31" s="597"/>
      <c r="B31" s="524" t="s">
        <v>824</v>
      </c>
      <c r="C31" s="929"/>
      <c r="D31" s="255">
        <v>100</v>
      </c>
      <c r="E31" s="929"/>
      <c r="F31" s="572">
        <f>SUMIF(89:89,E31,90:90)-SUMIF(89:89,C31,90:90)+100</f>
        <v>100</v>
      </c>
      <c r="G31" s="929"/>
      <c r="H31" s="537">
        <f>SUMIF(89:89,G31,90:90)-SUMIF(89:89,C31,90:90)+100</f>
        <v>100</v>
      </c>
      <c r="I31" s="929"/>
      <c r="J31" s="537">
        <f>SUMIF(89:89,I31,90:90)-SUMIF(89:89,C31,90:90)+100</f>
        <v>100</v>
      </c>
      <c r="K31" s="581"/>
      <c r="L31" s="2134"/>
      <c r="M31" s="2135"/>
      <c r="N31" s="2135"/>
      <c r="O31" s="2136"/>
      <c r="P31" s="3499"/>
      <c r="Q31" s="1148" t="str">
        <f t="shared" si="11"/>
        <v>是否封闭</v>
      </c>
      <c r="R31" s="1566" t="s">
        <v>8</v>
      </c>
      <c r="S31" s="1567">
        <f t="shared" si="12"/>
        <v>100</v>
      </c>
      <c r="T31" s="1566" t="s">
        <v>8</v>
      </c>
      <c r="U31" s="1567">
        <f t="shared" si="13"/>
        <v>100</v>
      </c>
      <c r="V31" s="1566" t="s">
        <v>8</v>
      </c>
      <c r="W31" s="1567">
        <f t="shared" si="14"/>
        <v>100</v>
      </c>
      <c r="X31" s="1568"/>
      <c r="Y31" s="3499"/>
      <c r="Z31" s="1147" t="str">
        <f t="shared" si="15"/>
        <v>是否封闭</v>
      </c>
      <c r="AA31" s="1569">
        <f t="shared" si="3"/>
        <v>1</v>
      </c>
      <c r="AB31" s="1569">
        <f t="shared" si="4"/>
        <v>1</v>
      </c>
      <c r="AC31" s="1569">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41"/>
      <c r="M32" s="2133"/>
      <c r="N32" s="2133"/>
      <c r="O32" s="2140"/>
      <c r="P32" s="3499" t="s">
        <v>550</v>
      </c>
      <c r="Q32" s="1570">
        <f t="shared" si="11"/>
        <v>111</v>
      </c>
      <c r="R32" s="1571" t="s">
        <v>8</v>
      </c>
      <c r="S32" s="1572">
        <f t="shared" si="12"/>
        <v>100</v>
      </c>
      <c r="T32" s="1571" t="s">
        <v>8</v>
      </c>
      <c r="U32" s="1572">
        <f t="shared" si="13"/>
        <v>100</v>
      </c>
      <c r="V32" s="1571" t="s">
        <v>8</v>
      </c>
      <c r="W32" s="1572">
        <f t="shared" si="14"/>
        <v>100</v>
      </c>
      <c r="X32" s="1565"/>
      <c r="Y32" s="3499" t="s">
        <v>550</v>
      </c>
      <c r="Z32" s="1573">
        <f t="shared" si="15"/>
        <v>111</v>
      </c>
      <c r="AA32" s="1574">
        <f t="shared" si="3"/>
        <v>1</v>
      </c>
      <c r="AB32" s="1574">
        <f t="shared" si="4"/>
        <v>1</v>
      </c>
      <c r="AC32" s="1574">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41"/>
      <c r="M33" s="2133"/>
      <c r="N33" s="2133"/>
      <c r="O33" s="2140"/>
      <c r="P33" s="3499"/>
      <c r="Q33" s="1570">
        <f t="shared" si="11"/>
        <v>111</v>
      </c>
      <c r="R33" s="1571" t="s">
        <v>8</v>
      </c>
      <c r="S33" s="1572">
        <f t="shared" si="12"/>
        <v>100</v>
      </c>
      <c r="T33" s="1571" t="s">
        <v>8</v>
      </c>
      <c r="U33" s="1572">
        <f t="shared" si="13"/>
        <v>100</v>
      </c>
      <c r="V33" s="1571" t="s">
        <v>8</v>
      </c>
      <c r="W33" s="1572">
        <f t="shared" si="14"/>
        <v>100</v>
      </c>
      <c r="X33" s="1565"/>
      <c r="Y33" s="3499"/>
      <c r="Z33" s="1573">
        <f t="shared" si="15"/>
        <v>111</v>
      </c>
      <c r="AA33" s="1574">
        <f t="shared" si="3"/>
        <v>1</v>
      </c>
      <c r="AB33" s="1574">
        <f t="shared" si="4"/>
        <v>1</v>
      </c>
      <c r="AC33" s="1574">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41"/>
      <c r="M34" s="2133"/>
      <c r="N34" s="2133"/>
      <c r="O34" s="2140"/>
      <c r="P34" s="3499"/>
      <c r="Q34" s="1570">
        <f t="shared" si="11"/>
        <v>111</v>
      </c>
      <c r="R34" s="1571" t="s">
        <v>8</v>
      </c>
      <c r="S34" s="1572">
        <f t="shared" si="12"/>
        <v>100</v>
      </c>
      <c r="T34" s="1571" t="s">
        <v>8</v>
      </c>
      <c r="U34" s="1572">
        <f t="shared" si="13"/>
        <v>100</v>
      </c>
      <c r="V34" s="1571" t="s">
        <v>8</v>
      </c>
      <c r="W34" s="1572">
        <f t="shared" si="14"/>
        <v>100</v>
      </c>
      <c r="X34" s="1565"/>
      <c r="Y34" s="3499"/>
      <c r="Z34" s="1573">
        <f t="shared" si="15"/>
        <v>111</v>
      </c>
      <c r="AA34" s="1574">
        <f t="shared" si="3"/>
        <v>1</v>
      </c>
      <c r="AB34" s="1574">
        <f t="shared" si="4"/>
        <v>1</v>
      </c>
      <c r="AC34" s="1574">
        <f t="shared" si="5"/>
        <v>1</v>
      </c>
    </row>
    <row r="35" spans="1:29" ht="15">
      <c r="A35" s="604" t="s">
        <v>736</v>
      </c>
      <c r="B35" s="884"/>
      <c r="C35" s="2626" t="s">
        <v>1</v>
      </c>
      <c r="D35" s="2627"/>
      <c r="E35" s="2628"/>
      <c r="F35" s="2629"/>
      <c r="G35" s="2630"/>
      <c r="H35" s="2631"/>
      <c r="I35" s="2628"/>
      <c r="J35" s="2631"/>
      <c r="K35" s="1609"/>
      <c r="L35" s="2143"/>
      <c r="M35" s="2144"/>
      <c r="N35" s="2133"/>
      <c r="O35" s="2144"/>
      <c r="P35" s="3462" t="str">
        <f>A35</f>
        <v>成交单价（元/平方米）</v>
      </c>
      <c r="Q35" s="3462"/>
      <c r="R35" s="3550">
        <f>E35</f>
        <v>0</v>
      </c>
      <c r="S35" s="3550"/>
      <c r="T35" s="3550">
        <f>G35</f>
        <v>0</v>
      </c>
      <c r="U35" s="3550"/>
      <c r="V35" s="3550">
        <f>I35</f>
        <v>0</v>
      </c>
      <c r="W35" s="3550"/>
      <c r="X35" s="1557"/>
      <c r="Y35" s="1579"/>
      <c r="Z35" s="1557"/>
      <c r="AA35" s="1557"/>
      <c r="AB35" s="1557"/>
      <c r="AC35" s="1557"/>
    </row>
    <row r="36" spans="1:29" ht="15.75" thickBot="1">
      <c r="A36" s="612" t="s">
        <v>2763</v>
      </c>
      <c r="B36" s="885"/>
      <c r="C36" s="2632" t="e">
        <f>R37</f>
        <v>#DIV/0!</v>
      </c>
      <c r="D36" s="2633"/>
      <c r="E36" s="2634" t="e">
        <f>R36</f>
        <v>#DIV/0!</v>
      </c>
      <c r="F36" s="2634"/>
      <c r="G36" s="2632" t="e">
        <f>T36</f>
        <v>#DIV/0!</v>
      </c>
      <c r="H36" s="2633"/>
      <c r="I36" s="2634" t="e">
        <f>V36</f>
        <v>#DIV/0!</v>
      </c>
      <c r="J36" s="2633"/>
      <c r="K36" s="1610"/>
      <c r="L36" s="2143"/>
      <c r="M36" s="2144"/>
      <c r="N36" s="2133"/>
      <c r="O36" s="2144"/>
      <c r="P36" s="3462" t="str">
        <f>A36</f>
        <v>比较价格（元/平方米）</v>
      </c>
      <c r="Q36" s="3462"/>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1557"/>
      <c r="Y36" s="1557"/>
      <c r="Z36" s="1557"/>
      <c r="AA36" s="1557"/>
      <c r="AB36" s="1557"/>
      <c r="AC36" s="1557"/>
    </row>
    <row r="37" spans="1:29" ht="15.75" thickBot="1">
      <c r="A37" s="618" t="s">
        <v>2939</v>
      </c>
      <c r="B37" s="619"/>
      <c r="C37" s="2635" t="e">
        <f>R37</f>
        <v>#DIV/0!</v>
      </c>
      <c r="D37" s="2635"/>
      <c r="E37" s="2635"/>
      <c r="F37" s="2635"/>
      <c r="G37" s="2635"/>
      <c r="H37" s="2635"/>
      <c r="I37" s="2635"/>
      <c r="J37" s="2635"/>
      <c r="K37" s="1611"/>
      <c r="L37" s="2143"/>
      <c r="M37" s="2144"/>
      <c r="N37" s="2144"/>
      <c r="O37" s="2144"/>
      <c r="P37" s="3459" t="str">
        <f>A37</f>
        <v>估价对象XX用房的比较价格（楼面单价，元/平方米）</v>
      </c>
      <c r="Q37" s="3460"/>
      <c r="R37" s="3549" t="e">
        <f>IF(F1="售价",ROUND(AVERAGE(R36:V36),0),ROUND(AVERAGE(R36:V36),1))</f>
        <v>#DIV/0!</v>
      </c>
      <c r="S37" s="3549"/>
      <c r="T37" s="3549"/>
      <c r="U37" s="3549"/>
      <c r="V37" s="3549"/>
      <c r="W37" s="3549"/>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2" customFormat="1" ht="13.5" customHeight="1">
      <c r="A42" s="2145"/>
      <c r="B42" s="2145"/>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2"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4" customFormat="1" ht="15">
      <c r="A46" s="642" t="s">
        <v>529</v>
      </c>
      <c r="B46" s="643"/>
      <c r="C46" s="2799" t="str">
        <f>YEAR(C7)&amp;"-"&amp;MONTH(C7)</f>
        <v>2019-7</v>
      </c>
      <c r="D46" s="2801">
        <f>EDATE(C46,-1)</f>
        <v>43617</v>
      </c>
      <c r="E46" s="2801">
        <f t="shared" ref="E46:O46" si="16">EDATE(D46,-1)</f>
        <v>43586</v>
      </c>
      <c r="F46" s="2801">
        <f t="shared" si="16"/>
        <v>43556</v>
      </c>
      <c r="G46" s="2801">
        <f t="shared" si="16"/>
        <v>43525</v>
      </c>
      <c r="H46" s="2801">
        <f t="shared" si="16"/>
        <v>43497</v>
      </c>
      <c r="I46" s="2801">
        <f t="shared" si="16"/>
        <v>43466</v>
      </c>
      <c r="J46" s="2801">
        <f t="shared" si="16"/>
        <v>43435</v>
      </c>
      <c r="K46" s="2801">
        <f t="shared" si="16"/>
        <v>43405</v>
      </c>
      <c r="L46" s="2801">
        <f t="shared" si="16"/>
        <v>43374</v>
      </c>
      <c r="M46" s="2801">
        <f t="shared" si="16"/>
        <v>43344</v>
      </c>
      <c r="N46" s="2801">
        <f t="shared" si="16"/>
        <v>43313</v>
      </c>
      <c r="O46" s="2801">
        <f t="shared" si="16"/>
        <v>43282</v>
      </c>
      <c r="P46" s="2159"/>
      <c r="Q46" s="2160"/>
      <c r="R46" s="2160"/>
      <c r="S46" s="2160"/>
      <c r="T46" s="2160"/>
      <c r="U46" s="2160"/>
      <c r="V46" s="2160"/>
      <c r="W46" s="2160"/>
      <c r="X46" s="2160"/>
      <c r="Y46" s="2160"/>
      <c r="Z46" s="2160"/>
      <c r="AA46" s="2160"/>
      <c r="AB46" s="2160"/>
      <c r="AC46" s="2160"/>
    </row>
    <row r="47" spans="1:29" s="1217" customFormat="1" ht="15">
      <c r="A47" s="644"/>
      <c r="B47" s="645"/>
      <c r="C47" s="646">
        <v>100</v>
      </c>
      <c r="D47" s="647"/>
      <c r="E47" s="647"/>
      <c r="F47" s="647"/>
      <c r="G47" s="647"/>
      <c r="H47" s="647"/>
      <c r="I47" s="647"/>
      <c r="J47" s="647"/>
      <c r="K47" s="647"/>
      <c r="L47" s="647"/>
      <c r="M47" s="648"/>
      <c r="N47" s="647"/>
      <c r="O47" s="649"/>
      <c r="P47" s="2157"/>
      <c r="Q47" s="1992"/>
      <c r="R47" s="1992"/>
      <c r="S47" s="1992"/>
      <c r="T47" s="1992"/>
      <c r="U47" s="1992"/>
      <c r="V47" s="1992"/>
      <c r="W47" s="1992"/>
      <c r="X47" s="1992"/>
      <c r="Y47" s="1992"/>
      <c r="Z47" s="1992"/>
      <c r="AA47" s="1992"/>
      <c r="AB47" s="1992"/>
      <c r="AC47" s="1992"/>
    </row>
    <row r="48" spans="1:29" s="1217" customFormat="1" ht="15.75" thickBot="1">
      <c r="A48" s="650" t="s">
        <v>575</v>
      </c>
      <c r="B48" s="651"/>
      <c r="C48" s="652"/>
      <c r="D48" s="653"/>
      <c r="E48" s="653"/>
      <c r="F48" s="653"/>
      <c r="G48" s="653"/>
      <c r="H48" s="653"/>
      <c r="I48" s="653"/>
      <c r="J48" s="653"/>
      <c r="K48" s="653"/>
      <c r="L48" s="653"/>
      <c r="M48" s="654"/>
      <c r="N48" s="653"/>
      <c r="O48" s="655"/>
      <c r="P48" s="2157"/>
      <c r="Q48" s="2157"/>
      <c r="R48" s="1992"/>
      <c r="S48" s="1992"/>
      <c r="T48" s="1992"/>
      <c r="U48" s="1992"/>
      <c r="V48" s="1992"/>
      <c r="W48" s="1992"/>
      <c r="X48" s="1992"/>
      <c r="Y48" s="1992"/>
      <c r="Z48" s="1992"/>
      <c r="AA48" s="1992"/>
      <c r="AB48" s="1992"/>
      <c r="AC48" s="1992"/>
    </row>
    <row r="49" spans="1:29" s="1217" customFormat="1" ht="15">
      <c r="A49" s="656" t="s">
        <v>531</v>
      </c>
      <c r="B49" s="645"/>
      <c r="C49" s="657" t="s">
        <v>576</v>
      </c>
      <c r="D49" s="658"/>
      <c r="E49" s="658"/>
      <c r="F49" s="658"/>
      <c r="G49" s="658"/>
      <c r="H49" s="658"/>
      <c r="I49" s="658"/>
      <c r="J49" s="658"/>
      <c r="K49" s="658"/>
      <c r="L49" s="659"/>
      <c r="M49" s="660"/>
      <c r="N49" s="2161"/>
      <c r="O49" s="2161"/>
      <c r="P49" s="2162"/>
      <c r="Q49" s="2157"/>
      <c r="R49" s="1992"/>
      <c r="S49" s="1992"/>
      <c r="T49" s="1992"/>
      <c r="U49" s="1992"/>
      <c r="V49" s="1992"/>
      <c r="W49" s="1992"/>
      <c r="X49" s="1992"/>
      <c r="Y49" s="1992"/>
      <c r="Z49" s="1992"/>
      <c r="AA49" s="1992"/>
      <c r="AB49" s="1992"/>
      <c r="AC49" s="1992"/>
    </row>
    <row r="50" spans="1:29" s="1217" customFormat="1" ht="15.75" thickBot="1">
      <c r="A50" s="656"/>
      <c r="B50" s="645"/>
      <c r="C50" s="646">
        <v>100</v>
      </c>
      <c r="D50" s="647"/>
      <c r="E50" s="647"/>
      <c r="F50" s="647"/>
      <c r="G50" s="647"/>
      <c r="H50" s="647"/>
      <c r="I50" s="647"/>
      <c r="J50" s="647"/>
      <c r="K50" s="647"/>
      <c r="L50" s="647"/>
      <c r="M50" s="649"/>
      <c r="N50" s="2161"/>
      <c r="O50" s="2161"/>
      <c r="P50" s="2157"/>
      <c r="Q50" s="2157"/>
      <c r="R50" s="1992"/>
      <c r="S50" s="1992"/>
      <c r="T50" s="1992"/>
      <c r="U50" s="1992"/>
      <c r="V50" s="1992"/>
      <c r="W50" s="1992"/>
      <c r="X50" s="1992"/>
      <c r="Y50" s="1992"/>
      <c r="Z50" s="1992"/>
      <c r="AA50" s="1992"/>
      <c r="AB50" s="1992"/>
      <c r="AC50" s="1992"/>
    </row>
    <row r="51" spans="1:29">
      <c r="A51" s="661" t="s">
        <v>577</v>
      </c>
      <c r="B51" s="662" t="s">
        <v>534</v>
      </c>
      <c r="C51" s="701">
        <f>C9</f>
        <v>0</v>
      </c>
      <c r="D51" s="595"/>
      <c r="E51" s="595"/>
      <c r="F51" s="595"/>
      <c r="G51" s="595"/>
      <c r="H51" s="595"/>
      <c r="I51" s="595"/>
      <c r="J51" s="595"/>
      <c r="K51" s="663"/>
      <c r="L51" s="664"/>
      <c r="M51" s="665"/>
      <c r="N51" s="2163"/>
      <c r="O51" s="2163"/>
      <c r="P51" s="2164"/>
      <c r="Q51" s="2157"/>
      <c r="R51" s="2144"/>
      <c r="S51" s="2144"/>
      <c r="T51" s="2144"/>
      <c r="U51" s="2144"/>
      <c r="V51" s="2144"/>
      <c r="W51" s="2144"/>
      <c r="X51" s="2144"/>
      <c r="Y51" s="2144"/>
      <c r="Z51" s="2144"/>
      <c r="AA51" s="2144"/>
      <c r="AB51" s="2144"/>
      <c r="AC51" s="2144"/>
    </row>
    <row r="52" spans="1:29" ht="15.75" thickBot="1">
      <c r="A52" s="666"/>
      <c r="B52" s="667"/>
      <c r="C52" s="668">
        <v>100</v>
      </c>
      <c r="D52" s="668"/>
      <c r="E52" s="668"/>
      <c r="F52" s="668"/>
      <c r="G52" s="668"/>
      <c r="H52" s="668"/>
      <c r="I52" s="668"/>
      <c r="J52" s="668"/>
      <c r="K52" s="668"/>
      <c r="L52" s="668"/>
      <c r="M52" s="669"/>
      <c r="N52" s="2165"/>
      <c r="O52" s="2165"/>
      <c r="P52" s="2164"/>
      <c r="Q52" s="2157"/>
      <c r="R52" s="2144"/>
      <c r="S52" s="2144"/>
      <c r="T52" s="2144"/>
      <c r="U52" s="2144"/>
      <c r="V52" s="2144"/>
      <c r="W52" s="2144"/>
      <c r="X52" s="2144"/>
      <c r="Y52" s="2144"/>
      <c r="Z52" s="2144"/>
      <c r="AA52" s="2144"/>
      <c r="AB52" s="2144"/>
      <c r="AC52" s="2144"/>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3"/>
      <c r="O53" s="2163"/>
      <c r="P53" s="2164"/>
      <c r="Q53" s="2157"/>
      <c r="R53" s="2144"/>
      <c r="S53" s="2144"/>
      <c r="T53" s="2144"/>
      <c r="U53" s="2144"/>
      <c r="V53" s="2144"/>
      <c r="W53" s="2144"/>
      <c r="X53" s="2144"/>
      <c r="Y53" s="2144"/>
      <c r="Z53" s="2144"/>
      <c r="AA53" s="2144"/>
      <c r="AB53" s="2144"/>
      <c r="AC53" s="2144"/>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5"/>
      <c r="O54" s="2165"/>
      <c r="P54" s="2164"/>
      <c r="Q54" s="2157"/>
      <c r="R54" s="2144"/>
      <c r="S54" s="2144"/>
      <c r="T54" s="2144"/>
      <c r="U54" s="2144"/>
      <c r="V54" s="2144"/>
      <c r="W54" s="2144"/>
      <c r="X54" s="2144"/>
      <c r="Y54" s="2144"/>
      <c r="Z54" s="2144"/>
      <c r="AA54" s="2144"/>
      <c r="AB54" s="2144"/>
      <c r="AC54" s="2144"/>
    </row>
    <row r="55" spans="1:29" ht="15.75" thickTop="1">
      <c r="A55" s="666"/>
      <c r="B55" s="932">
        <f>B11</f>
        <v>111</v>
      </c>
      <c r="C55" s="538"/>
      <c r="D55" s="538"/>
      <c r="E55" s="538"/>
      <c r="F55" s="538"/>
      <c r="G55" s="538"/>
      <c r="H55" s="538"/>
      <c r="I55" s="538"/>
      <c r="J55" s="538"/>
      <c r="K55" s="681"/>
      <c r="L55" s="682"/>
      <c r="M55" s="683"/>
      <c r="N55" s="2163"/>
      <c r="O55" s="2163"/>
      <c r="P55" s="2164"/>
      <c r="Q55" s="2157"/>
      <c r="R55" s="2144"/>
      <c r="S55" s="2144"/>
      <c r="T55" s="2144"/>
      <c r="U55" s="2144"/>
      <c r="V55" s="2144"/>
      <c r="W55" s="2144"/>
      <c r="X55" s="2144"/>
      <c r="Y55" s="2144"/>
      <c r="Z55" s="2144"/>
      <c r="AA55" s="2144"/>
      <c r="AB55" s="2144"/>
      <c r="AC55" s="2144"/>
    </row>
    <row r="56" spans="1:29" ht="15.75" thickBot="1">
      <c r="A56" s="666"/>
      <c r="B56" s="667"/>
      <c r="C56" s="689"/>
      <c r="D56" s="668"/>
      <c r="E56" s="668"/>
      <c r="F56" s="668"/>
      <c r="G56" s="668"/>
      <c r="H56" s="668"/>
      <c r="I56" s="668"/>
      <c r="J56" s="668"/>
      <c r="K56" s="668"/>
      <c r="L56" s="668"/>
      <c r="M56" s="669"/>
      <c r="N56" s="2165"/>
      <c r="O56" s="2165"/>
      <c r="P56" s="2164"/>
      <c r="Q56" s="2157"/>
      <c r="R56" s="2144"/>
      <c r="S56" s="2144"/>
      <c r="T56" s="2144"/>
      <c r="U56" s="2144"/>
      <c r="V56" s="2144"/>
      <c r="W56" s="2144"/>
      <c r="X56" s="2144"/>
      <c r="Y56" s="2144"/>
      <c r="Z56" s="2144"/>
      <c r="AA56" s="2144"/>
      <c r="AB56" s="2144"/>
      <c r="AC56" s="2144"/>
    </row>
    <row r="57" spans="1:29" s="1336" customFormat="1" ht="15.75" thickTop="1">
      <c r="A57" s="684"/>
      <c r="B57" s="670">
        <f>B12</f>
        <v>111</v>
      </c>
      <c r="C57" s="538"/>
      <c r="D57" s="538"/>
      <c r="E57" s="538"/>
      <c r="F57" s="538"/>
      <c r="G57" s="685"/>
      <c r="H57" s="686"/>
      <c r="I57" s="686"/>
      <c r="J57" s="686"/>
      <c r="K57" s="686"/>
      <c r="L57" s="687"/>
      <c r="M57" s="688"/>
      <c r="N57" s="2166"/>
      <c r="O57" s="2166"/>
      <c r="P57" s="2167"/>
      <c r="Q57" s="2168"/>
      <c r="R57" s="2169"/>
      <c r="S57" s="2169"/>
      <c r="T57" s="2169"/>
      <c r="U57" s="2169"/>
      <c r="V57" s="2169"/>
      <c r="W57" s="2169"/>
      <c r="X57" s="2169"/>
      <c r="Y57" s="2169"/>
      <c r="Z57" s="2169"/>
      <c r="AA57" s="2169"/>
      <c r="AB57" s="2169"/>
      <c r="AC57" s="2169"/>
    </row>
    <row r="58" spans="1:29" s="1336" customFormat="1" ht="15.75" thickBot="1">
      <c r="A58" s="684"/>
      <c r="B58" s="675"/>
      <c r="C58" s="689"/>
      <c r="D58" s="668"/>
      <c r="E58" s="668"/>
      <c r="F58" s="668"/>
      <c r="G58" s="668"/>
      <c r="H58" s="668"/>
      <c r="I58" s="668"/>
      <c r="J58" s="668"/>
      <c r="K58" s="668"/>
      <c r="L58" s="668"/>
      <c r="M58" s="669"/>
      <c r="N58" s="2165"/>
      <c r="O58" s="2165"/>
      <c r="P58" s="2167"/>
      <c r="Q58" s="2168"/>
      <c r="R58" s="2169"/>
      <c r="S58" s="2169"/>
      <c r="T58" s="2169"/>
      <c r="U58" s="2169"/>
      <c r="V58" s="2169"/>
      <c r="W58" s="2169"/>
      <c r="X58" s="2169"/>
      <c r="Y58" s="2169"/>
      <c r="Z58" s="2169"/>
      <c r="AA58" s="2169"/>
      <c r="AB58" s="2169"/>
      <c r="AC58" s="2169"/>
    </row>
    <row r="59" spans="1:29" s="1336" customFormat="1" ht="15.75" thickTop="1">
      <c r="A59" s="684"/>
      <c r="B59" s="670">
        <f>B13</f>
        <v>111</v>
      </c>
      <c r="C59" s="538"/>
      <c r="D59" s="538"/>
      <c r="E59" s="538"/>
      <c r="F59" s="538"/>
      <c r="G59" s="685"/>
      <c r="H59" s="686"/>
      <c r="I59" s="686"/>
      <c r="J59" s="686"/>
      <c r="K59" s="686"/>
      <c r="L59" s="687"/>
      <c r="M59" s="688"/>
      <c r="N59" s="2166"/>
      <c r="O59" s="2166"/>
      <c r="P59" s="2170"/>
      <c r="Q59" s="2171"/>
      <c r="R59" s="2169"/>
      <c r="S59" s="2169"/>
      <c r="T59" s="2169"/>
      <c r="U59" s="2169"/>
      <c r="V59" s="2169"/>
      <c r="W59" s="2169"/>
      <c r="X59" s="2169"/>
      <c r="Y59" s="2169"/>
      <c r="Z59" s="2169"/>
      <c r="AA59" s="2169"/>
      <c r="AB59" s="2169"/>
      <c r="AC59" s="2169"/>
    </row>
    <row r="60" spans="1:29" s="1336" customFormat="1" ht="15.75" thickBot="1">
      <c r="A60" s="684"/>
      <c r="B60" s="675"/>
      <c r="C60" s="689"/>
      <c r="D60" s="689"/>
      <c r="E60" s="689"/>
      <c r="F60" s="689"/>
      <c r="G60" s="689"/>
      <c r="H60" s="690"/>
      <c r="I60" s="690"/>
      <c r="J60" s="690"/>
      <c r="K60" s="690"/>
      <c r="L60" s="690"/>
      <c r="M60" s="691"/>
      <c r="N60" s="2166"/>
      <c r="O60" s="2166"/>
      <c r="P60" s="2167"/>
      <c r="Q60" s="2168"/>
      <c r="R60" s="2169"/>
      <c r="S60" s="2169"/>
      <c r="T60" s="2169"/>
      <c r="U60" s="2169"/>
      <c r="V60" s="2169"/>
      <c r="W60" s="2169"/>
      <c r="X60" s="2169"/>
      <c r="Y60" s="2169"/>
      <c r="Z60" s="2169"/>
      <c r="AA60" s="2169"/>
      <c r="AB60" s="2169"/>
      <c r="AC60" s="2169"/>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3"/>
      <c r="O61" s="2163"/>
      <c r="P61" s="2173"/>
      <c r="Q61" s="2157"/>
      <c r="R61" s="2144"/>
      <c r="S61" s="2144"/>
      <c r="T61" s="2144"/>
      <c r="U61" s="2144"/>
      <c r="V61" s="2144"/>
      <c r="W61" s="2144"/>
      <c r="X61" s="2144"/>
      <c r="Y61" s="2144"/>
      <c r="Z61" s="2144"/>
      <c r="AA61" s="2144"/>
      <c r="AB61" s="2144"/>
      <c r="AC61" s="2144"/>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5"/>
      <c r="O62" s="2165"/>
      <c r="P62" s="2164"/>
      <c r="Q62" s="2157"/>
      <c r="R62" s="2144"/>
      <c r="S62" s="2144"/>
      <c r="T62" s="2144"/>
      <c r="U62" s="2144"/>
      <c r="V62" s="2144"/>
      <c r="W62" s="2144"/>
      <c r="X62" s="2144"/>
      <c r="Y62" s="2144"/>
      <c r="Z62" s="2144"/>
      <c r="AA62" s="2144"/>
      <c r="AB62" s="2144"/>
      <c r="AC62" s="2144"/>
    </row>
    <row r="63" spans="1:29" ht="15.75" thickTop="1">
      <c r="A63" s="666"/>
      <c r="B63" s="1895" t="s">
        <v>2560</v>
      </c>
      <c r="C63" s="705" t="s">
        <v>579</v>
      </c>
      <c r="D63" s="705" t="s">
        <v>580</v>
      </c>
      <c r="E63" s="705" t="s">
        <v>581</v>
      </c>
      <c r="F63" s="705" t="s">
        <v>582</v>
      </c>
      <c r="G63" s="705" t="s">
        <v>583</v>
      </c>
      <c r="H63" s="671"/>
      <c r="I63" s="671"/>
      <c r="J63" s="671"/>
      <c r="K63" s="672"/>
      <c r="L63" s="673"/>
      <c r="M63" s="674"/>
      <c r="N63" s="2163"/>
      <c r="O63" s="2163"/>
      <c r="P63" s="2164"/>
      <c r="Q63" s="2157"/>
      <c r="R63" s="2144"/>
      <c r="S63" s="2144"/>
      <c r="T63" s="2144"/>
      <c r="U63" s="2144"/>
      <c r="V63" s="2144"/>
      <c r="W63" s="2144"/>
      <c r="X63" s="2144"/>
      <c r="Y63" s="2144"/>
      <c r="Z63" s="2144"/>
      <c r="AA63" s="2144"/>
      <c r="AB63" s="2144"/>
      <c r="AC63" s="2144"/>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5"/>
      <c r="O64" s="2165"/>
      <c r="P64" s="2164"/>
      <c r="Q64" s="2157"/>
      <c r="R64" s="2144"/>
      <c r="S64" s="2144"/>
      <c r="T64" s="2144"/>
      <c r="U64" s="2144"/>
      <c r="V64" s="2144"/>
      <c r="W64" s="2144"/>
      <c r="X64" s="2144"/>
      <c r="Y64" s="2144"/>
      <c r="Z64" s="2144"/>
      <c r="AA64" s="2144"/>
      <c r="AB64" s="2144"/>
      <c r="AC64" s="2144"/>
    </row>
    <row r="65" spans="1:29" ht="15.75" thickTop="1">
      <c r="A65" s="666"/>
      <c r="B65" s="2596" t="s">
        <v>2561</v>
      </c>
      <c r="C65" s="2597" t="s">
        <v>2562</v>
      </c>
      <c r="D65" s="2597" t="s">
        <v>2563</v>
      </c>
      <c r="E65" s="2597" t="s">
        <v>2564</v>
      </c>
      <c r="F65" s="2597" t="s">
        <v>2565</v>
      </c>
      <c r="G65" s="2597" t="s">
        <v>2566</v>
      </c>
      <c r="H65" s="671"/>
      <c r="I65" s="671"/>
      <c r="J65" s="671"/>
      <c r="K65" s="671"/>
      <c r="L65" s="671"/>
      <c r="M65" s="2600"/>
      <c r="N65" s="2165"/>
      <c r="O65" s="2165"/>
      <c r="P65" s="2164"/>
      <c r="Q65" s="2157"/>
      <c r="R65" s="2144"/>
      <c r="S65" s="2144"/>
      <c r="T65" s="2144"/>
      <c r="U65" s="2144"/>
      <c r="V65" s="2144"/>
      <c r="W65" s="2144"/>
      <c r="X65" s="2144"/>
      <c r="Y65" s="2144"/>
      <c r="Z65" s="2144"/>
      <c r="AA65" s="2144"/>
      <c r="AB65" s="2144"/>
      <c r="AC65" s="2144"/>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5"/>
      <c r="O66" s="2165"/>
      <c r="P66" s="2164"/>
      <c r="Q66" s="2157"/>
      <c r="R66" s="2144"/>
      <c r="S66" s="2144"/>
      <c r="T66" s="2144"/>
      <c r="U66" s="2144"/>
      <c r="V66" s="2144"/>
      <c r="W66" s="2144"/>
      <c r="X66" s="2144"/>
      <c r="Y66" s="2144"/>
      <c r="Z66" s="2144"/>
      <c r="AA66" s="2144"/>
      <c r="AB66" s="2144"/>
      <c r="AC66" s="2144"/>
    </row>
    <row r="67" spans="1:29" ht="15.75" thickTop="1">
      <c r="A67" s="666"/>
      <c r="B67" s="670" t="s">
        <v>744</v>
      </c>
      <c r="C67" s="705" t="s">
        <v>579</v>
      </c>
      <c r="D67" s="705" t="s">
        <v>580</v>
      </c>
      <c r="E67" s="705" t="s">
        <v>581</v>
      </c>
      <c r="F67" s="705" t="s">
        <v>582</v>
      </c>
      <c r="G67" s="705" t="s">
        <v>583</v>
      </c>
      <c r="H67" s="671"/>
      <c r="I67" s="671"/>
      <c r="J67" s="671"/>
      <c r="K67" s="672"/>
      <c r="L67" s="673"/>
      <c r="M67" s="674"/>
      <c r="N67" s="2163"/>
      <c r="O67" s="2163"/>
      <c r="P67" s="2164"/>
      <c r="Q67" s="2157"/>
      <c r="R67" s="2144"/>
      <c r="S67" s="2144"/>
      <c r="T67" s="2144"/>
      <c r="U67" s="2144"/>
      <c r="V67" s="2144"/>
      <c r="W67" s="2144"/>
      <c r="X67" s="2144"/>
      <c r="Y67" s="2144"/>
      <c r="Z67" s="2144"/>
      <c r="AA67" s="2144"/>
      <c r="AB67" s="2144"/>
      <c r="AC67" s="2144"/>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5"/>
      <c r="O68" s="2165"/>
      <c r="P68" s="2164"/>
      <c r="Q68" s="2157"/>
      <c r="R68" s="2144"/>
      <c r="S68" s="2144"/>
      <c r="T68" s="2144"/>
      <c r="U68" s="2144"/>
      <c r="V68" s="2144"/>
      <c r="W68" s="2144"/>
      <c r="X68" s="2144"/>
      <c r="Y68" s="2144"/>
      <c r="Z68" s="2144"/>
      <c r="AA68" s="2144"/>
      <c r="AB68" s="2144"/>
      <c r="AC68" s="2144"/>
    </row>
    <row r="69" spans="1:29" ht="15.75" thickTop="1">
      <c r="A69" s="666"/>
      <c r="B69" s="670" t="s">
        <v>745</v>
      </c>
      <c r="C69" s="685"/>
      <c r="D69" s="685"/>
      <c r="E69" s="685"/>
      <c r="F69" s="685"/>
      <c r="G69" s="685"/>
      <c r="H69" s="715"/>
      <c r="I69" s="715"/>
      <c r="J69" s="715"/>
      <c r="K69" s="716"/>
      <c r="L69" s="717"/>
      <c r="M69" s="718"/>
      <c r="N69" s="2163"/>
      <c r="O69" s="2163"/>
      <c r="P69" s="2164"/>
      <c r="Q69" s="2157"/>
      <c r="R69" s="2144"/>
      <c r="S69" s="2144"/>
      <c r="T69" s="2144"/>
      <c r="U69" s="2144"/>
      <c r="V69" s="2144"/>
      <c r="W69" s="2144"/>
      <c r="X69" s="2144"/>
      <c r="Y69" s="2144"/>
      <c r="Z69" s="2144"/>
      <c r="AA69" s="2144"/>
      <c r="AB69" s="2144"/>
      <c r="AC69" s="2144"/>
    </row>
    <row r="70" spans="1:29" ht="15.75" thickBot="1">
      <c r="A70" s="666"/>
      <c r="B70" s="675"/>
      <c r="C70" s="676">
        <v>100</v>
      </c>
      <c r="D70" s="676">
        <f>C70-$K22</f>
        <v>100</v>
      </c>
      <c r="E70" s="676"/>
      <c r="F70" s="676"/>
      <c r="G70" s="676"/>
      <c r="H70" s="676"/>
      <c r="I70" s="676"/>
      <c r="J70" s="676"/>
      <c r="K70" s="676"/>
      <c r="L70" s="676"/>
      <c r="M70" s="677"/>
      <c r="N70" s="2165"/>
      <c r="O70" s="2165"/>
      <c r="P70" s="2164"/>
      <c r="Q70" s="2157"/>
      <c r="R70" s="2144"/>
      <c r="S70" s="2144"/>
      <c r="T70" s="2144"/>
      <c r="U70" s="2144"/>
      <c r="V70" s="2144"/>
      <c r="W70" s="2144"/>
      <c r="X70" s="2144"/>
      <c r="Y70" s="2144"/>
      <c r="Z70" s="2144"/>
      <c r="AA70" s="2144"/>
      <c r="AB70" s="2144"/>
      <c r="AC70" s="2144"/>
    </row>
    <row r="71" spans="1:29" s="1217" customFormat="1" ht="15.75" thickTop="1">
      <c r="A71" s="706"/>
      <c r="B71" s="670">
        <f>B23</f>
        <v>111</v>
      </c>
      <c r="C71" s="538"/>
      <c r="D71" s="538"/>
      <c r="E71" s="538"/>
      <c r="F71" s="538"/>
      <c r="G71" s="685"/>
      <c r="H71" s="685"/>
      <c r="I71" s="685"/>
      <c r="J71" s="685"/>
      <c r="K71" s="685"/>
      <c r="L71" s="887"/>
      <c r="M71" s="888"/>
      <c r="N71" s="2161"/>
      <c r="O71" s="2161"/>
      <c r="P71" s="2164"/>
      <c r="Q71" s="2157"/>
      <c r="R71" s="1992"/>
      <c r="S71" s="1992"/>
      <c r="T71" s="1992"/>
      <c r="U71" s="1992"/>
      <c r="V71" s="1992"/>
      <c r="W71" s="1992"/>
      <c r="X71" s="1992"/>
      <c r="Y71" s="1992"/>
      <c r="Z71" s="1992"/>
      <c r="AA71" s="1992"/>
      <c r="AB71" s="1992"/>
      <c r="AC71" s="1992"/>
    </row>
    <row r="72" spans="1:29" s="1217" customFormat="1" ht="15.75" thickBot="1">
      <c r="A72" s="706"/>
      <c r="B72" s="675"/>
      <c r="C72" s="689"/>
      <c r="D72" s="668"/>
      <c r="E72" s="668"/>
      <c r="F72" s="668"/>
      <c r="G72" s="668"/>
      <c r="H72" s="668"/>
      <c r="I72" s="668"/>
      <c r="J72" s="668"/>
      <c r="K72" s="668"/>
      <c r="L72" s="668"/>
      <c r="M72" s="669"/>
      <c r="N72" s="2165"/>
      <c r="O72" s="2165"/>
      <c r="P72" s="2164"/>
      <c r="Q72" s="2157"/>
      <c r="R72" s="1992"/>
      <c r="S72" s="1992"/>
      <c r="T72" s="1992"/>
      <c r="U72" s="1992"/>
      <c r="V72" s="1992"/>
      <c r="W72" s="1992"/>
      <c r="X72" s="1992"/>
      <c r="Y72" s="1992"/>
      <c r="Z72" s="1992"/>
      <c r="AA72" s="1992"/>
      <c r="AB72" s="1992"/>
      <c r="AC72" s="1992"/>
    </row>
    <row r="73" spans="1:29" s="1217" customFormat="1" ht="15.75" thickTop="1">
      <c r="A73" s="706"/>
      <c r="B73" s="670">
        <f>B24</f>
        <v>111</v>
      </c>
      <c r="C73" s="538"/>
      <c r="D73" s="538"/>
      <c r="E73" s="538"/>
      <c r="F73" s="538"/>
      <c r="G73" s="685"/>
      <c r="H73" s="685"/>
      <c r="I73" s="685"/>
      <c r="J73" s="685"/>
      <c r="K73" s="685"/>
      <c r="L73" s="685"/>
      <c r="M73" s="888"/>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6"/>
      <c r="B74" s="675"/>
      <c r="C74" s="689"/>
      <c r="D74" s="668"/>
      <c r="E74" s="668"/>
      <c r="F74" s="668"/>
      <c r="G74" s="668"/>
      <c r="H74" s="668"/>
      <c r="I74" s="668"/>
      <c r="J74" s="668"/>
      <c r="K74" s="668"/>
      <c r="L74" s="668"/>
      <c r="M74" s="669"/>
      <c r="N74" s="2165"/>
      <c r="O74" s="2165"/>
      <c r="P74" s="2164"/>
      <c r="Q74" s="2157"/>
      <c r="R74" s="1992"/>
      <c r="S74" s="1992"/>
      <c r="T74" s="1992"/>
      <c r="U74" s="1992"/>
      <c r="V74" s="1992"/>
      <c r="W74" s="1992"/>
      <c r="X74" s="1992"/>
      <c r="Y74" s="1992"/>
      <c r="Z74" s="1992"/>
      <c r="AA74" s="1992"/>
      <c r="AB74" s="1992"/>
      <c r="AC74" s="1992"/>
    </row>
    <row r="75" spans="1:29" s="1336" customFormat="1" ht="15.75" thickTop="1">
      <c r="A75" s="684"/>
      <c r="B75" s="670">
        <f>B25</f>
        <v>111</v>
      </c>
      <c r="C75" s="538"/>
      <c r="D75" s="538"/>
      <c r="E75" s="538"/>
      <c r="F75" s="538"/>
      <c r="G75" s="685"/>
      <c r="H75" s="686"/>
      <c r="I75" s="686"/>
      <c r="J75" s="686"/>
      <c r="K75" s="686"/>
      <c r="L75" s="687"/>
      <c r="M75" s="688"/>
      <c r="N75" s="2166"/>
      <c r="O75" s="2166"/>
      <c r="P75" s="2167"/>
      <c r="Q75" s="2168"/>
      <c r="R75" s="2169"/>
      <c r="S75" s="2169"/>
      <c r="T75" s="2169"/>
      <c r="U75" s="2169"/>
      <c r="V75" s="2169"/>
      <c r="W75" s="2169"/>
      <c r="X75" s="2169"/>
      <c r="Y75" s="2169"/>
      <c r="Z75" s="2169"/>
      <c r="AA75" s="2169"/>
      <c r="AB75" s="2169"/>
      <c r="AC75" s="2169"/>
    </row>
    <row r="76" spans="1:29" s="1336" customFormat="1" ht="15.75" thickBot="1">
      <c r="A76" s="684"/>
      <c r="B76" s="675"/>
      <c r="C76" s="689"/>
      <c r="D76" s="689"/>
      <c r="E76" s="689"/>
      <c r="F76" s="689"/>
      <c r="G76" s="668"/>
      <c r="H76" s="668"/>
      <c r="I76" s="668"/>
      <c r="J76" s="668"/>
      <c r="K76" s="668"/>
      <c r="L76" s="668"/>
      <c r="M76" s="669"/>
      <c r="N76" s="2166"/>
      <c r="O76" s="2166"/>
      <c r="P76" s="2167"/>
      <c r="Q76" s="2168"/>
      <c r="R76" s="2169"/>
      <c r="S76" s="2169"/>
      <c r="T76" s="2169"/>
      <c r="U76" s="2169"/>
      <c r="V76" s="2169"/>
      <c r="W76" s="2169"/>
      <c r="X76" s="2169"/>
      <c r="Y76" s="2169"/>
      <c r="Z76" s="2169"/>
      <c r="AA76" s="2169"/>
      <c r="AB76" s="2169"/>
      <c r="AC76" s="2169"/>
    </row>
    <row r="77" spans="1:29" ht="15" thickTop="1">
      <c r="A77" s="661" t="s">
        <v>551</v>
      </c>
      <c r="B77" s="662" t="s">
        <v>751</v>
      </c>
      <c r="C77" s="685"/>
      <c r="D77" s="685"/>
      <c r="E77" s="595"/>
      <c r="F77" s="595"/>
      <c r="G77" s="595"/>
      <c r="H77" s="595"/>
      <c r="I77" s="595"/>
      <c r="J77" s="595"/>
      <c r="K77" s="663"/>
      <c r="L77" s="664"/>
      <c r="M77" s="665"/>
      <c r="N77" s="2163"/>
      <c r="O77" s="2163"/>
      <c r="P77" s="2164"/>
      <c r="Q77" s="2157"/>
      <c r="R77" s="2144"/>
      <c r="S77" s="2144"/>
      <c r="T77" s="2144"/>
      <c r="U77" s="2144"/>
      <c r="V77" s="2144"/>
      <c r="W77" s="2144"/>
      <c r="X77" s="2144"/>
      <c r="Y77" s="2144"/>
      <c r="Z77" s="2144"/>
      <c r="AA77" s="2144"/>
      <c r="AB77" s="2144"/>
      <c r="AC77" s="2144"/>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1"/>
      <c r="O79" s="2161"/>
      <c r="P79" s="2164"/>
      <c r="Q79" s="2157"/>
      <c r="R79" s="2144"/>
      <c r="S79" s="2144"/>
      <c r="T79" s="2144"/>
      <c r="U79" s="2144"/>
      <c r="V79" s="2144"/>
      <c r="W79" s="2144"/>
      <c r="X79" s="2144"/>
      <c r="Y79" s="2144"/>
      <c r="Z79" s="2144"/>
      <c r="AA79" s="2144"/>
      <c r="AB79" s="2144"/>
      <c r="AC79" s="2144"/>
    </row>
    <row r="80" spans="1:29" ht="15">
      <c r="A80" s="666"/>
      <c r="B80" s="678"/>
      <c r="C80" s="891">
        <v>0.5</v>
      </c>
      <c r="D80" s="891">
        <v>0.6</v>
      </c>
      <c r="E80" s="891">
        <v>0.7</v>
      </c>
      <c r="F80" s="891">
        <v>0.8</v>
      </c>
      <c r="G80" s="891">
        <v>0.9</v>
      </c>
      <c r="H80" s="891">
        <v>1.0001</v>
      </c>
      <c r="I80" s="932"/>
      <c r="J80" s="932"/>
      <c r="K80" s="942"/>
      <c r="L80" s="943"/>
      <c r="M80" s="944"/>
      <c r="N80" s="2161"/>
      <c r="O80" s="2161"/>
      <c r="P80" s="2164"/>
      <c r="Q80" s="2157"/>
      <c r="R80" s="2144"/>
      <c r="S80" s="2144"/>
      <c r="T80" s="2144"/>
      <c r="U80" s="2144"/>
      <c r="V80" s="2144"/>
      <c r="W80" s="2144"/>
      <c r="X80" s="2144"/>
      <c r="Y80" s="2144"/>
      <c r="Z80" s="2144"/>
      <c r="AA80" s="2144"/>
      <c r="AB80" s="2144"/>
      <c r="AC80" s="2144"/>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2"/>
      <c r="B82" s="678" t="s">
        <v>817</v>
      </c>
      <c r="C82" s="685"/>
      <c r="D82" s="685"/>
      <c r="E82" s="715"/>
      <c r="F82" s="715"/>
      <c r="G82" s="715"/>
      <c r="H82" s="715"/>
      <c r="I82" s="715"/>
      <c r="J82" s="715"/>
      <c r="K82" s="716"/>
      <c r="L82" s="717"/>
      <c r="M82" s="718"/>
      <c r="N82" s="2163"/>
      <c r="O82" s="2163"/>
      <c r="P82" s="2164"/>
      <c r="Q82" s="2157"/>
      <c r="R82" s="2144"/>
      <c r="S82" s="2144"/>
      <c r="T82" s="2144"/>
      <c r="U82" s="2144"/>
      <c r="V82" s="2144"/>
      <c r="W82" s="2144"/>
      <c r="X82" s="2144"/>
      <c r="Y82" s="2144"/>
      <c r="Z82" s="2144"/>
      <c r="AA82" s="2144"/>
      <c r="AB82" s="2144"/>
      <c r="AC82" s="2144"/>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2"/>
      <c r="B84" s="670" t="s">
        <v>825</v>
      </c>
      <c r="C84" s="685"/>
      <c r="D84" s="685"/>
      <c r="E84" s="685"/>
      <c r="F84" s="685"/>
      <c r="G84" s="685"/>
      <c r="H84" s="685"/>
      <c r="I84" s="715"/>
      <c r="J84" s="715"/>
      <c r="K84" s="716"/>
      <c r="L84" s="717"/>
      <c r="M84" s="718"/>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3"/>
      <c r="O86" s="2163"/>
      <c r="P86" s="2164"/>
      <c r="Q86" s="2157"/>
      <c r="R86" s="2144"/>
      <c r="S86" s="2144"/>
      <c r="T86" s="2144"/>
      <c r="U86" s="2144"/>
      <c r="V86" s="2144"/>
      <c r="W86" s="2144"/>
      <c r="X86" s="2144"/>
      <c r="Y86" s="2144"/>
      <c r="Z86" s="2144"/>
      <c r="AA86" s="2144"/>
      <c r="AB86" s="2144"/>
      <c r="AC86" s="2144"/>
    </row>
    <row r="87" spans="1:29">
      <c r="A87" s="732"/>
      <c r="B87" s="678"/>
      <c r="C87" s="727"/>
      <c r="D87" s="727"/>
      <c r="E87" s="727"/>
      <c r="F87" s="727"/>
      <c r="G87" s="727"/>
      <c r="H87" s="727"/>
      <c r="I87" s="727"/>
      <c r="J87" s="728"/>
      <c r="K87" s="728"/>
      <c r="L87" s="729"/>
      <c r="M87" s="730"/>
      <c r="N87" s="2163"/>
      <c r="O87" s="2163"/>
      <c r="P87" s="2164"/>
      <c r="Q87" s="2157"/>
      <c r="R87" s="2144"/>
      <c r="S87" s="2144"/>
      <c r="T87" s="2144"/>
      <c r="U87" s="2144"/>
      <c r="V87" s="2144"/>
      <c r="W87" s="2144"/>
      <c r="X87" s="2144"/>
      <c r="Y87" s="2144"/>
      <c r="Z87" s="2144"/>
      <c r="AA87" s="2144"/>
      <c r="AB87" s="2144"/>
      <c r="AC87" s="2144"/>
    </row>
    <row r="88" spans="1:29" ht="15.75" thickBot="1">
      <c r="A88" s="666"/>
      <c r="B88" s="675"/>
      <c r="C88" s="689"/>
      <c r="D88" s="668"/>
      <c r="E88" s="668"/>
      <c r="F88" s="668"/>
      <c r="G88" s="668"/>
      <c r="H88" s="668"/>
      <c r="I88" s="668"/>
      <c r="J88" s="668"/>
      <c r="K88" s="668"/>
      <c r="L88" s="668"/>
      <c r="M88" s="668"/>
      <c r="N88" s="2165"/>
      <c r="O88" s="2165"/>
      <c r="P88" s="2164"/>
      <c r="Q88" s="2157"/>
      <c r="R88" s="2144"/>
      <c r="S88" s="2144"/>
      <c r="T88" s="2144"/>
      <c r="U88" s="2144"/>
      <c r="V88" s="2144"/>
      <c r="W88" s="2144"/>
      <c r="X88" s="2144"/>
      <c r="Y88" s="2144"/>
      <c r="Z88" s="2144"/>
      <c r="AA88" s="2144"/>
      <c r="AB88" s="2144"/>
      <c r="AC88" s="2144"/>
    </row>
    <row r="89" spans="1:29" s="1336" customFormat="1" ht="15" thickTop="1">
      <c r="A89" s="725"/>
      <c r="B89" s="670" t="s">
        <v>827</v>
      </c>
      <c r="C89" s="685"/>
      <c r="D89" s="685"/>
      <c r="E89" s="685"/>
      <c r="F89" s="685"/>
      <c r="G89" s="685"/>
      <c r="H89" s="685"/>
      <c r="I89" s="685"/>
      <c r="J89" s="685"/>
      <c r="K89" s="685"/>
      <c r="L89" s="685"/>
      <c r="M89" s="888"/>
      <c r="N89" s="2166"/>
      <c r="O89" s="2166"/>
      <c r="P89" s="2167"/>
      <c r="Q89" s="2168"/>
      <c r="R89" s="2169"/>
      <c r="S89" s="2169"/>
      <c r="T89" s="2169"/>
      <c r="U89" s="2169"/>
      <c r="V89" s="2169"/>
      <c r="W89" s="2169"/>
      <c r="X89" s="2169"/>
      <c r="Y89" s="2169"/>
      <c r="Z89" s="2169"/>
      <c r="AA89" s="2169"/>
      <c r="AB89" s="2169"/>
      <c r="AC89" s="2169"/>
    </row>
    <row r="90" spans="1:29" s="1336" customFormat="1" ht="15.75" thickBot="1">
      <c r="A90" s="684"/>
      <c r="B90" s="675"/>
      <c r="C90" s="689"/>
      <c r="D90" s="668"/>
      <c r="E90" s="668"/>
      <c r="F90" s="668"/>
      <c r="G90" s="668"/>
      <c r="H90" s="668"/>
      <c r="I90" s="668"/>
      <c r="J90" s="668"/>
      <c r="K90" s="668"/>
      <c r="L90" s="668"/>
      <c r="M90" s="669"/>
      <c r="N90" s="2166"/>
      <c r="O90" s="2166"/>
      <c r="P90" s="2167"/>
      <c r="Q90" s="2168"/>
      <c r="R90" s="2169"/>
      <c r="S90" s="2169"/>
      <c r="T90" s="2169"/>
      <c r="U90" s="2169"/>
      <c r="V90" s="2169"/>
      <c r="W90" s="2169"/>
      <c r="X90" s="2169"/>
      <c r="Y90" s="2169"/>
      <c r="Z90" s="2169"/>
      <c r="AA90" s="2169"/>
      <c r="AB90" s="2169"/>
      <c r="AC90" s="2169"/>
    </row>
    <row r="91" spans="1:29" ht="15" thickTop="1">
      <c r="A91" s="732"/>
      <c r="B91" s="670">
        <f>B32</f>
        <v>111</v>
      </c>
      <c r="C91" s="538"/>
      <c r="D91" s="538"/>
      <c r="E91" s="538"/>
      <c r="F91" s="538"/>
      <c r="G91" s="685"/>
      <c r="H91" s="686"/>
      <c r="I91" s="686"/>
      <c r="J91" s="686"/>
      <c r="K91" s="686"/>
      <c r="L91" s="687"/>
      <c r="M91" s="688"/>
      <c r="N91" s="2163"/>
      <c r="O91" s="2163"/>
      <c r="P91" s="2164"/>
      <c r="Q91" s="2157"/>
      <c r="R91" s="2144"/>
      <c r="S91" s="2144"/>
      <c r="T91" s="2144"/>
      <c r="U91" s="2144"/>
      <c r="V91" s="2144"/>
      <c r="W91" s="2144"/>
      <c r="X91" s="2144"/>
      <c r="Y91" s="2144"/>
      <c r="Z91" s="2144"/>
      <c r="AA91" s="2144"/>
      <c r="AB91" s="2144"/>
      <c r="AC91" s="2144"/>
    </row>
    <row r="92" spans="1:29" ht="15.75" thickBot="1">
      <c r="A92" s="666"/>
      <c r="B92" s="675"/>
      <c r="C92" s="689"/>
      <c r="D92" s="668"/>
      <c r="E92" s="668"/>
      <c r="F92" s="668"/>
      <c r="G92" s="689"/>
      <c r="H92" s="690"/>
      <c r="I92" s="690"/>
      <c r="J92" s="690"/>
      <c r="K92" s="690"/>
      <c r="L92" s="690"/>
      <c r="M92" s="691"/>
      <c r="N92" s="2165"/>
      <c r="O92" s="2165"/>
      <c r="P92" s="2164"/>
      <c r="Q92" s="2157"/>
      <c r="R92" s="2144"/>
      <c r="S92" s="2144"/>
      <c r="T92" s="2144"/>
      <c r="U92" s="2144"/>
      <c r="V92" s="2144"/>
      <c r="W92" s="2144"/>
      <c r="X92" s="2144"/>
      <c r="Y92" s="2144"/>
      <c r="Z92" s="2144"/>
      <c r="AA92" s="2144"/>
      <c r="AB92" s="2144"/>
      <c r="AC92" s="2144"/>
    </row>
    <row r="93" spans="1:29" ht="15" thickTop="1">
      <c r="A93" s="732"/>
      <c r="B93" s="670">
        <f>B33</f>
        <v>111</v>
      </c>
      <c r="C93" s="538"/>
      <c r="D93" s="538"/>
      <c r="E93" s="538"/>
      <c r="F93" s="538"/>
      <c r="G93" s="685"/>
      <c r="H93" s="686"/>
      <c r="I93" s="686"/>
      <c r="J93" s="686"/>
      <c r="K93" s="686"/>
      <c r="L93" s="687"/>
      <c r="M93" s="68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89"/>
      <c r="D94" s="668"/>
      <c r="E94" s="668"/>
      <c r="F94" s="668"/>
      <c r="G94" s="689"/>
      <c r="H94" s="690"/>
      <c r="I94" s="690"/>
      <c r="J94" s="690"/>
      <c r="K94" s="690"/>
      <c r="L94" s="690"/>
      <c r="M94" s="691"/>
      <c r="N94" s="2165"/>
      <c r="O94" s="2165"/>
      <c r="P94" s="2164"/>
      <c r="Q94" s="2157"/>
      <c r="R94" s="2144"/>
      <c r="S94" s="2144"/>
      <c r="T94" s="2144"/>
      <c r="U94" s="2144"/>
      <c r="V94" s="2144"/>
      <c r="W94" s="2144"/>
      <c r="X94" s="2144"/>
      <c r="Y94" s="2144"/>
      <c r="Z94" s="2144"/>
      <c r="AA94" s="2144"/>
      <c r="AB94" s="2144"/>
      <c r="AC94" s="2144"/>
    </row>
    <row r="95" spans="1:29" ht="15" thickTop="1">
      <c r="A95" s="732"/>
      <c r="B95" s="914">
        <f>B34</f>
        <v>111</v>
      </c>
      <c r="C95" s="538"/>
      <c r="D95" s="538"/>
      <c r="E95" s="538"/>
      <c r="F95" s="538"/>
      <c r="G95" s="685"/>
      <c r="H95" s="686"/>
      <c r="I95" s="686"/>
      <c r="J95" s="686"/>
      <c r="K95" s="686"/>
      <c r="L95" s="687"/>
      <c r="M95" s="688"/>
      <c r="N95" s="2165"/>
      <c r="O95" s="2165"/>
      <c r="P95" s="2204"/>
      <c r="Q95" s="2205"/>
      <c r="R95" s="2144"/>
      <c r="S95" s="2144"/>
      <c r="T95" s="2144"/>
      <c r="U95" s="2144"/>
      <c r="V95" s="2144"/>
      <c r="W95" s="2144"/>
      <c r="X95" s="2144"/>
      <c r="Y95" s="2144"/>
      <c r="Z95" s="2144"/>
      <c r="AA95" s="2144"/>
      <c r="AB95" s="2144"/>
      <c r="AC95" s="2144"/>
    </row>
    <row r="96" spans="1:29" ht="15.75" thickBot="1">
      <c r="A96" s="666"/>
      <c r="B96" s="675"/>
      <c r="C96" s="689"/>
      <c r="D96" s="689"/>
      <c r="E96" s="689"/>
      <c r="F96" s="689"/>
      <c r="G96" s="689"/>
      <c r="H96" s="690"/>
      <c r="I96" s="690"/>
      <c r="J96" s="690"/>
      <c r="K96" s="690"/>
      <c r="L96" s="690"/>
      <c r="M96" s="691"/>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4" t="s">
        <v>2041</v>
      </c>
      <c r="B1" s="3264"/>
      <c r="C1" s="3264"/>
      <c r="D1" s="3264"/>
      <c r="E1" s="3264"/>
      <c r="F1" s="3264"/>
      <c r="G1" s="3264"/>
      <c r="H1" s="3264"/>
      <c r="I1" s="3264"/>
      <c r="J1" s="3264"/>
      <c r="K1" s="3264"/>
      <c r="L1" s="3264"/>
      <c r="M1" s="3264"/>
      <c r="N1" s="3264"/>
      <c r="O1" s="3264"/>
      <c r="P1" s="3264"/>
      <c r="Q1" s="3264"/>
      <c r="R1" s="3264"/>
    </row>
    <row r="2" spans="1:18">
      <c r="A2" s="1806" t="s">
        <v>2043</v>
      </c>
      <c r="B2" s="1806"/>
      <c r="C2" s="1806"/>
      <c r="D2" s="1806"/>
      <c r="E2" s="1806"/>
      <c r="F2" s="1806"/>
      <c r="G2" s="1806"/>
      <c r="H2" s="1806"/>
      <c r="I2" s="1807"/>
      <c r="J2" s="1807"/>
      <c r="K2" s="1808" t="str">
        <f>"估价期日："&amp;TEXT(项目基本情况!D3,"yyyy年m月d日;;")</f>
        <v>估价期日：2019年7月4日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65" t="s">
        <v>2032</v>
      </c>
      <c r="B3" s="3265" t="s">
        <v>2734</v>
      </c>
      <c r="C3" s="3266" t="s">
        <v>2033</v>
      </c>
      <c r="D3" s="3265" t="s">
        <v>2738</v>
      </c>
      <c r="E3" s="3268" t="s">
        <v>2034</v>
      </c>
      <c r="F3" s="3268"/>
      <c r="G3" s="3268"/>
      <c r="H3" s="3268" t="s">
        <v>2035</v>
      </c>
      <c r="I3" s="3268"/>
      <c r="J3" s="3268"/>
      <c r="K3" s="3266" t="s">
        <v>2036</v>
      </c>
      <c r="L3" s="3266" t="s">
        <v>2037</v>
      </c>
      <c r="M3" s="3265" t="s">
        <v>2735</v>
      </c>
      <c r="N3" s="3267" t="str">
        <f>"（分摊）"&amp;项目基本情况!B16&amp;"国有建设用地使用权面积/㎡"</f>
        <v>（分摊）出让国有建设用地使用权面积/㎡</v>
      </c>
      <c r="O3" s="3265" t="s">
        <v>2066</v>
      </c>
      <c r="P3" s="3266" t="s">
        <v>2046</v>
      </c>
      <c r="Q3" s="3266" t="s">
        <v>2067</v>
      </c>
      <c r="R3" s="3266" t="s">
        <v>2038</v>
      </c>
    </row>
    <row r="4" spans="1:18" ht="36.75" customHeight="1">
      <c r="A4" s="3265"/>
      <c r="B4" s="3265"/>
      <c r="C4" s="3266"/>
      <c r="D4" s="3265"/>
      <c r="E4" s="2648" t="s">
        <v>2045</v>
      </c>
      <c r="F4" s="2648" t="s">
        <v>2747</v>
      </c>
      <c r="G4" s="2648" t="s">
        <v>2039</v>
      </c>
      <c r="H4" s="2648" t="s">
        <v>2040</v>
      </c>
      <c r="I4" s="2648" t="s">
        <v>2748</v>
      </c>
      <c r="J4" s="2648" t="s">
        <v>2039</v>
      </c>
      <c r="K4" s="3266"/>
      <c r="L4" s="3266"/>
      <c r="M4" s="3265"/>
      <c r="N4" s="3267"/>
      <c r="O4" s="3265"/>
      <c r="P4" s="3266"/>
      <c r="Q4" s="3266"/>
      <c r="R4" s="3266"/>
    </row>
    <row r="5" spans="1:18" ht="135" customHeight="1">
      <c r="A5" s="1942" t="s">
        <v>2658</v>
      </c>
      <c r="B5" s="2864" t="s">
        <v>2656</v>
      </c>
      <c r="C5" s="2647">
        <v>22</v>
      </c>
      <c r="D5" s="2646" t="s">
        <v>2657</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45889.5</v>
      </c>
      <c r="O5" s="1809">
        <f>项目基本情况!C21</f>
        <v>100957</v>
      </c>
      <c r="P5" s="1809">
        <f ca="1">结果表!E42</f>
        <v>44971</v>
      </c>
      <c r="Q5" s="1809">
        <f ca="1">结果表!D42</f>
        <v>20441</v>
      </c>
      <c r="R5" s="1810">
        <f ca="1">结果表!C42</f>
        <v>206371</v>
      </c>
    </row>
    <row r="6" spans="1:18">
      <c r="A6" s="3261" t="str">
        <f>IF(项目基本情况!B9="市场价格","——","抵押价格")</f>
        <v>——</v>
      </c>
      <c r="B6" s="3262"/>
      <c r="C6" s="3262"/>
      <c r="D6" s="3262"/>
      <c r="E6" s="3262"/>
      <c r="F6" s="3262"/>
      <c r="G6" s="3262"/>
      <c r="H6" s="3262"/>
      <c r="I6" s="3262"/>
      <c r="J6" s="3262"/>
      <c r="K6" s="3262"/>
      <c r="L6" s="3262"/>
      <c r="M6" s="3262"/>
      <c r="N6" s="3262"/>
      <c r="O6" s="3262"/>
      <c r="P6" s="3262"/>
      <c r="Q6" s="3263"/>
      <c r="R6" s="1811" t="str">
        <f>结果表!O39</f>
        <v>——</v>
      </c>
    </row>
    <row r="7" spans="1:18">
      <c r="A7" s="3261" t="str">
        <f>IF(项目基本情况!B9="市场价格","——",IF(项目基本情况!E8="已注销及未注销","抵押担保权已注销时的抵押价格","——"))</f>
        <v>——</v>
      </c>
      <c r="B7" s="3262"/>
      <c r="C7" s="3262"/>
      <c r="D7" s="3262"/>
      <c r="E7" s="3262"/>
      <c r="F7" s="3262"/>
      <c r="G7" s="3262"/>
      <c r="H7" s="3262"/>
      <c r="I7" s="3262"/>
      <c r="J7" s="3262"/>
      <c r="K7" s="3262"/>
      <c r="L7" s="3262"/>
      <c r="M7" s="3262"/>
      <c r="N7" s="3262"/>
      <c r="O7" s="3262"/>
      <c r="P7" s="3262"/>
      <c r="Q7" s="3263"/>
      <c r="R7" s="1811" t="str">
        <f>结果表!O40</f>
        <v>——</v>
      </c>
    </row>
    <row r="8" spans="1:18">
      <c r="A8" s="3261" t="str">
        <f>IF(项目基本情况!B9="市场价格","——",项目基本情况!E9)</f>
        <v>——</v>
      </c>
      <c r="B8" s="3262"/>
      <c r="C8" s="3262"/>
      <c r="D8" s="3262"/>
      <c r="E8" s="3262"/>
      <c r="F8" s="3262"/>
      <c r="G8" s="3262"/>
      <c r="H8" s="3262"/>
      <c r="I8" s="3262"/>
      <c r="J8" s="3262"/>
      <c r="K8" s="3262"/>
      <c r="L8" s="3262"/>
      <c r="M8" s="3262"/>
      <c r="N8" s="3262"/>
      <c r="O8" s="3262"/>
      <c r="P8" s="3262"/>
      <c r="Q8" s="3263"/>
      <c r="R8" s="1811" t="str">
        <f>结果表!O41</f>
        <v>——</v>
      </c>
    </row>
    <row r="9" spans="1:18">
      <c r="A9" s="1812" t="s">
        <v>2044</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2031</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7"/>
    <col min="36" max="16384" width="9" style="1247"/>
  </cols>
  <sheetData>
    <row r="1" spans="1:45" s="257" customFormat="1" ht="14.25" customHeight="1" thickBot="1">
      <c r="A1" s="362"/>
      <c r="B1" s="2233" t="s">
        <v>2306</v>
      </c>
      <c r="C1" s="3559" t="s">
        <v>2307</v>
      </c>
      <c r="D1" s="3560"/>
      <c r="E1" s="3560"/>
      <c r="F1" s="3560"/>
      <c r="G1" s="3560"/>
      <c r="H1" s="3560"/>
      <c r="I1" s="3560"/>
      <c r="J1" s="3560"/>
      <c r="K1" s="3560"/>
      <c r="L1" s="3560"/>
      <c r="M1" s="3560"/>
      <c r="N1" s="3560"/>
      <c r="O1" s="3560"/>
      <c r="P1" s="3560"/>
      <c r="Q1" s="3560"/>
      <c r="R1" s="3560"/>
      <c r="S1" s="3561"/>
      <c r="T1" s="2233" t="s">
        <v>2308</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6" t="s">
        <v>2309</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5" t="str">
        <f>S3&amp;"(含)"&amp;"-"</f>
        <v>(含)-</v>
      </c>
      <c r="T2" s="949"/>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0"/>
      <c r="C3" s="951"/>
      <c r="D3" s="952"/>
      <c r="E3" s="952"/>
      <c r="F3" s="952"/>
      <c r="G3" s="952"/>
      <c r="H3" s="952"/>
      <c r="I3" s="952"/>
      <c r="J3" s="953"/>
      <c r="K3" s="953"/>
      <c r="L3" s="954"/>
      <c r="M3" s="2238"/>
      <c r="N3" s="2239"/>
      <c r="O3" s="952"/>
      <c r="P3" s="952"/>
      <c r="Q3" s="952"/>
      <c r="R3" s="952"/>
      <c r="S3" s="2240"/>
      <c r="T3" s="955"/>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2932</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2931</v>
      </c>
      <c r="C7" s="1960"/>
      <c r="D7" s="1961"/>
      <c r="E7" s="1961"/>
      <c r="F7" s="1961"/>
      <c r="G7" s="1961"/>
      <c r="H7" s="1961"/>
      <c r="I7" s="1961"/>
      <c r="J7" s="1961"/>
      <c r="K7" s="1961"/>
      <c r="L7" s="1961"/>
      <c r="M7" s="2258"/>
      <c r="N7" s="2259"/>
      <c r="O7" s="2260"/>
      <c r="P7" s="2261"/>
      <c r="Q7" s="2262"/>
      <c r="R7" s="2263"/>
      <c r="S7" s="2264"/>
      <c r="T7" s="956"/>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2930</v>
      </c>
      <c r="C9" s="1960"/>
      <c r="D9" s="1961"/>
      <c r="E9" s="1961"/>
      <c r="F9" s="1961"/>
      <c r="G9" s="1961"/>
      <c r="H9" s="1961"/>
      <c r="I9" s="1961"/>
      <c r="J9" s="1961"/>
      <c r="K9" s="1961"/>
      <c r="L9" s="1962"/>
      <c r="M9" s="2258"/>
      <c r="N9" s="2259"/>
      <c r="O9" s="2260"/>
      <c r="P9" s="2261"/>
      <c r="Q9" s="2262"/>
      <c r="R9" s="2263"/>
      <c r="S9" s="2264"/>
      <c r="T9" s="956"/>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2945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2929</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2928</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2310</v>
      </c>
      <c r="B17" s="2277" t="s">
        <v>2311</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8"/>
      <c r="B19" s="945"/>
      <c r="C19" s="1989"/>
      <c r="D19" s="1989"/>
      <c r="E19" s="1989"/>
      <c r="F19" s="1989"/>
      <c r="G19" s="1989"/>
      <c r="H19" s="1989"/>
      <c r="I19" s="1989"/>
      <c r="J19" s="1989"/>
      <c r="K19" s="1989"/>
      <c r="L19" s="1989"/>
      <c r="M19" s="1989"/>
      <c r="N19" s="1989"/>
      <c r="O19" s="1989"/>
      <c r="P19" s="1989"/>
      <c r="Q19" s="1989"/>
      <c r="R19" s="2224"/>
      <c r="S19" s="2027"/>
    </row>
    <row r="20" spans="1:45" ht="15.75">
      <c r="A20" s="957" t="s">
        <v>828</v>
      </c>
      <c r="B20" s="772">
        <f>S22</f>
        <v>0</v>
      </c>
      <c r="C20" s="1989"/>
      <c r="D20" s="1989"/>
      <c r="E20" s="1989"/>
      <c r="F20" s="1989"/>
      <c r="G20" s="1989"/>
      <c r="H20" s="1989"/>
      <c r="I20" s="1989"/>
      <c r="J20" s="1989"/>
      <c r="K20" s="1989"/>
      <c r="L20" s="1989"/>
      <c r="M20" s="1989"/>
      <c r="N20" s="1989"/>
      <c r="O20" s="1989"/>
      <c r="P20" s="1989"/>
      <c r="Q20" s="1989"/>
      <c r="R20" s="2224"/>
      <c r="S20" s="2027"/>
    </row>
    <row r="21" spans="1:45" ht="15.75">
      <c r="A21" s="957" t="s">
        <v>829</v>
      </c>
      <c r="B21" s="772" t="e">
        <f>R22</f>
        <v>#DIV/0!</v>
      </c>
      <c r="C21" s="1989"/>
      <c r="D21" s="1989"/>
      <c r="E21" s="1989"/>
      <c r="F21" s="1989"/>
      <c r="G21" s="1989"/>
      <c r="H21" s="1989"/>
      <c r="I21" s="1989"/>
      <c r="J21" s="1989"/>
      <c r="K21" s="1989"/>
      <c r="L21" s="1989"/>
      <c r="M21" s="1989"/>
      <c r="N21" s="1989"/>
      <c r="O21" s="1989"/>
      <c r="P21" s="1989"/>
      <c r="Q21" s="1989"/>
      <c r="R21" s="2224"/>
      <c r="S21" s="2027"/>
    </row>
    <row r="22" spans="1:45">
      <c r="A22" s="796" t="s">
        <v>830</v>
      </c>
      <c r="B22" s="53">
        <f>SUM(B24:B10000)</f>
        <v>0</v>
      </c>
      <c r="C22" s="3556" t="s">
        <v>20</v>
      </c>
      <c r="D22" s="3557"/>
      <c r="E22" s="3557"/>
      <c r="F22" s="3557"/>
      <c r="G22" s="3557"/>
      <c r="H22" s="3557"/>
      <c r="I22" s="3557"/>
      <c r="J22" s="3557"/>
      <c r="K22" s="3557"/>
      <c r="L22" s="3557"/>
      <c r="M22" s="3557"/>
      <c r="N22" s="3557"/>
      <c r="O22" s="3557"/>
      <c r="P22" s="3557"/>
      <c r="Q22" s="3558"/>
      <c r="R22" s="487"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3"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2791</v>
      </c>
      <c r="C1" s="3001">
        <f>项目基本情况!D3</f>
        <v>43650</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2822</v>
      </c>
      <c r="C2" s="3002">
        <f>'数据-取费表'!B22</f>
        <v>2</v>
      </c>
      <c r="D2" s="2997" t="s">
        <v>2792</v>
      </c>
      <c r="E2" s="3000">
        <f ca="1">INDIRECT("I"&amp;$I$1)/100</f>
        <v>4.7500000000000001E-2</v>
      </c>
      <c r="G2" s="2937"/>
      <c r="H2" s="2937"/>
      <c r="I2" s="2937" t="s">
        <v>2793</v>
      </c>
      <c r="K2" s="2937"/>
      <c r="L2" s="2937"/>
      <c r="M2" s="2937"/>
      <c r="N2" s="2937" t="s">
        <v>2794</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2824</v>
      </c>
      <c r="C3" s="2999">
        <f>'数据-取费表'!B19</f>
        <v>0</v>
      </c>
      <c r="D3" s="2997" t="s">
        <v>2792</v>
      </c>
      <c r="E3" s="3000">
        <f ca="1">INDIRECT("J"&amp;$J$1)/100</f>
        <v>0</v>
      </c>
      <c r="G3" s="2939" t="s">
        <v>2795</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2823</v>
      </c>
      <c r="C4" s="3000">
        <f ca="1">N4/100</f>
        <v>1.4999999999999999E-2</v>
      </c>
      <c r="G4" s="2945" t="s">
        <v>2796</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2797</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2798</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2799</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2800</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2801</v>
      </c>
      <c r="C10" s="2964"/>
      <c r="D10" s="2964"/>
      <c r="E10" s="2964"/>
      <c r="F10" s="2964"/>
      <c r="G10" s="2964"/>
      <c r="H10" s="2964"/>
      <c r="I10" s="2938"/>
      <c r="J10" s="2938"/>
      <c r="K10" s="2964"/>
      <c r="L10" s="2965" t="s">
        <v>2802</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2803</v>
      </c>
      <c r="C11" s="2969" t="s">
        <v>2804</v>
      </c>
      <c r="D11" s="2970" t="s">
        <v>2805</v>
      </c>
      <c r="E11" s="2971"/>
      <c r="F11" s="2970" t="s">
        <v>2806</v>
      </c>
      <c r="G11" s="2972"/>
      <c r="H11" s="2971"/>
      <c r="I11" s="2970" t="s">
        <v>2807</v>
      </c>
      <c r="J11" s="2971"/>
      <c r="K11" s="2967"/>
      <c r="L11" s="2968" t="s">
        <v>2803</v>
      </c>
      <c r="M11" s="2969" t="s">
        <v>2804</v>
      </c>
      <c r="N11" s="2968" t="s">
        <v>2808</v>
      </c>
      <c r="O11" s="2970" t="s">
        <v>2809</v>
      </c>
      <c r="P11" s="2972"/>
      <c r="Q11" s="2972"/>
      <c r="R11" s="2972"/>
      <c r="S11" s="2972"/>
      <c r="T11" s="2971"/>
      <c r="U11" s="2970" t="s">
        <v>2810</v>
      </c>
      <c r="V11" s="2972"/>
      <c r="W11" s="2971"/>
      <c r="X11" s="2968" t="s">
        <v>2811</v>
      </c>
      <c r="Y11" s="2968" t="s">
        <v>2812</v>
      </c>
      <c r="Z11" s="2968" t="s">
        <v>2813</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2814</v>
      </c>
      <c r="E12" s="2977" t="s">
        <v>2815</v>
      </c>
      <c r="F12" s="2977" t="s">
        <v>2816</v>
      </c>
      <c r="G12" s="2977" t="s">
        <v>2817</v>
      </c>
      <c r="H12" s="2977" t="s">
        <v>2799</v>
      </c>
      <c r="I12" s="2978" t="s">
        <v>2818</v>
      </c>
      <c r="J12" s="2978" t="s">
        <v>2818</v>
      </c>
      <c r="K12" s="2974"/>
      <c r="L12" s="2975"/>
      <c r="M12" s="2976"/>
      <c r="N12" s="2975"/>
      <c r="O12" s="2978" t="s">
        <v>2819</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2820</v>
      </c>
      <c r="C13" s="2982">
        <v>42301</v>
      </c>
      <c r="D13" s="2983">
        <v>4.3499999999999996</v>
      </c>
      <c r="E13" s="2983">
        <v>4.3499999999999996</v>
      </c>
      <c r="F13" s="2983">
        <v>4.75</v>
      </c>
      <c r="G13" s="2983">
        <v>4.75</v>
      </c>
      <c r="H13" s="2983">
        <v>4.9000000000000004</v>
      </c>
      <c r="I13" s="2983">
        <v>2.75</v>
      </c>
      <c r="J13" s="2983">
        <v>3.25</v>
      </c>
      <c r="K13" s="2980"/>
      <c r="L13" s="2981" t="s">
        <v>2820</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2821</v>
      </c>
      <c r="Y42" s="2987" t="s">
        <v>2821</v>
      </c>
      <c r="Z42" s="2987" t="s">
        <v>2821</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2821</v>
      </c>
      <c r="Y43" s="2987" t="s">
        <v>2821</v>
      </c>
      <c r="Z43" s="2987" t="s">
        <v>2821</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2821</v>
      </c>
      <c r="Y44" s="2987" t="s">
        <v>2821</v>
      </c>
      <c r="Z44" s="2987" t="s">
        <v>2821</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2821</v>
      </c>
      <c r="Y45" s="2987" t="s">
        <v>2821</v>
      </c>
      <c r="Z45" s="2987" t="s">
        <v>2821</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2821</v>
      </c>
      <c r="Y46" s="2987" t="s">
        <v>2821</v>
      </c>
      <c r="Z46" s="2987" t="s">
        <v>2821</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2821</v>
      </c>
      <c r="Y47" s="2987" t="s">
        <v>2821</v>
      </c>
      <c r="Z47" s="2987" t="s">
        <v>2821</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2821</v>
      </c>
      <c r="Y48" s="2987" t="s">
        <v>2821</v>
      </c>
      <c r="Z48" s="2987" t="s">
        <v>2821</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2821</v>
      </c>
      <c r="Y49" s="2987" t="s">
        <v>2821</v>
      </c>
      <c r="Z49" s="2987" t="s">
        <v>2821</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2821</v>
      </c>
      <c r="Y50" s="2987" t="s">
        <v>2821</v>
      </c>
      <c r="Z50" s="2987" t="s">
        <v>2821</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2821</v>
      </c>
      <c r="V51" s="2987" t="s">
        <v>2821</v>
      </c>
      <c r="W51" s="2987" t="s">
        <v>2821</v>
      </c>
      <c r="X51" s="2987" t="s">
        <v>2821</v>
      </c>
      <c r="Y51" s="2987" t="s">
        <v>2821</v>
      </c>
      <c r="Z51" s="2987" t="s">
        <v>2821</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2821</v>
      </c>
      <c r="J55" s="2987" t="s">
        <v>2821</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0" sqref="A30"/>
    </sheetView>
  </sheetViews>
  <sheetFormatPr defaultRowHeight="13.5"/>
  <sheetData/>
  <phoneticPr fontId="23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70" t="s">
        <v>2068</v>
      </c>
      <c r="B1" s="3270"/>
      <c r="C1" s="3270"/>
      <c r="D1" s="3270"/>
    </row>
    <row r="2" spans="1:4" ht="47.25" customHeight="1">
      <c r="A2" s="3271" t="str">
        <f>"1.权利限制："&amp;项目基本情况!L24&amp;"未设定租赁等其他他项权利。"</f>
        <v>1.权利限制：根据估价对象《不动产权证书》原件、《国有土地使用权》复印件，截至估价期日，估价对象抵押权未见登记。未设定租赁等其他他项权利。</v>
      </c>
      <c r="B2" s="3271"/>
      <c r="C2" s="3271"/>
      <c r="D2" s="3271"/>
    </row>
    <row r="3" spans="1:4" ht="48" customHeight="1">
      <c r="A3" s="32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0"/>
      <c r="C3" s="3270"/>
      <c r="D3" s="3270"/>
    </row>
    <row r="4" spans="1:4" ht="36.75" customHeight="1">
      <c r="A4" s="3270" t="str">
        <f>"3.估价规划限制条件：详见"&amp;项目基本情况!E21&amp;"。"</f>
        <v>3.估价规划限制条件：详见《建设工程规划许可证》[]、《出让合同》[]。</v>
      </c>
      <c r="B4" s="3270"/>
      <c r="C4" s="3270"/>
      <c r="D4" s="3270"/>
    </row>
    <row r="5" spans="1:4">
      <c r="A5" s="3269" t="s">
        <v>2069</v>
      </c>
      <c r="B5" s="3269"/>
      <c r="C5" s="3269"/>
      <c r="D5" s="3269"/>
    </row>
    <row r="6" spans="1:4">
      <c r="A6" s="3270" t="s">
        <v>2047</v>
      </c>
      <c r="B6" s="3270"/>
      <c r="C6" s="3270"/>
      <c r="D6" s="3270"/>
    </row>
    <row r="7" spans="1:4" ht="33" customHeight="1">
      <c r="A7" s="3270" t="s">
        <v>2578</v>
      </c>
      <c r="B7" s="3270"/>
      <c r="C7" s="3270"/>
      <c r="D7" s="3270"/>
    </row>
    <row r="8" spans="1:4" ht="32.25" customHeight="1">
      <c r="A8" s="32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70"/>
      <c r="C8" s="3270"/>
      <c r="D8" s="3270"/>
    </row>
    <row r="9" spans="1:4" ht="33.75" customHeight="1">
      <c r="A9" s="3270" t="str">
        <f>IF(项目基本情况!B8="抵押","3.抵押双方在办理抵押登记手续时，应使用本公司出具的正式《土地估价报告》，特提请报告使用者注意。","——")</f>
        <v>——</v>
      </c>
      <c r="B9" s="3270"/>
      <c r="C9" s="3270"/>
      <c r="D9" s="3270"/>
    </row>
    <row r="10" spans="1:4">
      <c r="A10" s="3270" t="str">
        <f>IF(项目基本情况!B8="抵押","4.估价师所知悉的法定优先受偿款情况为：","——")</f>
        <v>——</v>
      </c>
      <c r="B10" s="3270"/>
      <c r="C10" s="3270"/>
      <c r="D10" s="3270"/>
    </row>
    <row r="11" spans="1:4" ht="37.5" customHeight="1">
      <c r="A11" s="3272" t="str">
        <f>IF(项目基本情况!B8="抵押","（1）"&amp;CONCATENATE(项目基本情况!L24,项目基本情况!L25,项目基本情况!L26),"——")</f>
        <v>——</v>
      </c>
      <c r="B11" s="3272"/>
      <c r="C11" s="3272"/>
      <c r="D11" s="3272"/>
    </row>
    <row r="12" spans="1:4" ht="168" customHeight="1">
      <c r="A12" s="3269" t="s">
        <v>2071</v>
      </c>
      <c r="B12" s="3269"/>
      <c r="C12" s="3269"/>
      <c r="D12" s="3269"/>
    </row>
    <row r="13" spans="1:4">
      <c r="A13" s="3273" t="s">
        <v>2749</v>
      </c>
      <c r="B13" s="3273"/>
      <c r="C13" s="3273"/>
      <c r="D13" s="3273"/>
    </row>
    <row r="14" spans="1:4">
      <c r="A14" s="3272" t="str">
        <f>IF(项目基本情况!B8="抵押","综上，"&amp;结果表!K47,"——")</f>
        <v>——</v>
      </c>
      <c r="B14" s="3272"/>
      <c r="C14" s="3272"/>
      <c r="D14" s="3272"/>
    </row>
    <row r="15" spans="1:4" ht="58.5" customHeight="1">
      <c r="A15" s="32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0"/>
      <c r="C15" s="3270"/>
      <c r="D15" s="3270"/>
    </row>
    <row r="16" spans="1:4" ht="70.5" customHeight="1">
      <c r="A16" s="32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0"/>
      <c r="C16" s="3270"/>
      <c r="D16" s="3270"/>
    </row>
    <row r="17" spans="1:4">
      <c r="A17" s="3270" t="s">
        <v>2705</v>
      </c>
      <c r="B17" s="3270"/>
      <c r="C17" s="3270"/>
      <c r="D17" s="3270"/>
    </row>
    <row r="18" spans="1:4">
      <c r="A18" s="3270" t="s">
        <v>2697</v>
      </c>
      <c r="B18" s="3270"/>
      <c r="C18" s="3270"/>
      <c r="D18" s="3270"/>
    </row>
    <row r="19" spans="1:4">
      <c r="A19" s="2865" t="s">
        <v>2698</v>
      </c>
      <c r="B19" s="2865" t="s">
        <v>2699</v>
      </c>
      <c r="C19" s="2865" t="s">
        <v>2700</v>
      </c>
      <c r="D19" s="2865" t="s">
        <v>2701</v>
      </c>
    </row>
    <row r="20" spans="1:4">
      <c r="A20" s="2865" t="str">
        <f>项目基本情况!B4</f>
        <v>叶凌</v>
      </c>
      <c r="B20" s="2865">
        <f ca="1">项目基本情况!C4</f>
        <v>94010078</v>
      </c>
      <c r="C20" s="2867"/>
      <c r="D20" s="1799" t="s">
        <v>2706</v>
      </c>
    </row>
    <row r="21" spans="1:4">
      <c r="A21" s="2865" t="str">
        <f>项目基本情况!D4</f>
        <v>杨红英</v>
      </c>
      <c r="B21" s="2865">
        <f>项目基本情况!E4</f>
        <v>2004110128</v>
      </c>
      <c r="C21" s="2867"/>
      <c r="D21" s="1799" t="s">
        <v>2707</v>
      </c>
    </row>
    <row r="23" spans="1:4">
      <c r="A23" s="3270" t="s">
        <v>2702</v>
      </c>
      <c r="B23" s="3270"/>
      <c r="C23" s="3270"/>
      <c r="D23" s="3270"/>
    </row>
    <row r="24" spans="1:4">
      <c r="A24" s="2865" t="s">
        <v>2698</v>
      </c>
      <c r="B24" s="2865" t="s">
        <v>2703</v>
      </c>
      <c r="C24" s="2865" t="s">
        <v>2700</v>
      </c>
      <c r="D24" s="2865" t="s">
        <v>2701</v>
      </c>
    </row>
    <row r="25" spans="1:4">
      <c r="A25" s="2868" t="s">
        <v>2704</v>
      </c>
      <c r="B25" s="2865" t="s">
        <v>952</v>
      </c>
      <c r="C25" s="2867"/>
      <c r="D25" s="1799" t="s">
        <v>2707</v>
      </c>
    </row>
    <row r="29" spans="1:4">
      <c r="D29" s="2866" t="s">
        <v>2042</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81" t="s">
        <v>53</v>
      </c>
      <c r="B15" s="3282" t="s">
        <v>846</v>
      </c>
      <c r="C15" s="3278"/>
    </row>
    <row r="16" spans="1:7" ht="14.25">
      <c r="A16" s="3281"/>
      <c r="B16" s="3279" t="s">
        <v>54</v>
      </c>
      <c r="C16" s="1169" t="s">
        <v>53</v>
      </c>
    </row>
    <row r="17" spans="1:3" ht="14.25">
      <c r="A17" s="3281"/>
      <c r="B17" s="3279"/>
      <c r="C17" s="1169" t="s">
        <v>55</v>
      </c>
    </row>
    <row r="18" spans="1:3" ht="14.25">
      <c r="A18" s="3281"/>
      <c r="B18" s="3279"/>
      <c r="C18" s="1169" t="s">
        <v>56</v>
      </c>
    </row>
    <row r="19" spans="1:3" ht="14.25">
      <c r="A19" s="3281"/>
      <c r="B19" s="3277" t="s">
        <v>57</v>
      </c>
      <c r="C19" s="3278"/>
    </row>
    <row r="20" spans="1:3" ht="14.25">
      <c r="A20" s="1170" t="s">
        <v>58</v>
      </c>
      <c r="B20" s="1171"/>
      <c r="C20" s="1172"/>
    </row>
    <row r="21" spans="1:3" ht="14.25">
      <c r="A21" s="3280" t="s">
        <v>59</v>
      </c>
      <c r="B21" s="3277" t="s">
        <v>60</v>
      </c>
      <c r="C21" s="3278"/>
    </row>
    <row r="22" spans="1:3" ht="14.25">
      <c r="A22" s="3280"/>
      <c r="B22" s="3277" t="s">
        <v>61</v>
      </c>
      <c r="C22" s="3278"/>
    </row>
    <row r="23" spans="1:3" ht="14.25">
      <c r="A23" s="3280"/>
      <c r="B23" s="3277" t="s">
        <v>62</v>
      </c>
      <c r="C23" s="3278"/>
    </row>
    <row r="24" spans="1:3" ht="14.25">
      <c r="A24" s="3280"/>
      <c r="B24" s="3283" t="s">
        <v>63</v>
      </c>
      <c r="C24" s="1173" t="s">
        <v>837</v>
      </c>
    </row>
    <row r="25" spans="1:3" ht="14.25">
      <c r="A25" s="3280"/>
      <c r="B25" s="3284"/>
      <c r="C25" s="1173" t="s">
        <v>838</v>
      </c>
    </row>
    <row r="26" spans="1:3" ht="14.25">
      <c r="A26" s="3280"/>
      <c r="B26" s="3284"/>
      <c r="C26" s="1173" t="s">
        <v>839</v>
      </c>
    </row>
    <row r="27" spans="1:3" ht="14.25">
      <c r="A27" s="3280"/>
      <c r="B27" s="3284"/>
      <c r="C27" s="1173" t="s">
        <v>840</v>
      </c>
    </row>
    <row r="28" spans="1:3" ht="14.25">
      <c r="A28" s="3280"/>
      <c r="B28" s="3284"/>
      <c r="C28" s="1173" t="s">
        <v>841</v>
      </c>
    </row>
    <row r="29" spans="1:3" ht="14.25">
      <c r="A29" s="3280"/>
      <c r="B29" s="3284"/>
      <c r="C29" s="1173" t="s">
        <v>842</v>
      </c>
    </row>
    <row r="30" spans="1:3" ht="14.25">
      <c r="A30" s="3280"/>
      <c r="B30" s="3284"/>
      <c r="C30" s="1173" t="s">
        <v>843</v>
      </c>
    </row>
    <row r="31" spans="1:3" ht="14.25">
      <c r="A31" s="3280"/>
      <c r="B31" s="3284"/>
      <c r="C31" s="1173" t="s">
        <v>844</v>
      </c>
    </row>
    <row r="32" spans="1:3" ht="14.25">
      <c r="A32" s="3280"/>
      <c r="B32" s="3284"/>
      <c r="C32" s="1173" t="s">
        <v>1647</v>
      </c>
    </row>
    <row r="33" spans="1:3" ht="14.25">
      <c r="A33" s="3280"/>
      <c r="B33" s="3274" t="s">
        <v>1653</v>
      </c>
      <c r="C33" s="1173" t="s">
        <v>1648</v>
      </c>
    </row>
    <row r="34" spans="1:3" ht="14.25">
      <c r="A34" s="3280"/>
      <c r="B34" s="3275"/>
      <c r="C34" s="1178" t="s">
        <v>1649</v>
      </c>
    </row>
    <row r="35" spans="1:3" ht="14.25">
      <c r="A35" s="3280"/>
      <c r="B35" s="3275"/>
      <c r="C35" s="1179" t="s">
        <v>1650</v>
      </c>
    </row>
    <row r="36" spans="1:3" ht="14.25">
      <c r="A36" s="3280"/>
      <c r="B36" s="3275"/>
      <c r="C36" s="1179" t="s">
        <v>1651</v>
      </c>
    </row>
    <row r="37" spans="1:3" ht="14.25">
      <c r="A37" s="3280"/>
      <c r="B37" s="3276"/>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43655</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3">
        <v>43849</v>
      </c>
      <c r="D4" s="2342" t="s">
        <v>1915</v>
      </c>
      <c r="E4" s="2342">
        <f ca="1">IF(F4&lt;B2,"已过期",96010014)</f>
        <v>96010014</v>
      </c>
      <c r="F4" s="3004">
        <v>47118</v>
      </c>
    </row>
    <row r="5" spans="1:6" ht="20.25" customHeight="1">
      <c r="A5" s="2342" t="s">
        <v>1916</v>
      </c>
      <c r="B5" s="2342">
        <f ca="1">IF(C5&lt;B2,"已过期",1119970074)</f>
        <v>1119970074</v>
      </c>
      <c r="C5" s="3003">
        <v>43849</v>
      </c>
      <c r="D5" s="2342" t="s">
        <v>1916</v>
      </c>
      <c r="E5" s="2342">
        <f ca="1">IF(F5&lt;B2,"已过期",2002110027)</f>
        <v>2002110027</v>
      </c>
      <c r="F5" s="3004">
        <v>46752</v>
      </c>
    </row>
    <row r="6" spans="1:6" ht="20.25" customHeight="1">
      <c r="A6" s="2342" t="s">
        <v>1917</v>
      </c>
      <c r="B6" s="2342">
        <f ca="1">IF(C6&lt;B2,"已过期",1119970111)</f>
        <v>1119970111</v>
      </c>
      <c r="C6" s="3003">
        <v>43849</v>
      </c>
      <c r="D6" s="2342" t="s">
        <v>1917</v>
      </c>
      <c r="E6" s="2342">
        <f ca="1">IF(F6&lt;B2,"已过期",94010078)</f>
        <v>94010078</v>
      </c>
      <c r="F6" s="3004">
        <v>46387</v>
      </c>
    </row>
    <row r="7" spans="1:6" ht="20.25" customHeight="1">
      <c r="A7" s="2342" t="s">
        <v>1918</v>
      </c>
      <c r="B7" s="2342">
        <f ca="1">IF(C7&lt;B2,"已过期",1120050019)</f>
        <v>1120050019</v>
      </c>
      <c r="C7" s="3003">
        <v>44395</v>
      </c>
      <c r="D7" s="2342" t="s">
        <v>1918</v>
      </c>
      <c r="E7" s="2342">
        <f ca="1">IF(F7&lt;B2,"已过期",2002110030)</f>
        <v>2002110030</v>
      </c>
      <c r="F7" s="3004">
        <v>46387</v>
      </c>
    </row>
    <row r="8" spans="1:6" ht="20.25" customHeight="1">
      <c r="A8" s="2342" t="s">
        <v>1919</v>
      </c>
      <c r="B8" s="2342">
        <f ca="1">IF(C8&lt;B2,"已过期",1120000080)</f>
        <v>1120000080</v>
      </c>
      <c r="C8" s="3003">
        <v>43849</v>
      </c>
      <c r="D8" s="2342" t="s">
        <v>1919</v>
      </c>
      <c r="E8" s="2342">
        <f ca="1">IF(F8&lt;B2,"已过期",2000110082)</f>
        <v>2000110082</v>
      </c>
      <c r="F8" s="3004">
        <v>46387</v>
      </c>
    </row>
    <row r="9" spans="1:6" ht="20.25" customHeight="1">
      <c r="A9" s="2342" t="s">
        <v>1920</v>
      </c>
      <c r="B9" s="2342">
        <f ca="1">IF(C9&lt;B2,"已过期",1419970001)</f>
        <v>1419970001</v>
      </c>
      <c r="C9" s="3003">
        <v>43867</v>
      </c>
      <c r="D9" s="2342" t="s">
        <v>1920</v>
      </c>
      <c r="E9" s="2342">
        <f ca="1">IF(F9&lt;B2,"已过期",2002110125)</f>
        <v>2002110125</v>
      </c>
      <c r="F9" s="3004">
        <v>47118</v>
      </c>
    </row>
    <row r="10" spans="1:6" ht="20.25" customHeight="1">
      <c r="A10" s="2342" t="s">
        <v>1921</v>
      </c>
      <c r="B10" s="2342" t="str">
        <f ca="1">IF(C10&lt;B2,"已过期",1120060040)</f>
        <v>已过期</v>
      </c>
      <c r="C10" s="3003">
        <v>43483</v>
      </c>
      <c r="D10" s="2342" t="s">
        <v>1921</v>
      </c>
      <c r="E10" s="2342">
        <f ca="1">IF(F10&lt;B2,"已过期",2004110096)</f>
        <v>2004110096</v>
      </c>
      <c r="F10" s="3004">
        <v>47118</v>
      </c>
    </row>
    <row r="11" spans="1:6" ht="20.25" customHeight="1">
      <c r="A11" s="2342" t="s">
        <v>1922</v>
      </c>
      <c r="B11" s="2342" t="str">
        <f ca="1">IF(C11&lt;B2,"已过期",1120100036)</f>
        <v>已过期</v>
      </c>
      <c r="C11" s="3003">
        <v>43622</v>
      </c>
      <c r="D11" s="2342" t="s">
        <v>1922</v>
      </c>
      <c r="E11" s="2342">
        <f ca="1">IF(F11&lt;B2,"已过期",2010110070)</f>
        <v>2010110070</v>
      </c>
      <c r="F11" s="3004">
        <v>47907</v>
      </c>
    </row>
    <row r="12" spans="1:6" ht="20.25" customHeight="1">
      <c r="A12" s="2342" t="s">
        <v>2982</v>
      </c>
      <c r="B12" s="2342">
        <v>1120110054</v>
      </c>
      <c r="C12" s="3003">
        <v>43937</v>
      </c>
      <c r="D12" s="2342" t="s">
        <v>2982</v>
      </c>
      <c r="E12" s="2342">
        <v>2008110060</v>
      </c>
      <c r="F12" s="3004">
        <v>47177</v>
      </c>
    </row>
    <row r="13" spans="1:6" ht="20.25" customHeight="1">
      <c r="A13" s="2342" t="s">
        <v>1923</v>
      </c>
      <c r="B13" s="2342">
        <f ca="1">IF(C13&lt;B2,"已过期",1120070131)</f>
        <v>1120070131</v>
      </c>
      <c r="C13" s="3003">
        <v>43814</v>
      </c>
      <c r="D13" s="2342" t="s">
        <v>1923</v>
      </c>
      <c r="E13" s="2342">
        <v>2014110011</v>
      </c>
      <c r="F13" s="3004">
        <v>49302</v>
      </c>
    </row>
    <row r="14" spans="1:6" ht="20.25" customHeight="1">
      <c r="A14" s="2342" t="s">
        <v>1924</v>
      </c>
      <c r="B14" s="2342" t="str">
        <f ca="1">IF(C14&lt;B2,"已过期",1120130020)</f>
        <v>已过期</v>
      </c>
      <c r="C14" s="3003">
        <v>43622</v>
      </c>
      <c r="D14" s="2342"/>
      <c r="E14" s="2342"/>
      <c r="F14" s="2342"/>
    </row>
    <row r="15" spans="1:6" ht="20.25" customHeight="1">
      <c r="A15" s="2342" t="s">
        <v>2577</v>
      </c>
      <c r="B15" s="2342">
        <v>1120070085</v>
      </c>
      <c r="C15" s="3003">
        <v>43814</v>
      </c>
      <c r="D15" s="2342" t="s">
        <v>2577</v>
      </c>
      <c r="E15" s="2342">
        <v>2004110128</v>
      </c>
      <c r="F15" s="3004">
        <v>47118</v>
      </c>
    </row>
    <row r="16" spans="1:6" ht="20.25" customHeight="1">
      <c r="A16" s="2342" t="s">
        <v>1925</v>
      </c>
      <c r="B16" s="2342">
        <f ca="1">IF(C16&lt;B2,"已过期",1120140022)</f>
        <v>1120140022</v>
      </c>
      <c r="C16" s="3003">
        <v>44029</v>
      </c>
      <c r="D16" s="2342" t="s">
        <v>1925</v>
      </c>
      <c r="E16" s="2342">
        <f ca="1">IF(F16&lt;B2,"已过期",2008110059)</f>
        <v>2008110059</v>
      </c>
      <c r="F16" s="3004">
        <v>47177</v>
      </c>
    </row>
    <row r="17" spans="1:7" ht="20.25" customHeight="1">
      <c r="A17" s="2342"/>
      <c r="B17" s="2342"/>
      <c r="C17" s="3003"/>
      <c r="D17" s="2342"/>
      <c r="E17" s="2342"/>
      <c r="F17" s="3004"/>
    </row>
    <row r="18" spans="1:7" ht="20.25" customHeight="1">
      <c r="A18" s="2342"/>
      <c r="B18" s="2342"/>
      <c r="C18" s="3003"/>
      <c r="D18" s="2342"/>
      <c r="E18" s="2342"/>
      <c r="F18" s="3004"/>
    </row>
    <row r="19" spans="1:7" ht="20.25" customHeight="1">
      <c r="A19" s="2342"/>
      <c r="B19" s="2342"/>
      <c r="C19" s="3003"/>
      <c r="D19" s="2342"/>
      <c r="E19" s="2342"/>
      <c r="F19" s="2342"/>
    </row>
    <row r="20" spans="1:7" ht="20.25" customHeight="1">
      <c r="A20" s="2342"/>
      <c r="B20" s="2342"/>
      <c r="C20" s="3003"/>
      <c r="D20" s="2342"/>
      <c r="E20" s="2342"/>
      <c r="F20" s="2342"/>
    </row>
    <row r="21" spans="1:7" ht="20.25" customHeight="1">
      <c r="A21" s="2342"/>
      <c r="B21" s="2342"/>
      <c r="C21" s="3003"/>
      <c r="D21" s="2342" t="s">
        <v>1926</v>
      </c>
      <c r="E21" s="2342">
        <f ca="1">IF(F21&lt;B2,"已过期",2011110090)</f>
        <v>2011110090</v>
      </c>
      <c r="F21" s="3004">
        <v>48302</v>
      </c>
    </row>
    <row r="22" spans="1:7" ht="20.25" customHeight="1">
      <c r="A22" s="2342" t="s">
        <v>1927</v>
      </c>
      <c r="B22" s="2342">
        <f ca="1">IF(C22&lt;B2,"已过期",1120020033)</f>
        <v>1120020033</v>
      </c>
      <c r="C22" s="3003">
        <v>44339</v>
      </c>
      <c r="D22" s="2342" t="s">
        <v>1927</v>
      </c>
      <c r="E22" s="2342">
        <f ca="1">IF(F22&lt;B2,"已过期",2000110137)</f>
        <v>2000110137</v>
      </c>
      <c r="F22" s="3004">
        <v>46387</v>
      </c>
    </row>
    <row r="23" spans="1:7" ht="20.25" customHeight="1">
      <c r="A23" s="2342" t="s">
        <v>1928</v>
      </c>
      <c r="B23" s="2342">
        <f ca="1">IF(C23&lt;B2,"已过期",1120130048)</f>
        <v>1120130048</v>
      </c>
      <c r="C23" s="3003">
        <v>43686</v>
      </c>
      <c r="D23" s="2342"/>
      <c r="E23" s="2342"/>
      <c r="F23" s="2342"/>
    </row>
    <row r="24" spans="1:7" s="2346" customFormat="1" ht="20.25" customHeight="1">
      <c r="A24" s="2344" t="s">
        <v>2056</v>
      </c>
      <c r="B24" s="2344" t="s">
        <v>2056</v>
      </c>
      <c r="C24" s="3003"/>
      <c r="D24" s="3005" t="s">
        <v>2056</v>
      </c>
      <c r="E24" s="2344" t="s">
        <v>2056</v>
      </c>
      <c r="F24" s="2345"/>
    </row>
    <row r="25" spans="1:7" ht="20.25" customHeight="1">
      <c r="A25" s="3285" t="s">
        <v>1929</v>
      </c>
      <c r="B25" s="3285"/>
      <c r="C25" s="3285"/>
      <c r="D25" s="3285"/>
      <c r="E25" s="3285"/>
      <c r="F25" s="3285"/>
      <c r="G25" s="3285"/>
    </row>
    <row r="26" spans="1:7" ht="20.25" customHeight="1">
      <c r="A26" s="3286" t="s">
        <v>1930</v>
      </c>
      <c r="B26" s="3286"/>
      <c r="C26" s="3286"/>
      <c r="D26" s="3286" t="s">
        <v>1931</v>
      </c>
      <c r="E26" s="3286"/>
      <c r="F26" s="3286"/>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2949</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26" priority="90">
      <formula>AND($C24-TODAY()&lt;30,TODAY()&lt;$C24)</formula>
    </cfRule>
  </conditionalFormatting>
  <conditionalFormatting sqref="C28">
    <cfRule type="expression" dxfId="225" priority="89">
      <formula>AND($C28-TODAY()&lt;30,TODAY()&lt;$C28)</formula>
    </cfRule>
  </conditionalFormatting>
  <conditionalFormatting sqref="C28 F4">
    <cfRule type="cellIs" dxfId="224" priority="91" stopIfTrue="1" operator="lessThan">
      <formula>$B$2</formula>
    </cfRule>
  </conditionalFormatting>
  <conditionalFormatting sqref="F5">
    <cfRule type="cellIs" dxfId="223" priority="87" stopIfTrue="1" operator="lessThan">
      <formula>$B$2</formula>
    </cfRule>
  </conditionalFormatting>
  <conditionalFormatting sqref="F6 F8 F10">
    <cfRule type="cellIs" dxfId="222" priority="85" stopIfTrue="1" operator="lessThan">
      <formula>$B$2</formula>
    </cfRule>
  </conditionalFormatting>
  <conditionalFormatting sqref="C24:D24">
    <cfRule type="expression" dxfId="221" priority="83">
      <formula>AND($C24-TODAY()&lt;30,TODAY()&lt;$C24)</formula>
    </cfRule>
  </conditionalFormatting>
  <conditionalFormatting sqref="F7 F9 F11 C24:D24">
    <cfRule type="cellIs" dxfId="220" priority="84" stopIfTrue="1" operator="lessThan">
      <formula>$B$2</formula>
    </cfRule>
  </conditionalFormatting>
  <conditionalFormatting sqref="F16">
    <cfRule type="cellIs" dxfId="219" priority="57" stopIfTrue="1" operator="lessThan">
      <formula>$B$2</formula>
    </cfRule>
  </conditionalFormatting>
  <conditionalFormatting sqref="F18">
    <cfRule type="cellIs" dxfId="218" priority="56" stopIfTrue="1" operator="lessThan">
      <formula>$B$2</formula>
    </cfRule>
  </conditionalFormatting>
  <conditionalFormatting sqref="F22">
    <cfRule type="cellIs" dxfId="217" priority="55" stopIfTrue="1" operator="lessThan">
      <formula>$B$2</formula>
    </cfRule>
  </conditionalFormatting>
  <conditionalFormatting sqref="F21">
    <cfRule type="cellIs" dxfId="216" priority="54" stopIfTrue="1" operator="lessThan">
      <formula>$B$2</formula>
    </cfRule>
  </conditionalFormatting>
  <conditionalFormatting sqref="F17">
    <cfRule type="cellIs" dxfId="215" priority="53" stopIfTrue="1" operator="lessThan">
      <formula>$B$2</formula>
    </cfRule>
  </conditionalFormatting>
  <conditionalFormatting sqref="B4:B11 E4:E11 E16:E23 B16:B23 B13:B14 E13:E14">
    <cfRule type="cellIs" dxfId="214" priority="52" stopIfTrue="1" operator="equal">
      <formula>"已过期"</formula>
    </cfRule>
  </conditionalFormatting>
  <conditionalFormatting sqref="F28">
    <cfRule type="cellIs" dxfId="213" priority="49" stopIfTrue="1" operator="lessThan">
      <formula>$B$2</formula>
    </cfRule>
  </conditionalFormatting>
  <conditionalFormatting sqref="F29">
    <cfRule type="cellIs" dxfId="212" priority="47" stopIfTrue="1" operator="lessThan">
      <formula>$B$2</formula>
    </cfRule>
  </conditionalFormatting>
  <conditionalFormatting sqref="F28">
    <cfRule type="expression" dxfId="211" priority="93">
      <formula>AND($E28-TODAY()&lt;30,TODAY()&lt;$E28)</formula>
    </cfRule>
  </conditionalFormatting>
  <conditionalFormatting sqref="F29">
    <cfRule type="expression" dxfId="210" priority="94" stopIfTrue="1">
      <formula>AND($E29-TODAY()&lt;30,TODAY()&lt;$E29)</formula>
    </cfRule>
  </conditionalFormatting>
  <conditionalFormatting sqref="C5">
    <cfRule type="expression" dxfId="209" priority="44">
      <formula>AND($C5-TODAY()&lt;30,TODAY()&lt;$C5)</formula>
    </cfRule>
  </conditionalFormatting>
  <conditionalFormatting sqref="C5">
    <cfRule type="cellIs" dxfId="208" priority="45" stopIfTrue="1" operator="lessThan">
      <formula>$B$2</formula>
    </cfRule>
  </conditionalFormatting>
  <conditionalFormatting sqref="C4:C6">
    <cfRule type="expression" dxfId="207" priority="42">
      <formula>AND($C4-TODAY()&lt;30,TODAY()&lt;$C4)</formula>
    </cfRule>
  </conditionalFormatting>
  <conditionalFormatting sqref="C4:C6">
    <cfRule type="cellIs" dxfId="206" priority="43" stopIfTrue="1" operator="lessThan">
      <formula>$B$2</formula>
    </cfRule>
  </conditionalFormatting>
  <conditionalFormatting sqref="C8:C9">
    <cfRule type="expression" dxfId="205" priority="40">
      <formula>AND($C8-TODAY()&lt;30,TODAY()&lt;$C8)</formula>
    </cfRule>
  </conditionalFormatting>
  <conditionalFormatting sqref="C8:C9">
    <cfRule type="cellIs" dxfId="204" priority="41" stopIfTrue="1" operator="lessThan">
      <formula>$B$2</formula>
    </cfRule>
  </conditionalFormatting>
  <conditionalFormatting sqref="B15 E15">
    <cfRule type="cellIs" dxfId="203" priority="28" stopIfTrue="1" operator="equal">
      <formula>"已过期"</formula>
    </cfRule>
  </conditionalFormatting>
  <conditionalFormatting sqref="F15">
    <cfRule type="cellIs" dxfId="202" priority="25" stopIfTrue="1" operator="lessThan">
      <formula>$B$2</formula>
    </cfRule>
  </conditionalFormatting>
  <conditionalFormatting sqref="C7">
    <cfRule type="expression" dxfId="201" priority="23">
      <formula>AND($C7-TODAY()&lt;30,TODAY()&lt;$C7)</formula>
    </cfRule>
  </conditionalFormatting>
  <conditionalFormatting sqref="C7">
    <cfRule type="cellIs" dxfId="200" priority="24" stopIfTrue="1" operator="lessThan">
      <formula>$B$2</formula>
    </cfRule>
  </conditionalFormatting>
  <conditionalFormatting sqref="C10:C11 C13:C21 C23">
    <cfRule type="expression" dxfId="199" priority="21">
      <formula>AND($C10-TODAY()&lt;30,TODAY()&lt;$C10)</formula>
    </cfRule>
  </conditionalFormatting>
  <conditionalFormatting sqref="C10:C11 C13:C21 C23">
    <cfRule type="cellIs" dxfId="198" priority="22" stopIfTrue="1" operator="lessThan">
      <formula>$B$2</formula>
    </cfRule>
  </conditionalFormatting>
  <conditionalFormatting sqref="F13">
    <cfRule type="cellIs" dxfId="197" priority="20" stopIfTrue="1" operator="lessThan">
      <formula>$B$2</formula>
    </cfRule>
  </conditionalFormatting>
  <conditionalFormatting sqref="F12">
    <cfRule type="cellIs" dxfId="196" priority="12" stopIfTrue="1" operator="lessThan">
      <formula>$B$2</formula>
    </cfRule>
  </conditionalFormatting>
  <conditionalFormatting sqref="B12 E12">
    <cfRule type="cellIs" dxfId="195" priority="11" stopIfTrue="1" operator="equal">
      <formula>"已过期"</formula>
    </cfRule>
  </conditionalFormatting>
  <conditionalFormatting sqref="C12">
    <cfRule type="expression" dxfId="194" priority="9">
      <formula>AND($C12-TODAY()&lt;30,TODAY()&lt;$C12)</formula>
    </cfRule>
  </conditionalFormatting>
  <conditionalFormatting sqref="C12">
    <cfRule type="cellIs" dxfId="193" priority="10" stopIfTrue="1" operator="lessThan">
      <formula>$B$2</formula>
    </cfRule>
  </conditionalFormatting>
  <conditionalFormatting sqref="C22">
    <cfRule type="expression" dxfId="192" priority="1">
      <formula>AND($C22-TODAY()&lt;30,TODAY()&lt;$C22)</formula>
    </cfRule>
  </conditionalFormatting>
  <conditionalFormatting sqref="C22">
    <cfRule type="cellIs" dxfId="19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2548</v>
      </c>
      <c r="R1" s="2581" t="s">
        <v>2542</v>
      </c>
      <c r="S1" s="6" t="s">
        <v>146</v>
      </c>
      <c r="T1" s="7" t="s">
        <v>147</v>
      </c>
      <c r="U1" s="6" t="s">
        <v>148</v>
      </c>
      <c r="V1" s="6" t="s">
        <v>149</v>
      </c>
      <c r="W1" s="1001"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9" t="s">
        <v>1712</v>
      </c>
      <c r="D4" s="9" t="s">
        <v>1997</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51"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10" t="s">
        <v>2960</v>
      </c>
      <c r="C18" s="1552"/>
    </row>
    <row r="19" spans="1:3">
      <c r="A19" s="8" t="s">
        <v>120</v>
      </c>
      <c r="B19" s="3110" t="s">
        <v>2968</v>
      </c>
      <c r="C19" s="1552"/>
    </row>
    <row r="20" spans="1:3">
      <c r="A20" s="8" t="s">
        <v>121</v>
      </c>
      <c r="B20" s="8" t="s">
        <v>2987</v>
      </c>
      <c r="C20" s="1552"/>
    </row>
    <row r="21" spans="1:3">
      <c r="A21" s="8" t="s">
        <v>122</v>
      </c>
      <c r="B21" s="8" t="s">
        <v>2988</v>
      </c>
      <c r="C21" s="1552"/>
    </row>
    <row r="22" spans="1:3">
      <c r="A22" s="8" t="s">
        <v>123</v>
      </c>
      <c r="B22" s="8" t="s">
        <v>2989</v>
      </c>
      <c r="C22" s="1552"/>
    </row>
    <row r="23" spans="1:3">
      <c r="A23" s="8" t="s">
        <v>124</v>
      </c>
      <c r="B23" s="8" t="s">
        <v>2990</v>
      </c>
      <c r="C23" s="1552"/>
    </row>
    <row r="24" spans="1:3">
      <c r="A24" s="8" t="s">
        <v>12</v>
      </c>
      <c r="B24" s="8" t="s">
        <v>2991</v>
      </c>
      <c r="C24" s="1552"/>
    </row>
    <row r="25" spans="1:3">
      <c r="A25" s="8" t="s">
        <v>125</v>
      </c>
      <c r="B25" s="8" t="s">
        <v>2992</v>
      </c>
      <c r="C25" s="1552"/>
    </row>
    <row r="26" spans="1:3">
      <c r="A26" s="8" t="s">
        <v>126</v>
      </c>
      <c r="B26" s="8" t="s">
        <v>2994</v>
      </c>
      <c r="C26" s="1552"/>
    </row>
    <row r="27" spans="1:3">
      <c r="A27" s="8" t="s">
        <v>1642</v>
      </c>
      <c r="B27" s="8" t="s">
        <v>2995</v>
      </c>
      <c r="C27" s="1552"/>
    </row>
    <row r="28" spans="1:3">
      <c r="A28" s="8" t="s">
        <v>1642</v>
      </c>
      <c r="B28" s="8" t="s">
        <v>2996</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87"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4日，在规划利用条件下、设定土地开发程度为红线外“七通”、宗地内场地，设定用途为，剩余土地使用年限为的出让国有建设用地使用权价格。</v>
      </c>
      <c r="D53" s="1766"/>
      <c r="E53" s="1766"/>
    </row>
    <row r="54" spans="1:5">
      <c r="A54" s="3287"/>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87"/>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87"/>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87"/>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2052</v>
      </c>
      <c r="B58" s="1765" t="s">
        <v>2053</v>
      </c>
      <c r="C58" s="11" t="s">
        <v>2054</v>
      </c>
      <c r="D58" s="1316"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vt:lpstr>
      <vt:lpstr>系统读取表</vt:lpstr>
      <vt:lpstr>结果表汇总</vt:lpstr>
      <vt:lpstr>结果表</vt:lpstr>
      <vt:lpstr>基准地价-住宅</vt:lpstr>
      <vt:lpstr>剩余法-住宅</vt:lpstr>
      <vt:lpstr>收益还原法-住宅</vt:lpstr>
      <vt:lpstr>基准地价-商业</vt:lpstr>
      <vt:lpstr>剩余法-商业</vt:lpstr>
      <vt:lpstr>收益还原法-商业</vt:lpstr>
      <vt:lpstr>基准地价-办公</vt:lpstr>
      <vt:lpstr>剩余法-办公</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收益还原法-办公</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商品房</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2019-07-09T10:06:37Z</dcterms:modified>
</cp:coreProperties>
</file>