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4-1-0731北京市朝阳区广渠路25号院1号楼17层2单元2001号\"/>
    </mc:Choice>
  </mc:AlternateContent>
  <bookViews>
    <workbookView xWindow="0" yWindow="0" windowWidth="19560" windowHeight="1310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Sheet2"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I27" i="21"/>
  <c r="I6" i="21"/>
  <c r="G27" i="21"/>
  <c r="F126" i="21"/>
  <c r="E126" i="21"/>
  <c r="D126" i="21"/>
  <c r="C126" i="21"/>
  <c r="E27" i="21"/>
  <c r="I37" i="21"/>
  <c r="G37" i="21"/>
  <c r="C33" i="21"/>
  <c r="C27"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C6" i="69" l="1"/>
  <c r="L32" i="79"/>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H21" i="33"/>
  <c r="F21" i="33"/>
  <c r="E83" i="21"/>
  <c r="F83" i="21" s="1"/>
  <c r="H1" i="69"/>
  <c r="AC25" i="40"/>
  <c r="U29" i="39"/>
  <c r="W29" i="39"/>
  <c r="U21" i="37"/>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O5" i="3" s="1"/>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S5" i="3" s="1"/>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B5"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F12" i="39" s="1"/>
  <c r="S12" i="39" s="1"/>
  <c r="J12" i="39"/>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c r="B110" i="37"/>
  <c r="J39" i="37" s="1"/>
  <c r="AC39" i="37" s="1"/>
  <c r="B108" i="37"/>
  <c r="C23" i="37"/>
  <c r="C19" i="37"/>
  <c r="C17" i="37"/>
  <c r="C15" i="37"/>
  <c r="B112" i="37"/>
  <c r="J40" i="37" s="1"/>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B126" i="33"/>
  <c r="B98" i="33"/>
  <c r="B96" i="33"/>
  <c r="J30" i="33" s="1"/>
  <c r="B94" i="33"/>
  <c r="F29" i="33" s="1"/>
  <c r="S29" i="33" s="1"/>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H31" i="21"/>
  <c r="B96" i="21"/>
  <c r="B94" i="21"/>
  <c r="J29" i="21"/>
  <c r="AC29" i="2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AC26" i="21" s="1"/>
  <c r="AB41" i="21"/>
  <c r="S41" i="21"/>
  <c r="AA41" i="21"/>
  <c r="F45" i="39"/>
  <c r="S45" i="39" s="1"/>
  <c r="J45" i="39"/>
  <c r="W45" i="39" s="1"/>
  <c r="J44" i="39"/>
  <c r="AC44" i="39"/>
  <c r="J35" i="39"/>
  <c r="AC35" i="39" s="1"/>
  <c r="F35" i="39"/>
  <c r="AA35" i="39"/>
  <c r="U9" i="39"/>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U35" i="33"/>
  <c r="S40" i="33"/>
  <c r="W33" i="33"/>
  <c r="W39" i="33"/>
  <c r="H39" i="37"/>
  <c r="AB39" i="37"/>
  <c r="S27" i="35"/>
  <c r="F11" i="40"/>
  <c r="AA11" i="40"/>
  <c r="H11" i="40"/>
  <c r="AB11" i="40" s="1"/>
  <c r="AA9" i="40"/>
  <c r="U9" i="40"/>
  <c r="W31" i="40"/>
  <c r="U34" i="40"/>
  <c r="F42" i="39"/>
  <c r="AA42" i="39" s="1"/>
  <c r="F41" i="39"/>
  <c r="S41" i="39" s="1"/>
  <c r="H40" i="39"/>
  <c r="AB40" i="39" s="1"/>
  <c r="H39" i="39"/>
  <c r="U39" i="39" s="1"/>
  <c r="S38" i="39"/>
  <c r="S34"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c r="H23" i="40"/>
  <c r="AB23" i="40" s="1"/>
  <c r="H17" i="40"/>
  <c r="U17" i="40" s="1"/>
  <c r="J15" i="40"/>
  <c r="W15" i="40" s="1"/>
  <c r="J11" i="40"/>
  <c r="W11" i="40"/>
  <c r="AB8" i="39"/>
  <c r="AB12" i="36"/>
  <c r="S44" i="39"/>
  <c r="J34" i="36"/>
  <c r="W34" i="36" s="1"/>
  <c r="U30" i="36"/>
  <c r="J30" i="35"/>
  <c r="W30" i="35" s="1"/>
  <c r="H30" i="35"/>
  <c r="AB30" i="35" s="1"/>
  <c r="F22" i="35"/>
  <c r="AA22" i="35" s="1"/>
  <c r="H10" i="35"/>
  <c r="U10" i="35" s="1"/>
  <c r="W30" i="36"/>
  <c r="H16" i="36"/>
  <c r="AB16" i="36" s="1"/>
  <c r="J29" i="36"/>
  <c r="AC29" i="36" s="1"/>
  <c r="F12" i="36"/>
  <c r="S12" i="36" s="1"/>
  <c r="F24" i="36"/>
  <c r="AA24" i="36"/>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E119" i="21"/>
  <c r="F119" i="21" s="1"/>
  <c r="G119" i="21" s="1"/>
  <c r="H119" i="21" s="1"/>
  <c r="I119" i="21" s="1"/>
  <c r="J119" i="21" s="1"/>
  <c r="K119" i="21" s="1"/>
  <c r="L119" i="21" s="1"/>
  <c r="M119" i="21" s="1"/>
  <c r="H26" i="33"/>
  <c r="U26" i="33"/>
  <c r="H28" i="33"/>
  <c r="U28" i="33" s="1"/>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S31" i="21"/>
  <c r="F27" i="33"/>
  <c r="AA27" i="33" s="1"/>
  <c r="J13" i="33"/>
  <c r="H13" i="33"/>
  <c r="U13" i="33" s="1"/>
  <c r="F13" i="33"/>
  <c r="S13" i="33" s="1"/>
  <c r="J29" i="33"/>
  <c r="H29" i="33"/>
  <c r="U29" i="33" s="1"/>
  <c r="J31" i="33"/>
  <c r="W31" i="33"/>
  <c r="H31" i="33"/>
  <c r="F31" i="33"/>
  <c r="J45" i="33"/>
  <c r="W45" i="33" s="1"/>
  <c r="F14" i="34"/>
  <c r="H14" i="34"/>
  <c r="H30" i="34"/>
  <c r="F30" i="34"/>
  <c r="S30" i="34" s="1"/>
  <c r="J30" i="34"/>
  <c r="H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AC40" i="37"/>
  <c r="F40" i="37"/>
  <c r="AA40" i="37" s="1"/>
  <c r="H14" i="33"/>
  <c r="U14" i="33" s="1"/>
  <c r="F14" i="33"/>
  <c r="S14" i="33"/>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c r="H45" i="34"/>
  <c r="U45" i="34" s="1"/>
  <c r="W45" i="34"/>
  <c r="F45" i="34"/>
  <c r="S45" i="34" s="1"/>
  <c r="H47" i="34"/>
  <c r="U47" i="34" s="1"/>
  <c r="F47" i="34"/>
  <c r="S47" i="34" s="1"/>
  <c r="J47" i="34"/>
  <c r="AC47" i="34" s="1"/>
  <c r="J13" i="35"/>
  <c r="AC13" i="35"/>
  <c r="H13" i="35"/>
  <c r="U13" i="35" s="1"/>
  <c r="J25" i="35"/>
  <c r="W25" i="35"/>
  <c r="F25" i="35"/>
  <c r="S25" i="35" s="1"/>
  <c r="H25" i="35"/>
  <c r="AB25" i="35" s="1"/>
  <c r="F35" i="35"/>
  <c r="AA35" i="35" s="1"/>
  <c r="J25" i="36"/>
  <c r="W25" i="36" s="1"/>
  <c r="F25" i="36"/>
  <c r="S25" i="36" s="1"/>
  <c r="H25" i="36"/>
  <c r="AB25" i="36"/>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S11" i="36"/>
  <c r="AB46" i="34"/>
  <c r="AC28" i="21"/>
  <c r="BA585" i="3"/>
  <c r="F17" i="21"/>
  <c r="AA17" i="21" s="1"/>
  <c r="H17" i="21"/>
  <c r="AB17" i="21" s="1"/>
  <c r="F15" i="21"/>
  <c r="S15" i="21" s="1"/>
  <c r="J41" i="39"/>
  <c r="W41" i="39" s="1"/>
  <c r="W44" i="39"/>
  <c r="S35" i="39"/>
  <c r="G544" i="3"/>
  <c r="G540" i="3"/>
  <c r="G536" i="3"/>
  <c r="G535" i="3"/>
  <c r="G531" i="3"/>
  <c r="G528" i="3"/>
  <c r="G527" i="3"/>
  <c r="G518" i="3"/>
  <c r="G514" i="3"/>
  <c r="G508" i="3"/>
  <c r="G504" i="3"/>
  <c r="G500" i="3"/>
  <c r="G584" i="3"/>
  <c r="G580" i="3"/>
  <c r="G576" i="3"/>
  <c r="G564" i="3"/>
  <c r="G560" i="3"/>
  <c r="G554" i="3"/>
  <c r="G550" i="3"/>
  <c r="BL584" i="3"/>
  <c r="BL576"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AZ558" i="3" s="1"/>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c r="BQ579" i="3"/>
  <c r="BQ577" i="3"/>
  <c r="BQ575" i="3"/>
  <c r="BL575" i="3"/>
  <c r="BQ573" i="3"/>
  <c r="BQ571" i="3"/>
  <c r="BQ569" i="3"/>
  <c r="BL569" i="3" s="1"/>
  <c r="BQ567" i="3"/>
  <c r="BQ565" i="3"/>
  <c r="BL565" i="3" s="1"/>
  <c r="AZ565" i="3"/>
  <c r="BQ563" i="3"/>
  <c r="BL563" i="3"/>
  <c r="BQ561" i="3"/>
  <c r="BL561" i="3"/>
  <c r="AZ561" i="3" s="1"/>
  <c r="BQ559" i="3"/>
  <c r="BL559" i="3" s="1"/>
  <c r="AZ559" i="3"/>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c r="BQ521" i="3"/>
  <c r="BL520" i="3"/>
  <c r="G519" i="3"/>
  <c r="G515" i="3"/>
  <c r="G513" i="3"/>
  <c r="BQ519" i="3"/>
  <c r="BQ517" i="3"/>
  <c r="BL517" i="3"/>
  <c r="BQ515" i="3"/>
  <c r="BQ513" i="3"/>
  <c r="BL513" i="3"/>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H31" i="40"/>
  <c r="U31" i="40" s="1"/>
  <c r="F32" i="40"/>
  <c r="S32" i="40" s="1"/>
  <c r="H32" i="40"/>
  <c r="AB32" i="40" s="1"/>
  <c r="J36" i="40"/>
  <c r="W36" i="40"/>
  <c r="H19" i="37"/>
  <c r="AB19" i="37" s="1"/>
  <c r="H42" i="33"/>
  <c r="AB42" i="33" s="1"/>
  <c r="J43" i="33"/>
  <c r="AC43" i="33"/>
  <c r="S28" i="31"/>
  <c r="S27" i="31"/>
  <c r="S26" i="31"/>
  <c r="U14" i="40"/>
  <c r="U39" i="37"/>
  <c r="U26" i="37"/>
  <c r="W47" i="34"/>
  <c r="AA13" i="33"/>
  <c r="AC31" i="33"/>
  <c r="AC45" i="33"/>
  <c r="U11" i="33"/>
  <c r="U19"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AB44" i="39"/>
  <c r="U44"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c r="F11" i="39"/>
  <c r="S11" i="39" s="1"/>
  <c r="AA11" i="39"/>
  <c r="G4" i="4"/>
  <c r="I4" i="4"/>
  <c r="F61" i="43"/>
  <c r="H64" i="43" s="1"/>
  <c r="BL549"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68"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AZ315" i="3"/>
  <c r="G316" i="3"/>
  <c r="BA318" i="3"/>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37" i="3"/>
  <c r="AZ245" i="3"/>
  <c r="AZ257" i="3"/>
  <c r="AZ265" i="3"/>
  <c r="BA379" i="3"/>
  <c r="AZ379" i="3" s="1"/>
  <c r="BL380" i="3"/>
  <c r="G381" i="3"/>
  <c r="BA383" i="3"/>
  <c r="AZ383" i="3" s="1"/>
  <c r="BL384" i="3"/>
  <c r="AZ384" i="3" s="1"/>
  <c r="G385" i="3"/>
  <c r="BA387" i="3"/>
  <c r="AZ387" i="3" s="1"/>
  <c r="BL388" i="3"/>
  <c r="G389" i="3"/>
  <c r="BA391" i="3"/>
  <c r="BL392" i="3"/>
  <c r="AZ392" i="3" s="1"/>
  <c r="G393" i="3"/>
  <c r="AZ28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8" i="1"/>
  <c r="G10" i="1"/>
  <c r="AC11" i="39"/>
  <c r="AZ563" i="3"/>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72" i="3"/>
  <c r="AZ82" i="3"/>
  <c r="AZ94"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Z433" i="3"/>
  <c r="W12" i="33"/>
  <c r="AC12" i="33"/>
  <c r="AA32" i="36"/>
  <c r="S32" i="36"/>
  <c r="AZ437" i="3"/>
  <c r="BL14" i="3"/>
  <c r="U30" i="33"/>
  <c r="AC13" i="34"/>
  <c r="AA47" i="34"/>
  <c r="W28" i="37"/>
  <c r="S19" i="39"/>
  <c r="F12" i="33"/>
  <c r="AA12" i="33" s="1"/>
  <c r="H12" i="39"/>
  <c r="AB12" i="39"/>
  <c r="F39" i="40"/>
  <c r="BA14" i="3"/>
  <c r="AZ22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AA12" i="39"/>
  <c r="S9" i="39"/>
  <c r="AC13" i="39"/>
  <c r="U12" i="39"/>
  <c r="S23" i="36"/>
  <c r="U13" i="36"/>
  <c r="U26" i="36"/>
  <c r="AA26" i="36"/>
  <c r="AA34" i="36"/>
  <c r="AC26" i="36"/>
  <c r="W14" i="36"/>
  <c r="U22" i="36"/>
  <c r="S16" i="36"/>
  <c r="AA25" i="36"/>
  <c r="S24" i="36"/>
  <c r="U24" i="36"/>
  <c r="AB20" i="36"/>
  <c r="U16" i="36"/>
  <c r="S14" i="36"/>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F81" i="33"/>
  <c r="G81" i="33" s="1"/>
  <c r="F19" i="33"/>
  <c r="S19" i="33" s="1"/>
  <c r="W19" i="33"/>
  <c r="J17" i="33"/>
  <c r="F79" i="33"/>
  <c r="G79" i="33" s="1"/>
  <c r="S15" i="33"/>
  <c r="W15" i="33"/>
  <c r="U9" i="33"/>
  <c r="J10" i="33"/>
  <c r="W10" i="33" s="1"/>
  <c r="H10" i="33"/>
  <c r="U10" i="33" s="1"/>
  <c r="AC11" i="33"/>
  <c r="AB14" i="33"/>
  <c r="W43" i="21"/>
  <c r="W41"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9" i="36"/>
  <c r="W22" i="36"/>
  <c r="AB20" i="35"/>
  <c r="AC25" i="35"/>
  <c r="U25" i="35"/>
  <c r="U24" i="35"/>
  <c r="S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I101" i="21"/>
  <c r="J101" i="21" s="1"/>
  <c r="K101" i="21" s="1"/>
  <c r="L101" i="21" s="1"/>
  <c r="M101" i="21" s="1"/>
  <c r="F33" i="21"/>
  <c r="AA33" i="21" s="1"/>
  <c r="J33" i="21"/>
  <c r="AC33" i="21" s="1"/>
  <c r="H33" i="21"/>
  <c r="AB33" i="21" s="1"/>
  <c r="F37" i="21"/>
  <c r="AA37" i="21" s="1"/>
  <c r="AB14" i="21"/>
  <c r="U40" i="21"/>
  <c r="AB31" i="21"/>
  <c r="U31" i="21"/>
  <c r="AC15" i="21"/>
  <c r="U13" i="21"/>
  <c r="AB13" i="21"/>
  <c r="J37" i="21"/>
  <c r="W37" i="21" s="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19" i="37"/>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U23" i="33"/>
  <c r="F23" i="33"/>
  <c r="AA19" i="33"/>
  <c r="H19" i="33"/>
  <c r="AB19" i="33" s="1"/>
  <c r="H17" i="33"/>
  <c r="U17" i="33" s="1"/>
  <c r="F17" i="33"/>
  <c r="S17" i="33" s="1"/>
  <c r="W17" i="33"/>
  <c r="AC17" i="33"/>
  <c r="AA23" i="21"/>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F7" i="67"/>
  <c r="M26" i="67"/>
  <c r="F40" i="67"/>
  <c r="B13" i="76"/>
  <c r="F13" i="15"/>
  <c r="E8" i="76"/>
  <c r="F6" i="15"/>
  <c r="M8" i="67"/>
  <c r="AO13" i="1"/>
  <c r="F6" i="73"/>
  <c r="D6" i="73"/>
  <c r="L47" i="67"/>
  <c r="M23" i="67"/>
  <c r="M9" i="67"/>
  <c r="F7" i="73"/>
  <c r="B11" i="76"/>
  <c r="L47" i="15"/>
  <c r="L48" i="67"/>
  <c r="E13" i="76"/>
  <c r="F5" i="73"/>
  <c r="B12" i="76"/>
  <c r="D34" i="9"/>
  <c r="B7" i="76"/>
  <c r="F4" i="73"/>
  <c r="E11" i="76"/>
  <c r="E10" i="76"/>
  <c r="B10" i="76"/>
  <c r="F38" i="67"/>
  <c r="M28" i="15"/>
  <c r="F3" i="73"/>
  <c r="B8" i="76"/>
  <c r="E9" i="76"/>
  <c r="F26" i="67"/>
  <c r="E12" i="76"/>
  <c r="F36" i="67"/>
  <c r="E7" i="76"/>
  <c r="M22" i="67"/>
  <c r="E2" i="68"/>
  <c r="F20" i="31"/>
  <c r="C76" i="67"/>
  <c r="M8" i="15"/>
  <c r="E2" i="69"/>
  <c r="F7" i="15"/>
  <c r="F37" i="67"/>
  <c r="D35" i="9"/>
  <c r="M24" i="15"/>
  <c r="U17" i="21" l="1"/>
  <c r="S17" i="21"/>
  <c r="W44" i="21"/>
  <c r="AB44" i="21"/>
  <c r="S44" i="21"/>
  <c r="F26" i="21"/>
  <c r="S26" i="21" s="1"/>
  <c r="W26"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69" i="3"/>
  <c r="AZ516" i="3"/>
  <c r="AZ566" i="3"/>
  <c r="H13" i="40"/>
  <c r="U33" i="40"/>
  <c r="S38" i="37"/>
  <c r="U17" i="34"/>
  <c r="AB17" i="34"/>
  <c r="J45" i="21"/>
  <c r="F45" i="21"/>
  <c r="AA40" i="21"/>
  <c r="S40" i="21"/>
  <c r="B101" i="43"/>
  <c r="B79" i="43"/>
  <c r="AA28" i="34"/>
  <c r="S28" i="34"/>
  <c r="H12" i="35"/>
  <c r="J12" i="40"/>
  <c r="F12" i="40"/>
  <c r="BA569" i="3"/>
  <c r="BL568" i="3"/>
  <c r="BA568" i="3"/>
  <c r="BA567" i="3"/>
  <c r="BL566" i="3"/>
  <c r="AZ14" i="3"/>
  <c r="AZ503" i="3"/>
  <c r="AZ524" i="3"/>
  <c r="AZ570"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AZ572" i="3" s="1"/>
  <c r="BL571" i="3"/>
  <c r="BA571" i="3"/>
  <c r="AZ571" i="3" s="1"/>
  <c r="BL570" i="3"/>
  <c r="BL554" i="3"/>
  <c r="AZ554" i="3" s="1"/>
  <c r="BL552" i="3"/>
  <c r="BA552" i="3"/>
  <c r="AZ552" i="3" s="1"/>
  <c r="BL551" i="3"/>
  <c r="BA551" i="3"/>
  <c r="AZ551" i="3" s="1"/>
  <c r="BA550" i="3"/>
  <c r="BA549" i="3"/>
  <c r="AZ549" i="3" s="1"/>
  <c r="BL548" i="3"/>
  <c r="BA548" i="3"/>
  <c r="AZ548" i="3" s="1"/>
  <c r="BA547" i="3"/>
  <c r="AZ547" i="3" s="1"/>
  <c r="BL546" i="3"/>
  <c r="AZ546" i="3" s="1"/>
  <c r="BA545" i="3"/>
  <c r="BL544" i="3"/>
  <c r="AZ544" i="3" s="1"/>
  <c r="BL542" i="3"/>
  <c r="BA542" i="3"/>
  <c r="AZ542" i="3" s="1"/>
  <c r="BL541" i="3"/>
  <c r="BA541" i="3"/>
  <c r="BL540" i="3"/>
  <c r="AZ540" i="3" s="1"/>
  <c r="BA538" i="3"/>
  <c r="AZ538" i="3" s="1"/>
  <c r="BL537" i="3"/>
  <c r="BA537" i="3"/>
  <c r="AZ537" i="3" s="1"/>
  <c r="BA536" i="3"/>
  <c r="AZ536" i="3" s="1"/>
  <c r="BA535" i="3"/>
  <c r="BA534" i="3"/>
  <c r="AZ534" i="3" s="1"/>
  <c r="BL533" i="3"/>
  <c r="AZ533" i="3" s="1"/>
  <c r="BA533" i="3"/>
  <c r="BL532" i="3"/>
  <c r="AZ532" i="3" s="1"/>
  <c r="BL530" i="3"/>
  <c r="BA530" i="3"/>
  <c r="AZ530" i="3" s="1"/>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AZ497" i="3" s="1"/>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448"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G451" i="3"/>
  <c r="BL452" i="3"/>
  <c r="G455" i="3"/>
  <c r="BA458" i="3"/>
  <c r="AZ458" i="3" s="1"/>
  <c r="BA459" i="3"/>
  <c r="AZ459" i="3" s="1"/>
  <c r="G463" i="3"/>
  <c r="BL463" i="3"/>
  <c r="G465" i="3"/>
  <c r="BL466" i="3"/>
  <c r="AZ466" i="3" s="1"/>
  <c r="G468" i="3"/>
  <c r="G469" i="3"/>
  <c r="BL470" i="3"/>
  <c r="BA480" i="3"/>
  <c r="AZ480" i="3" s="1"/>
  <c r="BL487" i="3"/>
  <c r="BL308" i="3"/>
  <c r="AZ308" i="3" s="1"/>
  <c r="G387" i="3"/>
  <c r="G215" i="3"/>
  <c r="BA231" i="3"/>
  <c r="BL252" i="3"/>
  <c r="BA275" i="3"/>
  <c r="AZ275" i="3" s="1"/>
  <c r="G295" i="3"/>
  <c r="BA125" i="3"/>
  <c r="AZ125" i="3" s="1"/>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AZ270" i="3"/>
  <c r="AZ201"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BA453" i="3"/>
  <c r="BA455" i="3"/>
  <c r="AZ455" i="3" s="1"/>
  <c r="BA457" i="3"/>
  <c r="AZ457" i="3" s="1"/>
  <c r="G460" i="3"/>
  <c r="BL460" i="3"/>
  <c r="BL461" i="3"/>
  <c r="AZ461" i="3" s="1"/>
  <c r="BA464" i="3"/>
  <c r="AZ464" i="3" s="1"/>
  <c r="BA470" i="3"/>
  <c r="BA471" i="3"/>
  <c r="BL476" i="3"/>
  <c r="AZ476" i="3" s="1"/>
  <c r="BL477" i="3"/>
  <c r="BL478" i="3"/>
  <c r="G479" i="3"/>
  <c r="G480" i="3"/>
  <c r="G485" i="3"/>
  <c r="AZ487" i="3"/>
  <c r="BL350" i="3"/>
  <c r="G213" i="3"/>
  <c r="G217" i="3"/>
  <c r="BA235" i="3"/>
  <c r="BL254" i="3"/>
  <c r="BL272" i="3"/>
  <c r="AZ294" i="3"/>
  <c r="BA301" i="3"/>
  <c r="AZ301" i="3" s="1"/>
  <c r="BL122" i="3"/>
  <c r="G128" i="3"/>
  <c r="BL146" i="3"/>
  <c r="AZ146" i="3" s="1"/>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BL299" i="3"/>
  <c r="BL113" i="3"/>
  <c r="BL115" i="3"/>
  <c r="AZ115" i="3" s="1"/>
  <c r="BA118" i="3"/>
  <c r="AZ118" i="3" s="1"/>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G150" i="3"/>
  <c r="BA189" i="3"/>
  <c r="AZ189" i="3" s="1"/>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G194" i="3"/>
  <c r="BL194" i="3"/>
  <c r="AZ194" i="3" s="1"/>
  <c r="BA198" i="3"/>
  <c r="AZ198" i="3" s="1"/>
  <c r="G199" i="3"/>
  <c r="G205" i="3"/>
  <c r="BL206" i="3"/>
  <c r="BA19" i="3"/>
  <c r="G22" i="3"/>
  <c r="G24" i="3"/>
  <c r="G25" i="3"/>
  <c r="G27" i="3"/>
  <c r="BA27" i="3"/>
  <c r="G30" i="3"/>
  <c r="BL30" i="3"/>
  <c r="BL31" i="3"/>
  <c r="G37" i="3"/>
  <c r="BL40" i="3"/>
  <c r="BL41" i="3"/>
  <c r="BL45" i="3"/>
  <c r="BA48" i="3"/>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P65" i="71"/>
  <c r="P66"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M7" i="15"/>
  <c r="F50" i="15"/>
  <c r="F66" i="67"/>
  <c r="L59" i="15"/>
  <c r="N59" i="15"/>
  <c r="M59" i="15"/>
  <c r="Q71" i="67"/>
  <c r="C27" i="67"/>
  <c r="N59" i="67"/>
  <c r="L59" i="67"/>
  <c r="L58" i="67"/>
  <c r="M59" i="67"/>
  <c r="B13" i="70"/>
  <c r="M7" i="67"/>
  <c r="F50" i="67"/>
  <c r="F68" i="67"/>
  <c r="F64" i="67"/>
  <c r="C36" i="68"/>
  <c r="D9" i="68"/>
  <c r="D9" i="69"/>
  <c r="J15" i="15"/>
  <c r="F9" i="67"/>
  <c r="F9" i="15"/>
  <c r="F26" i="15"/>
  <c r="M26" i="15"/>
  <c r="M9" i="15"/>
  <c r="D3" i="73"/>
  <c r="F43" i="15"/>
  <c r="D5" i="73"/>
  <c r="M29" i="67"/>
  <c r="F43" i="67"/>
  <c r="J15" i="67"/>
  <c r="F16" i="67"/>
  <c r="M24" i="67"/>
  <c r="D7" i="73"/>
  <c r="L48" i="15"/>
  <c r="F42" i="67"/>
  <c r="C36" i="69"/>
  <c r="F40" i="15"/>
  <c r="M6" i="67"/>
  <c r="F37" i="15"/>
  <c r="M28" i="67"/>
  <c r="F6" i="67"/>
  <c r="F36" i="15"/>
  <c r="C76" i="15"/>
  <c r="F42" i="15"/>
  <c r="F8" i="15"/>
  <c r="D4" i="73"/>
  <c r="M6" i="15"/>
  <c r="M23" i="15"/>
  <c r="F8" i="67"/>
  <c r="F13" i="67"/>
  <c r="M22" i="15"/>
  <c r="F16" i="15"/>
  <c r="F38" i="15"/>
  <c r="M29" i="15"/>
  <c r="AA26" i="21" l="1"/>
  <c r="C30" i="69"/>
  <c r="C48" i="69"/>
  <c r="C30" i="68"/>
  <c r="C48" i="68"/>
  <c r="F48" i="9"/>
  <c r="O52" i="9" s="1"/>
  <c r="F30" i="11"/>
  <c r="F31" i="12"/>
  <c r="C31" i="12" s="1"/>
  <c r="M18" i="15"/>
  <c r="D68" i="9"/>
  <c r="E26" i="43"/>
  <c r="G26" i="43"/>
  <c r="N94" i="46"/>
  <c r="F26" i="43"/>
  <c r="D26" i="43" s="1"/>
  <c r="C25" i="43" s="1"/>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5" i="3" s="1"/>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75" i="3"/>
  <c r="R6" i="3"/>
  <c r="E541" i="3"/>
  <c r="E449" i="3"/>
  <c r="I3" i="6"/>
  <c r="E435" i="3"/>
  <c r="E417" i="3"/>
  <c r="E56" i="3"/>
  <c r="E192" i="3"/>
  <c r="E241" i="3"/>
  <c r="E363" i="3"/>
  <c r="E76" i="3"/>
  <c r="E409" i="3"/>
  <c r="E425" i="3"/>
  <c r="E64" i="3"/>
  <c r="E103" i="3"/>
  <c r="E267" i="3"/>
  <c r="E300" i="3"/>
  <c r="E310" i="3"/>
  <c r="E23" i="3"/>
  <c r="E67" i="3"/>
  <c r="E144" i="3"/>
  <c r="E233" i="3"/>
  <c r="E381" i="3"/>
  <c r="E63" i="3"/>
  <c r="E264" i="3"/>
  <c r="E309" i="3"/>
  <c r="E21" i="3"/>
  <c r="E198"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S7" i="36"/>
  <c r="AA7" i="36"/>
  <c r="R36" i="36" s="1"/>
  <c r="AC7" i="37"/>
  <c r="W7" i="37"/>
  <c r="F7" i="33"/>
  <c r="E58" i="21"/>
  <c r="W7" i="36"/>
  <c r="F7" i="37"/>
  <c r="M17" i="67"/>
  <c r="M17" i="15"/>
  <c r="P28" i="43"/>
  <c r="B66" i="40" s="1"/>
  <c r="P25" i="43"/>
  <c r="P29" i="43"/>
  <c r="P27" i="43"/>
  <c r="B70" i="39" s="1"/>
  <c r="Q60" i="67"/>
  <c r="Q73" i="67"/>
  <c r="M11" i="67"/>
  <c r="J10" i="67" s="1"/>
  <c r="F11" i="15"/>
  <c r="M11" i="15"/>
  <c r="J10" i="15" s="1"/>
  <c r="F11" i="67"/>
  <c r="C32" i="15"/>
  <c r="F1" i="67"/>
  <c r="Q52" i="67"/>
  <c r="Q61" i="67"/>
  <c r="Q74" i="67"/>
  <c r="Q74" i="15"/>
  <c r="Q61" i="15"/>
  <c r="AE11" i="1"/>
  <c r="AE6" i="1"/>
  <c r="AE9" i="1"/>
  <c r="F27" i="68"/>
  <c r="AE7" i="1"/>
  <c r="AE8" i="1"/>
  <c r="AE12" i="1"/>
  <c r="AE10" i="1"/>
  <c r="F27" i="69"/>
  <c r="G1" i="73"/>
  <c r="F41" i="67"/>
  <c r="C16" i="67"/>
  <c r="C16" i="15"/>
  <c r="Q73" i="15" l="1"/>
  <c r="J18" i="15"/>
  <c r="C48" i="11"/>
  <c r="C30" i="11"/>
  <c r="C47" i="69"/>
  <c r="D45" i="69" s="1"/>
  <c r="C29" i="69"/>
  <c r="D27" i="69" s="1"/>
  <c r="F45" i="69"/>
  <c r="H10" i="39"/>
  <c r="U10" i="39" s="1"/>
  <c r="H10" i="40"/>
  <c r="AB10" i="40" s="1"/>
  <c r="J10" i="40"/>
  <c r="AC10" i="40" s="1"/>
  <c r="F59" i="67"/>
  <c r="J10" i="39"/>
  <c r="W10" i="39" s="1"/>
  <c r="AC6" i="3"/>
  <c r="E389" i="3"/>
  <c r="E95" i="3"/>
  <c r="E554" i="3"/>
  <c r="E442" i="3"/>
  <c r="E536" i="3"/>
  <c r="J5" i="15"/>
  <c r="J24" i="15" s="1"/>
  <c r="F1" i="15"/>
  <c r="C49" i="15"/>
  <c r="Q52" i="15"/>
  <c r="U7" i="36"/>
  <c r="J5" i="67"/>
  <c r="J24" i="67" s="1"/>
  <c r="AY6" i="3"/>
  <c r="E3" i="6"/>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F22" i="68" l="1"/>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8"/>
  <c r="C17" i="15"/>
  <c r="C17" i="67"/>
  <c r="C14" i="67"/>
  <c r="D10" i="69"/>
  <c r="C34" i="69"/>
  <c r="C44" i="68" l="1"/>
  <c r="D41" i="68" s="1"/>
  <c r="C44" i="11"/>
  <c r="D41" i="11" s="1"/>
  <c r="C26" i="68"/>
  <c r="D22" i="68" s="1"/>
  <c r="C23" i="68"/>
  <c r="C44" i="69"/>
  <c r="D41" i="69" s="1"/>
  <c r="D30" i="6"/>
  <c r="H21" i="6"/>
  <c r="C26" i="11"/>
  <c r="D22" i="11" s="1"/>
  <c r="C25" i="1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D19" i="71"/>
  <c r="C18"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D102" i="9" l="1"/>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5"/>
  <c r="L51" i="15"/>
  <c r="D2" i="37"/>
  <c r="D2" i="36"/>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10" i="1"/>
  <c r="AO12" i="1"/>
  <c r="AO7" i="1"/>
  <c r="AO11"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I4" i="52"/>
  <c r="C105" i="9"/>
  <c r="N58" i="9"/>
  <c r="P57" i="9"/>
  <c r="D9" i="52"/>
  <c r="C5" i="74"/>
  <c r="H5" i="52"/>
  <c r="D52" i="9"/>
  <c r="D53" i="9"/>
  <c r="D8" i="52"/>
  <c r="D123" i="9"/>
  <c r="N60" i="9"/>
  <c r="N59" i="9"/>
  <c r="N61" i="9"/>
  <c r="B32" i="72"/>
  <c r="B22" i="72"/>
  <c r="B31" i="72"/>
  <c r="M55" i="9"/>
  <c r="H4" i="52"/>
  <c r="C104" i="9"/>
  <c r="H119" i="9"/>
  <c r="C81" i="9"/>
  <c r="C78" i="9"/>
  <c r="C73" i="9"/>
  <c r="B20" i="72"/>
  <c r="D6" i="53"/>
  <c r="D122" i="9"/>
  <c r="D5" i="53"/>
  <c r="M48" i="9"/>
  <c r="D55" i="9"/>
  <c r="M53" i="9"/>
  <c r="N57" i="9"/>
  <c r="B30" i="72"/>
  <c r="D13" i="53"/>
  <c r="D14" i="53"/>
  <c r="D54" i="9"/>
  <c r="E97" i="9"/>
  <c r="F4" i="52"/>
  <c r="B51" i="72"/>
  <c r="C96" i="9"/>
  <c r="E96" i="9"/>
  <c r="C68" i="9"/>
  <c r="C67" i="9"/>
  <c r="D59" i="9"/>
  <c r="C93" i="9"/>
  <c r="C86" i="9"/>
  <c r="C64" i="9"/>
  <c r="C63" i="9"/>
  <c r="C6" i="74"/>
  <c r="H107" i="9"/>
  <c r="H108" i="9"/>
  <c r="D15" i="53"/>
  <c r="D56" i="9"/>
  <c r="M54" i="9"/>
  <c r="F119" i="9"/>
  <c r="F5" i="52"/>
  <c r="B53" i="72"/>
  <c r="H102" i="9"/>
  <c r="D7" i="53"/>
  <c r="B21" i="72"/>
  <c r="C85" i="9"/>
  <c r="C95" i="9"/>
  <c r="C97" i="9"/>
  <c r="D58" i="9"/>
  <c r="D119" i="9"/>
  <c r="D5" i="52"/>
  <c r="B49" i="72"/>
  <c r="D118" i="9"/>
  <c r="D4" i="52"/>
  <c r="B47" i="72"/>
  <c r="E118" i="9"/>
  <c r="E4" i="52"/>
  <c r="B48" i="72"/>
  <c r="F118" i="9"/>
  <c r="G118" i="9"/>
  <c r="G4" i="52"/>
  <c r="B52" i="72"/>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<sst xmlns="http://schemas.openxmlformats.org/spreadsheetml/2006/main" count="7863" uniqueCount="3447">
  <si>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</si>
  <si>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</si>
  <si>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</si>
  <si>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</si>
  <si>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</si>
  <si>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</si>
  <si>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</si>
  <si>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</si>
  <si>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</si>
  <si>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</si>
  <si>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</si>
  <si>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</si>
  <si>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</si>
  <si>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</si>
  <si>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</si>
  <si>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</si>
  <si>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</si>
  <si>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</si>
  <si>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</si>
  <si>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</si>
  <si>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</si>
  <si>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</si>
  <si>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</si>
  <si>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</si>
  <si>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</si>
  <si>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</si>
  <si>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</si>
  <si>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</si>
  <si>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</si>
  <si>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</si>
  <si>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</si>
  <si>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</si>
  <si>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</si>
  <si>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</si>
  <si>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</si>
  <si>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</si>
  <si>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</si>
  <si>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</si>
  <si>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</si>
  <si>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</si>
  <si>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</si>
  <si>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</si>
  <si>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</si>
  <si>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</si>
  <si>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</si>
  <si>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</si>
  <si>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</si>
  <si>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</si>
  <si>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</si>
  <si>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</si>
  <si>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</si>
  <si>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</si>
  <si>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</si>
  <si>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</si>
  <si>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</si>
  <si>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</si>
  <si>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</si>
  <si>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</si>
  <si>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</si>
  <si>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</si>
  <si>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</si>
  <si>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</si>
  <si>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</si>
  <si>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</si>
  <si>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</si>
  <si>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</si>
  <si>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</si>
  <si>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</si>
  <si>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</si>
  <si>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</si>
  <si>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</si>
  <si>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</si>
  <si>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</si>
  <si>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</si>
  <si>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</si>
  <si>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</si>
  <si>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</si>
  <si>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</si>
  <si>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</si>
  <si>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</si>
  <si>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</si>
  <si>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</si>
  <si>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</si>
  <si>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</si>
  <si>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</si>
  <si>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</si>
  <si>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</si>
  <si>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</si>
  <si>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</si>
  <si>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</si>
  <si>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</si>
  <si>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</si>
  <si>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</si>
  <si>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</si>
  <si>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</si>
  <si>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</si>
  <si>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</si>
  <si>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</si>
  <si>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</si>
  <si>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</si>
  <si>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</si>
  <si>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</si>
  <si>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</si>
  <si>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</si>
  <si>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</si>
  <si>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</si>
  <si>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</si>
  <si>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</si>
  <si>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</si>
  <si>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</si>
  <si>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</si>
  <si>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</si>
  <si>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</si>
  <si>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</si>
  <si>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</si>
  <si>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</si>
  <si>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</si>
  <si>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</si>
  <si>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</si>
  <si>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</si>
  <si>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</si>
  <si>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</si>
  <si>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</si>
  <si>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</si>
  <si>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</si>
  <si>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</si>
  <si>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</si>
  <si>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</si>
  <si>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</si>
  <si>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</si>
  <si>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</si>
  <si>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</si>
  <si>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</si>
  <si>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</si>
  <si>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</si>
  <si>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</si>
  <si>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</si>
  <si>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</si>
  <si>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</si>
  <si>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</si>
  <si>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</si>
  <si>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</si>
  <si>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</si>
  <si>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</si>
  <si>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</si>
  <si>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</si>
  <si>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</si>
  <si>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</si>
  <si>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</si>
  <si>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</si>
  <si>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</si>
  <si>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</si>
  <si>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</si>
  <si>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</si>
  <si>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</si>
  <si>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</si>
  <si>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</si>
  <si>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</si>
  <si>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</si>
  <si>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</si>
  <si>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</si>
  <si>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</si>
  <si>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</si>
  <si>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</si>
  <si>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</si>
  <si>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</si>
  <si>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</si>
  <si>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</si>
  <si>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</si>
  <si>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</si>
  <si>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</si>
  <si>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</si>
  <si>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</si>
  <si>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</si>
  <si>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</si>
  <si>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</si>
  <si>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</si>
  <si>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</si>
  <si>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</si>
  <si>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</si>
  <si>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</si>
  <si>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</si>
  <si>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</si>
  <si>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</si>
  <si>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</si>
  <si>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</si>
  <si>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</si>
  <si>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</si>
  <si>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</si>
  <si>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</si>
  <si>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</si>
  <si>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</si>
  <si>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</si>
  <si>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</si>
  <si>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</si>
  <si>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</si>
  <si>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</si>
  <si>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</si>
  <si>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</si>
  <si>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</si>
  <si>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</si>
  <si>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</si>
  <si>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</si>
  <si>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</si>
  <si>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</si>
  <si>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</si>
  <si>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</si>
  <si>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</si>
  <si>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</si>
  <si>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</si>
  <si>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</si>
  <si>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</si>
  <si>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</si>
  <si>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</si>
  <si>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</si>
  <si>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</si>
  <si>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</si>
  <si>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</si>
  <si>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</si>
  <si>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</si>
  <si>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</si>
  <si>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</si>
  <si>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</si>
  <si>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</si>
  <si>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</si>
  <si>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</si>
  <si>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</si>
  <si>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</si>
  <si>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</si>
  <si>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</si>
  <si>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</si>
  <si>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</si>
  <si>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</si>
  <si>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</si>
  <si>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</si>
  <si>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</si>
  <si>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</si>
  <si>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</si>
  <si>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</si>
  <si>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</si>
  <si>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</si>
  <si>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</si>
  <si>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</si>
  <si>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</si>
  <si>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</si>
  <si>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</si>
  <si>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</si>
  <si>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</si>
  <si>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</si>
  <si>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</si>
  <si>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</si>
  <si>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</si>
  <si>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</si>
  <si>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</si>
  <si>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</si>
  <si>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</si>
  <si>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</si>
  <si>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</si>
  <si>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</si>
  <si>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</si>
  <si>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</si>
  <si>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</si>
  <si>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</si>
  <si>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</si>
  <si>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</si>
  <si>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</si>
  <si>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</si>
  <si>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</si>
  <si>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</si>
  <si>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</si>
  <si>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</si>
  <si>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</si>
  <si>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</si>
  <si>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</si>
  <si>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</si>
  <si>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</si>
  <si>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</si>
  <si>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</si>
  <si>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</si>
  <si>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</si>
  <si>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</si>
  <si>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</si>
  <si>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</si>
  <si>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</si>
  <si>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</si>
  <si>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</si>
  <si>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</si>
  <si>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</si>
  <si>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</si>
  <si>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</si>
  <si>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</si>
  <si>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</si>
  <si>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</si>
  <si>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</si>
  <si>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</si>
  <si>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</si>
  <si>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</si>
  <si>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</si>
  <si>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</si>
  <si>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</si>
  <si>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</si>
  <si>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</si>
  <si>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</si>
  <si>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</si>
  <si>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</si>
  <si>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</si>
  <si>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</si>
  <si>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</si>
  <si>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</si>
  <si>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</si>
  <si>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</si>
  <si>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</si>
  <si>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</si>
  <si>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</si>
  <si>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</si>
  <si>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</si>
  <si>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</si>
  <si>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</si>
  <si>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</si>
  <si>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</si>
  <si>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</si>
  <si>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</si>
  <si>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</si>
  <si>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</si>
  <si>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</si>
  <si>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</si>
  <si>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</si>
  <si>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</si>
  <si>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</si>
  <si>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</si>
  <si>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</si>
  <si>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</si>
  <si>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</si>
  <si>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</si>
  <si>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</si>
  <si>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</si>
  <si>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</si>
  <si>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</si>
  <si>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</si>
  <si>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</si>
  <si>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</si>
  <si>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</si>
  <si>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</si>
  <si>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</si>
  <si>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</si>
  <si>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</si>
  <si>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</si>
  <si>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</si>
  <si>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</si>
  <si>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</si>
  <si>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</si>
  <si>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</si>
  <si>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</si>
  <si>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</si>
  <si>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</si>
  <si>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</si>
  <si>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</si>
  <si>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</si>
  <si>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</si>
  <si>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</si>
  <si>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</si>
  <si>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</si>
  <si>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</si>
  <si>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</si>
  <si>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</si>
  <si>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</si>
  <si>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</si>
  <si>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</si>
  <si>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</si>
  <si>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</si>
  <si>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</si>
  <si>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</si>
  <si>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</si>
  <si>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</si>
  <si>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</si>
  <si>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</si>
  <si>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</si>
  <si>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</si>
  <si>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</si>
  <si>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</si>
  <si>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</si>
  <si>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</si>
  <si>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</si>
  <si>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</si>
  <si>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</si>
  <si>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</si>
  <si>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</si>
  <si>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</si>
  <si>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</si>
  <si>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</si>
  <si>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</si>
  <si>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</si>
  <si>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</si>
  <si>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</si>
  <si>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</si>
  <si>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</si>
  <si>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</si>
  <si>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</si>
  <si>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</si>
  <si>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</si>
  <si>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</si>
  <si>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</si>
  <si>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</si>
  <si>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</si>
  <si>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</si>
  <si>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</si>
  <si>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</si>
  <si>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</si>
  <si>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</si>
  <si>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</si>
  <si>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</si>
  <si>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</si>
  <si>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</si>
  <si>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</si>
  <si>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</si>
  <si>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</si>
  <si>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</si>
  <si>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</si>
  <si>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</si>
  <si>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</si>
  <si>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</si>
  <si>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</si>
  <si>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</si>
  <si>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</si>
  <si>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</si>
  <si>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</si>
  <si>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</si>
  <si>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</si>
  <si>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</si>
  <si>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</si>
  <si>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</si>
  <si>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</si>
  <si>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</si>
  <si>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</si>
  <si>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</si>
  <si>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</si>
  <si>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</si>
  <si>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</si>
  <si>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</si>
  <si>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</si>
  <si>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</si>
  <si>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</si>
  <si>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</si>
  <si>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</si>
  <si>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</si>
  <si>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</si>
  <si>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</si>
  <si>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</si>
  <si>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</si>
  <si>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</si>
  <si>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</si>
  <si>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</si>
  <si>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</si>
  <si>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</si>
  <si>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</si>
  <si>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</si>
  <si>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</si>
  <si>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</si>
  <si>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</si>
  <si>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</si>
  <si>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</si>
  <si>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</si>
  <si>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</si>
  <si>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</si>
  <si>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</si>
  <si>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</si>
  <si>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</si>
  <si>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</si>
  <si>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</si>
  <si>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</si>
  <si>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</si>
  <si>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</si>
  <si>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</si>
  <si>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</si>
  <si>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</si>
  <si>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</si>
  <si>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</si>
  <si>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</si>
  <si>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</si>
  <si>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</si>
  <si>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</si>
  <si>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</si>
  <si>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</si>
  <si>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</si>
  <si>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</si>
  <si>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</si>
  <si>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</si>
  <si>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</si>
  <si>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</si>
  <si>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</si>
  <si>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</si>
  <si>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</si>
  <si>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</si>
  <si>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</si>
  <si>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</si>
  <si>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</si>
  <si>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</si>
  <si>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</si>
  <si>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</si>
  <si>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</si>
  <si>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</si>
  <si>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</si>
  <si>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</si>
  <si>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</si>
  <si>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</si>
  <si>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</si>
  <si>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</si>
  <si>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</si>
  <si>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</si>
  <si>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</si>
  <si>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</si>
  <si>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</si>
  <si>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</si>
  <si>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</si>
  <si>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</si>
  <si>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</si>
  <si>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</si>
  <si>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</si>
  <si>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</si>
  <si>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</si>
  <si>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</si>
  <si>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</si>
  <si>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</si>
  <si>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</si>
  <si>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</si>
  <si>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</si>
  <si>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</si>
  <si>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</si>
  <si>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</si>
  <si>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</si>
  <si>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</si>
  <si>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</si>
  <si>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</si>
  <si>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</si>
  <si>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</si>
  <si>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</si>
  <si>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</si>
  <si>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</si>
  <si>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</si>
  <si>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</si>
  <si>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</si>
  <si>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</si>
  <si>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</si>
  <si>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</si>
  <si>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</si>
  <si>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</si>
  <si>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</si>
  <si>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</si>
  <si>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</si>
  <si>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</si>
  <si>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</si>
  <si>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</si>
  <si>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</si>
  <si>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</si>
  <si>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</si>
  <si>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</si>
  <si>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</si>
  <si>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</si>
  <si>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</si>
  <si>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</si>
  <si>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</si>
  <si>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</si>
  <si>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</si>
  <si>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</si>
  <si>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</si>
  <si>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</si>
  <si>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</si>
  <si>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</si>
  <si>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</si>
  <si>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</si>
  <si>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</si>
  <si>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</si>
  <si>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</si>
  <si>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</si>
  <si>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</si>
  <si>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</si>
  <si>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</si>
  <si>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</si>
  <si>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</si>
  <si>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</si>
  <si>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</si>
  <si>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</si>
  <si>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</si>
  <si>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</si>
  <si>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</si>
  <si>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</si>
  <si>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</si>
  <si>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</si>
  <si>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</si>
  <si>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</si>
  <si>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</si>
  <si>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</si>
  <si>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</si>
  <si>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</si>
  <si>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</si>
  <si>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</si>
  <si>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</si>
  <si>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</si>
  <si>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</si>
  <si>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</si>
  <si>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</si>
  <si>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</si>
  <si>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</si>
  <si>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</si>
  <si>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</si>
  <si>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</si>
  <si>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</si>
  <si>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</si>
  <si>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</si>
  <si>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</si>
  <si>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</si>
  <si>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</si>
  <si>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</si>
  <si>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</si>
  <si>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</si>
  <si>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</si>
  <si>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</si>
  <si>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</si>
  <si>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</si>
  <si>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</si>
  <si>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</si>
  <si>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</si>
  <si>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</si>
  <si>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</si>
  <si>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</si>
  <si>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</si>
  <si>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</si>
  <si>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</si>
  <si>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</si>
  <si>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</si>
  <si>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</si>
  <si>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</si>
  <si>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</si>
  <si>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</si>
  <si>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</si>
  <si>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</si>
  <si>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</si>
  <si>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</si>
  <si>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</si>
  <si>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</si>
  <si>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</si>
  <si>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</si>
  <si>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</si>
  <si>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</si>
  <si>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</si>
  <si>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</si>
  <si>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</si>
  <si>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</si>
  <si>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</si>
  <si>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</si>
  <si>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</si>
  <si>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</si>
  <si>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</si>
  <si>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</si>
  <si>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</si>
  <si>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</si>
  <si>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</si>
  <si>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</si>
  <si>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</si>
  <si>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</si>
  <si>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</si>
  <si>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</si>
  <si>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</si>
  <si>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</si>
  <si>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</si>
  <si>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</si>
  <si>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</si>
  <si>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</si>
  <si>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</si>
  <si>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</si>
  <si>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</si>
  <si>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</si>
  <si>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</si>
  <si>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</si>
  <si>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</si>
  <si>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</si>
  <si>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</si>
  <si>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</si>
  <si>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</si>
  <si>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</si>
  <si>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</si>
  <si>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</si>
  <si>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</si>
  <si>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</si>
  <si>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</si>
  <si>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</si>
  <si>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</si>
  <si>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</si>
  <si>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</si>
  <si>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</si>
  <si>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</si>
  <si>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</si>
  <si>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</si>
  <si>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</si>
  <si>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</si>
  <si>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</si>
  <si>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</si>
  <si>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</si>
  <si>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</si>
  <si>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</si>
  <si>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</si>
  <si>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</si>
  <si>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</si>
  <si>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</si>
  <si>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</si>
  <si>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</si>
  <si>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</si>
  <si>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</si>
  <si>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</si>
  <si>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</si>
  <si>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</si>
  <si>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</si>
  <si>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</si>
  <si>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</si>
  <si>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</si>
  <si>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</si>
  <si>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</si>
  <si>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</si>
  <si>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</si>
  <si>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</si>
  <si>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</si>
  <si>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</si>
  <si>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</si>
  <si>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</si>
  <si>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</si>
  <si>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</si>
  <si>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</si>
  <si>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</si>
  <si>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</si>
  <si>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</si>
  <si>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</si>
  <si>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</si>
  <si>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</si>
  <si>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</si>
  <si>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</si>
  <si>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</si>
  <si>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</si>
  <si>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</si>
  <si>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</si>
  <si>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</si>
  <si>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</si>
  <si>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</si>
  <si>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</si>
  <si>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</si>
  <si>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</si>
  <si>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</si>
  <si>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</si>
  <si>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</si>
  <si>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</si>
  <si>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</si>
  <si>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</si>
  <si>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</si>
  <si>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</si>
  <si>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</si>
  <si>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</si>
  <si>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</si>
  <si>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</si>
  <si>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</si>
  <si>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</si>
  <si>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</si>
  <si>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</si>
  <si>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</si>
  <si>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</si>
  <si>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</si>
  <si>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</si>
  <si>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</si>
  <si>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</si>
  <si>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</si>
  <si>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</si>
  <si>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</si>
  <si>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</si>
  <si>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</si>
  <si>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</si>
  <si>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</si>
  <si>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</si>
  <si>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</si>
  <si>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</si>
  <si>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</si>
  <si>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</si>
  <si>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</si>
  <si>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</si>
  <si>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</si>
  <si>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</si>
  <si>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</si>
  <si>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</si>
  <si>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</si>
  <si>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</si>
  <si>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</si>
  <si>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</si>
  <si>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</si>
  <si>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</si>
  <si>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</si>
  <si>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</si>
  <si>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</si>
  <si>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</si>
  <si>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</si>
  <si>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</si>
  <si>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</si>
  <si>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</si>
  <si>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</si>
  <si>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</si>
  <si>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</si>
  <si>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</si>
  <si>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</si>
  <si>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</si>
  <si>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</si>
  <si>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</si>
  <si>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</si>
  <si>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</si>
  <si>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</si>
  <si>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</si>
  <si>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</si>
  <si>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</si>
  <si>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</si>
  <si>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</si>
  <si>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</si>
  <si>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</si>
  <si>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</si>
  <si>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</si>
  <si>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</si>
  <si>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</si>
  <si>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</si>
  <si>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</si>
  <si>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</si>
  <si>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</si>
  <si>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</si>
  <si>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</si>
  <si>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</si>
  <si>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</si>
  <si>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</si>
  <si>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</si>
  <si>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</si>
  <si>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</si>
  <si>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</si>
  <si>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</si>
  <si>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</si>
  <si>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</si>
  <si>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</si>
  <si>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</si>
  <si>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</si>
  <si>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</si>
  <si>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</si>
  <si>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</si>
  <si>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</si>
  <si>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</si>
  <si>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</si>
  <si>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</si>
  <si>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</si>
  <si>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</si>
  <si>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</si>
  <si>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</si>
  <si>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</si>
  <si>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</si>
  <si>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</si>
  <si>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</si>
  <si>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</si>
  <si>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</si>
  <si>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</si>
  <si>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</si>
  <si>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</si>
  <si>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</si>
  <si>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</si>
  <si>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</si>
  <si>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</si>
  <si>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</si>
  <si>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</si>
  <si>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</si>
  <si>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</si>
  <si>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</si>
  <si>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</si>
  <si>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</si>
  <si>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</si>
  <si>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</si>
  <si>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</si>
  <si>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</si>
  <si>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</si>
  <si>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</si>
  <si>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</si>
  <si>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</si>
  <si>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</si>
  <si>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</si>
  <si>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</si>
  <si>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</si>
  <si>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</si>
  <si>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</si>
  <si>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</si>
  <si>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</si>
  <si>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</si>
  <si>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</si>
  <si>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</si>
  <si>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</si>
  <si>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</si>
  <si>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</si>
  <si>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</si>
  <si>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</si>
  <si>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</si>
  <si>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</si>
  <si>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</si>
  <si>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</si>
  <si>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</si>
  <si>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</si>
  <si>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</si>
  <si>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</si>
  <si>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</si>
  <si>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</si>
  <si>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</si>
  <si>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</si>
  <si>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</si>
  <si>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</si>
  <si>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</si>
  <si>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</si>
  <si>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</si>
  <si>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</si>
  <si>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</si>
  <si>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</si>
  <si>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</si>
  <si>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</si>
  <si>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</si>
  <si>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</si>
  <si>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</si>
  <si>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</si>
  <si>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</si>
  <si>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</si>
  <si>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</si>
  <si>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</si>
  <si>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</si>
  <si>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</si>
  <si>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</si>
  <si>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</si>
  <si>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</si>
  <si>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</si>
  <si>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</si>
  <si>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</si>
  <si>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</si>
  <si>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</si>
  <si>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</si>
  <si>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</si>
  <si>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</si>
  <si>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</si>
  <si>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</si>
  <si>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</si>
  <si>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</si>
  <si>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</si>
  <si>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</si>
  <si>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</si>
  <si>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</si>
  <si>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</si>
  <si>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</si>
  <si>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</si>
  <si>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</si>
  <si>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</si>
  <si>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</si>
  <si>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</si>
  <si>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</si>
  <si>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</si>
  <si>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</si>
  <si>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</si>
  <si>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</si>
  <si>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</si>
  <si>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</si>
  <si>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</si>
  <si>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</si>
  <si>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</si>
  <si>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</si>
  <si>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</si>
  <si>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</si>
  <si>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</si>
  <si>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</si>
  <si>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</si>
  <si>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</si>
  <si>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</si>
  <si>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</si>
  <si>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</si>
  <si>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</si>
  <si>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</si>
  <si>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</si>
  <si>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</si>
  <si>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</si>
  <si>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</si>
  <si>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</si>
  <si>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</si>
  <si>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</si>
  <si>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</si>
  <si>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</si>
  <si>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</si>
  <si>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</si>
  <si>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</si>
  <si>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</si>
  <si>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</si>
  <si>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</si>
  <si>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</si>
  <si>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</si>
  <si>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</si>
  <si>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</si>
  <si>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</si>
  <si>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</si>
  <si>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</si>
  <si>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</si>
  <si>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</si>
  <si>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</si>
  <si>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</si>
  <si>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</si>
  <si>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</si>
  <si>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</si>
  <si>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</si>
  <si>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</si>
  <si>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</si>
  <si>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</si>
  <si>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</si>
  <si>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</si>
  <si>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</si>
  <si>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</si>
  <si>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</si>
  <si>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</si>
  <si>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</si>
  <si>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</si>
  <si>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</si>
  <si>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</si>
  <si>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</si>
  <si>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</si>
  <si>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</si>
  <si>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</si>
  <si>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</si>
  <si>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</si>
  <si>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</si>
  <si>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</si>
  <si>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</si>
  <si>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</si>
  <si>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</si>
  <si>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</si>
  <si>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</si>
  <si>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</si>
  <si>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</si>
  <si>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</si>
  <si>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</si>
  <si>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</si>
  <si>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</si>
  <si>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</si>
  <si>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</si>
  <si>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</si>
  <si>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</si>
  <si>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</si>
  <si>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</si>
  <si>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</si>
  <si>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</si>
  <si>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</si>
  <si>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</si>
  <si>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</si>
  <si>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</si>
  <si>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</si>
  <si>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</si>
  <si>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</si>
  <si>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</si>
  <si>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</si>
  <si>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</si>
  <si>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</si>
  <si>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</si>
  <si>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</si>
  <si>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</si>
  <si>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</si>
  <si>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</si>
  <si>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</si>
  <si>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</si>
  <si>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</si>
  <si>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</si>
  <si>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</si>
  <si>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</si>
  <si>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</si>
  <si>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</si>
  <si>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</si>
  <si>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</si>
  <si>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</si>
  <si>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</si>
  <si>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</si>
  <si>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</si>
  <si>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</si>
  <si>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</si>
  <si>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</si>
  <si>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</si>
  <si>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</si>
  <si>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</si>
  <si>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</si>
  <si>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</si>
  <si>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</si>
  <si>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</si>
  <si>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</si>
  <si>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</si>
  <si>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</si>
  <si>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</si>
  <si>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</si>
  <si>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</si>
  <si>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</si>
  <si>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</si>
  <si>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</si>
  <si>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</si>
  <si>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</si>
  <si>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</si>
  <si>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</si>
  <si>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</si>
  <si>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</si>
  <si>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</si>
  <si>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</si>
  <si>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</si>
  <si>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</si>
  <si>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</si>
  <si>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</si>
  <si>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</si>
  <si>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</si>
  <si>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</si>
  <si>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</si>
  <si>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</si>
  <si>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</si>
  <si>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</si>
  <si>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</si>
  <si>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</si>
  <si>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</si>
  <si>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</si>
  <si>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</si>
  <si>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</si>
  <si>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</si>
  <si>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</si>
  <si>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</si>
  <si>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</si>
  <si>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</si>
  <si>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</si>
  <si>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</si>
  <si>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</si>
  <si>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</si>
  <si>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</si>
  <si>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</si>
  <si>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</si>
  <si>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</si>
  <si>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</si>
  <si>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</si>
  <si>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</si>
  <si>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</si>
  <si>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</si>
  <si>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</si>
  <si>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</si>
  <si>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</si>
  <si>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</si>
  <si>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</si>
  <si>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</si>
  <si>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</si>
  <si>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</si>
  <si>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</si>
  <si>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</si>
  <si>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</si>
  <si>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</si>
  <si>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</si>
  <si>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</si>
  <si>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</si>
  <si>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</si>
  <si>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</si>
  <si>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</si>
  <si>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</si>
  <si>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</si>
  <si>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</si>
  <si>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</si>
  <si>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</si>
  <si>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</si>
  <si>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</si>
  <si>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</si>
  <si>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</si>
  <si>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</si>
  <si>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</si>
  <si>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</si>
  <si>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</si>
  <si>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</si>
  <si>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</si>
  <si>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</si>
  <si>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</si>
  <si>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</si>
  <si>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</si>
  <si>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</si>
  <si>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</si>
  <si>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</si>
  <si>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</si>
  <si>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</si>
  <si>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</si>
  <si>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</si>
  <si>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</si>
  <si>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</si>
  <si>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</si>
  <si>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</si>
  <si>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</si>
  <si>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</si>
  <si>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</si>
  <si>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</si>
  <si>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</si>
  <si>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</si>
  <si>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</si>
  <si>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</si>
  <si>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</si>
  <si>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</si>
  <si>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</si>
  <si>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</si>
  <si>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</si>
  <si>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</si>
  <si>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</si>
  <si>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</si>
  <si>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</si>
  <si>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</si>
  <si>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</si>
  <si>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</si>
  <si>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</si>
  <si>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</si>
  <si>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</si>
  <si>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</si>
  <si>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</si>
  <si>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</si>
  <si>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</si>
  <si>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</si>
  <si>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</si>
  <si>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</si>
  <si>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</si>
  <si>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</si>
  <si>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</si>
  <si>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</si>
  <si>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</si>
  <si>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</si>
  <si>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</si>
  <si>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</si>
  <si>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</si>
  <si>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</si>
  <si>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</si>
  <si>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</si>
  <si>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</si>
  <si>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</si>
  <si>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</si>
  <si>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</si>
  <si>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</si>
  <si>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</si>
  <si>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</si>
  <si>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</si>
  <si>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</si>
  <si>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</si>
  <si>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</si>
  <si>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</si>
  <si>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</si>
  <si>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</si>
  <si>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</si>
  <si>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</si>
  <si>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</si>
  <si>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</si>
  <si>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</si>
  <si>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</si>
  <si>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</si>
  <si>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</si>
  <si>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</si>
  <si>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</si>
  <si>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</si>
  <si>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</si>
  <si>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</si>
  <si>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</si>
  <si>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</si>
  <si>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</si>
  <si>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</si>
  <si>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</si>
  <si>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</si>
  <si>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</si>
  <si>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</si>
  <si>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</si>
  <si>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</si>
  <si>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</si>
  <si>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</si>
  <si>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</si>
  <si>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</si>
  <si>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</si>
  <si>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</si>
  <si>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</si>
  <si>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</si>
  <si>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</si>
  <si>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</si>
  <si>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</si>
  <si>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</si>
  <si>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</si>
  <si>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</si>
  <si>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</si>
  <si>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</si>
  <si>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</si>
  <si>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</si>
  <si>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</si>
  <si>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</si>
  <si>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</si>
  <si>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</si>
  <si>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</si>
  <si>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</si>
  <si>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</si>
  <si>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</si>
  <si>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</si>
  <si>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</si>
  <si>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</si>
  <si>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</si>
  <si>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</si>
  <si>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</si>
  <si>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</si>
  <si>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</si>
  <si>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</si>
  <si>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</si>
  <si>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</si>
  <si>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</si>
  <si>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</si>
  <si>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</si>
  <si>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</si>
  <si>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</si>
  <si>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</si>
  <si>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</si>
  <si>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</si>
  <si>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</si>
  <si>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</si>
  <si>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</si>
  <si>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</si>
  <si>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</si>
  <si>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</si>
  <si>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</si>
  <si>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</si>
  <si>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</si>
  <si>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</si>
  <si>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</si>
  <si>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</si>
  <si>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</si>
  <si>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</si>
  <si>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</si>
  <si>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</si>
  <si>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</si>
  <si>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</si>
  <si>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</si>
  <si>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</si>
  <si>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</si>
  <si>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</si>
  <si>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</si>
  <si>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</si>
  <si>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</si>
  <si>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</si>
  <si>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</si>
  <si>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</si>
  <si>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</si>
  <si>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</si>
  <si>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</si>
  <si>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</si>
  <si>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</si>
  <si>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</si>
  <si>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</si>
  <si>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</si>
  <si>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</si>
  <si>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</si>
  <si>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</si>
  <si>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</si>
  <si>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</si>
  <si>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</si>
  <si>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</si>
  <si>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</si>
  <si>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</si>
  <si>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</si>
  <si>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</si>
  <si>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</si>
  <si>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</si>
  <si>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</si>
  <si>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</si>
  <si>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</si>
  <si>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</si>
  <si>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</si>
  <si>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</si>
  <si>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</si>
  <si>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</si>
  <si>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</si>
  <si>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</si>
  <si>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</si>
  <si>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</si>
  <si>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</si>
  <si>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</si>
  <si>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</si>
  <si>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</si>
  <si>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</si>
  <si>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</si>
  <si>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</si>
  <si>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</si>
  <si>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</si>
  <si>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</si>
  <si>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</si>
  <si>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</si>
  <si>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</si>
  <si>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</si>
  <si>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</si>
  <si>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</si>
  <si>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</si>
  <si>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</si>
  <si>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</si>
  <si>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</si>
  <si>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</si>
  <si>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</si>
  <si>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</si>
  <si>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</si>
  <si>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</si>
  <si>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</si>
  <si>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</si>
  <si>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</si>
  <si>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</si>
  <si>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</si>
  <si>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</si>
  <si>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</si>
  <si>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</si>
  <si>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</si>
  <si>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</si>
  <si>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</si>
  <si>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</si>
  <si>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</si>
  <si>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</si>
  <si>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</si>
  <si>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</si>
  <si>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</si>
  <si>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</si>
  <si>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</si>
  <si>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</si>
  <si>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</si>
  <si>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</si>
  <si>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</si>
  <si>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</si>
  <si>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</si>
  <si>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</si>
  <si>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</si>
  <si>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</si>
  <si>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</si>
  <si>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</si>
  <si>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</si>
  <si>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</si>
  <si>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</si>
  <si>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</si>
  <si>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</si>
  <si>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</si>
  <si>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</si>
  <si>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</si>
  <si>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</si>
  <si>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</si>
  <si>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</si>
  <si>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</si>
  <si>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</si>
  <si>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</si>
  <si>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</si>
  <si>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</si>
  <si>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</si>
  <si>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</si>
  <si>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</si>
  <si>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</si>
  <si>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</si>
  <si>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</si>
  <si>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</si>
  <si>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</si>
  <si>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</si>
  <si>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</si>
  <si>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</si>
  <si>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</si>
  <si>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</si>
  <si>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</si>
  <si>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</si>
  <si>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</si>
  <si>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</si>
  <si>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</si>
  <si>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</si>
  <si>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</si>
  <si>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</si>
  <si>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</si>
  <si>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</si>
  <si>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</si>
  <si>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</si>
  <si>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</si>
  <si>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</si>
  <si>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</si>
  <si>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</si>
  <si>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</si>
  <si>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</si>
  <si>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</si>
  <si>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</si>
  <si>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</si>
  <si>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</si>
  <si>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</si>
  <si>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</si>
  <si>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</si>
  <si>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</si>
  <si>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</si>
  <si>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</si>
  <si>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</si>
  <si>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</si>
  <si>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</si>
  <si>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</si>
  <si>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</si>
  <si>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</si>
  <si>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</si>
  <si>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</si>
  <si>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</si>
  <si>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</si>
  <si>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</si>
  <si>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</si>
  <si>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</si>
  <si>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</si>
  <si>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</si>
  <si>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</si>
  <si>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</si>
  <si>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</si>
  <si>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</si>
  <si>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</si>
  <si>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</si>
  <si>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</si>
  <si>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</si>
  <si>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</si>
  <si>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</si>
  <si>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</si>
  <si>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</si>
  <si>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</si>
  <si>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</si>
  <si>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</si>
  <si>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</si>
  <si>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</si>
  <si>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</si>
  <si>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</si>
  <si>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</si>
  <si>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</si>
  <si>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</si>
  <si>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</si>
  <si>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</si>
  <si>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</si>
  <si>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</si>
  <si>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</si>
  <si>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</si>
  <si>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</si>
  <si>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</si>
  <si>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</si>
  <si>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</si>
  <si>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</si>
  <si>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</si>
  <si>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</si>
  <si>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</si>
  <si>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</si>
  <si>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</si>
  <si>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</si>
  <si>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</si>
  <si>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</si>
  <si>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</si>
  <si>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</si>
  <si>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</si>
  <si>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</si>
  <si>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</si>
  <si>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</si>
  <si>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</si>
  <si>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</si>
  <si>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</si>
  <si>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</si>
  <si>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</si>
  <si>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</si>
  <si>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</si>
  <si>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</si>
  <si>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</si>
  <si>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</si>
  <si>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</si>
  <si>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</si>
  <si>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</si>
  <si>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</si>
  <si>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</si>
  <si>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</si>
  <si>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</si>
  <si>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</si>
  <si>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</si>
  <si>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</si>
  <si>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</si>
  <si>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</si>
  <si>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</si>
  <si>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</si>
  <si>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</si>
  <si>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</si>
  <si>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</si>
  <si>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</si>
  <si>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</si>
  <si>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</si>
  <si>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</si>
  <si>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</si>
  <si>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</si>
  <si>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</si>
  <si>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</si>
  <si>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</si>
  <si>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</si>
  <si>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</si>
  <si>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</si>
  <si>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</si>
  <si>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</si>
  <si>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</si>
  <si>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</si>
  <si>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</si>
  <si>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</si>
  <si>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</si>
  <si>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</si>
  <si>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</si>
  <si>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</si>
  <si>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</si>
  <si>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</si>
  <si>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</si>
  <si>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</si>
  <si>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</si>
  <si>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</si>
  <si>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</si>
  <si>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</si>
  <si>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</si>
  <si>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</si>
  <si>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</si>
  <si>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</si>
  <si>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</si>
  <si>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</si>
  <si>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</si>
  <si>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</si>
  <si>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</si>
  <si>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</si>
  <si>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</si>
  <si>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</si>
  <si>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</si>
  <si>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</si>
  <si>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</si>
  <si>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</si>
  <si>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</si>
  <si>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</si>
  <si>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</si>
  <si>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</si>
  <si>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</si>
  <si>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</si>
  <si>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</si>
  <si>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</si>
  <si>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</si>
  <si>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</si>
  <si>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</si>
  <si>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</si>
  <si>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</si>
  <si>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</si>
  <si>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</si>
  <si>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</si>
  <si>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</si>
  <si>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</si>
  <si>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</si>
  <si>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</si>
  <si>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</si>
  <si>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</si>
  <si>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</si>
  <si>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</si>
  <si>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</si>
  <si>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</si>
  <si>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</si>
  <si>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</si>
  <si>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</si>
  <si>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</si>
  <si>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</si>
  <si>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</si>
  <si>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</si>
  <si>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</si>
  <si>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</si>
  <si>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</si>
  <si>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</si>
  <si>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</si>
  <si>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</si>
  <si>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</si>
  <si>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</si>
  <si>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</si>
  <si>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</si>
  <si>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</si>
  <si>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</si>
  <si>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</si>
  <si>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</si>
  <si>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</si>
  <si>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</si>
  <si>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</si>
  <si>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</si>
  <si>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</si>
  <si>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</si>
  <si>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</si>
  <si>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</si>
  <si>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</si>
  <si>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</si>
  <si>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</si>
  <si>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</si>
  <si>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</si>
  <si>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</si>
  <si>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</si>
  <si>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</si>
  <si>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</si>
  <si>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</si>
  <si>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</si>
  <si>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</si>
  <si>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</si>
  <si>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</si>
  <si>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</si>
  <si>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</si>
  <si>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</si>
  <si>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</si>
  <si>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</si>
  <si>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</si>
  <si>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</si>
  <si>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</si>
  <si>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</si>
  <si>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</si>
  <si>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</si>
  <si>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</si>
  <si>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</si>
  <si>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</si>
  <si>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</si>
  <si>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</si>
  <si>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</si>
  <si>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</si>
  <si>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</si>
  <si>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</si>
  <si>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</si>
  <si>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</si>
  <si>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</si>
  <si>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</si>
  <si>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</si>
  <si>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</si>
  <si>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</si>
  <si>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</si>
  <si>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</si>
  <si>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</si>
  <si>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</si>
  <si>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</si>
  <si>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</si>
  <si>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</si>
  <si>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</si>
  <si>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</si>
  <si>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</si>
  <si>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</si>
  <si>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</si>
  <si>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</si>
  <si>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</si>
  <si>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</si>
  <si>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</si>
  <si>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</si>
  <si>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</si>
  <si>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</si>
  <si>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</si>
  <si>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</si>
  <si>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</si>
  <si>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</si>
  <si>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</si>
  <si>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</si>
  <si>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</si>
  <si>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</si>
  <si>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</si>
  <si>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</si>
  <si>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</si>
  <si>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</si>
  <si>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</si>
  <si>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</si>
  <si>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</si>
  <si>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</si>
  <si>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</si>
  <si>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</si>
  <si>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</si>
  <si>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</si>
  <si>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</si>
  <si>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</si>
  <si>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</si>
  <si>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</si>
  <si>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</si>
  <si>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</si>
  <si>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</si>
  <si>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</si>
  <si>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</si>
  <si>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</si>
  <si>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</si>
  <si>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</si>
  <si>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</si>
  <si>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</si>
  <si>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</si>
  <si>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</si>
  <si>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</si>
  <si>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</si>
  <si>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</si>
  <si>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</si>
  <si>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</si>
  <si>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</si>
  <si>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</si>
  <si>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</si>
  <si>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</si>
  <si>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</si>
  <si>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</si>
  <si>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</si>
  <si>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</si>
  <si>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</si>
  <si>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</si>
  <si>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</si>
  <si>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</si>
  <si>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</si>
  <si>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</si>
  <si>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</si>
  <si>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</si>
  <si>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</si>
  <si>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</si>
  <si>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</si>
  <si>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</si>
  <si>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</si>
  <si>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</si>
  <si>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</si>
  <si>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</si>
  <si>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</si>
  <si>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</si>
  <si>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</si>
  <si>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</si>
  <si>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</si>
  <si>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</si>
  <si>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</si>
  <si>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</si>
  <si>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</si>
  <si>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</si>
  <si>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</si>
  <si>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</si>
  <si>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</si>
  <si>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</si>
  <si>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</si>
  <si>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</si>
  <si>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</si>
  <si>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</si>
  <si>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</si>
  <si>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</si>
  <si>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</si>
  <si>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</si>
  <si>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</si>
  <si>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</si>
  <si>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</si>
  <si>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</si>
  <si>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</si>
  <si>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</si>
  <si>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</si>
  <si>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</si>
  <si>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</si>
  <si>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</si>
  <si>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</si>
  <si>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</si>
  <si>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</si>
  <si>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</si>
  <si>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</si>
  <si>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</si>
  <si>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</si>
  <si>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</si>
  <si>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</si>
  <si>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</si>
  <si>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</si>
  <si>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</si>
  <si>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</si>
  <si>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</si>
  <si>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</si>
  <si>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</si>
  <si>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</si>
  <si>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</si>
  <si>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</si>
  <si>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</si>
  <si>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</si>
  <si>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</si>
  <si>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</si>
  <si>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</si>
  <si>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</si>
  <si>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</si>
  <si>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</si>
  <si>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</si>
  <si>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</si>
  <si>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</si>
  <si>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</si>
  <si>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</si>
  <si>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</si>
  <si>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</si>
  <si>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</si>
  <si>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</si>
  <si>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</si>
  <si>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</si>
  <si>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</si>
  <si>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</si>
  <si>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</si>
  <si>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</si>
  <si>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</si>
  <si>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</si>
  <si>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</si>
  <si>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</si>
  <si>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</si>
  <si>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</si>
  <si>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</si>
  <si>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</si>
  <si>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</si>
  <si>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</si>
  <si>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</si>
  <si>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</si>
  <si>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</si>
  <si>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</si>
  <si>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</si>
  <si>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</si>
  <si>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</si>
  <si>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</si>
  <si>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</si>
  <si>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</si>
  <si>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</si>
  <si>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</si>
  <si>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</si>
  <si>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</si>
  <si>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</si>
  <si>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</si>
  <si>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</si>
  <si>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</si>
  <si>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</si>
  <si>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</si>
  <si>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</si>
  <si>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</si>
  <si>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</si>
  <si>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</si>
  <si>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</si>
  <si>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</si>
  <si>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</si>
  <si>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</si>
  <si>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</si>
  <si>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</si>
  <si>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</si>
  <si>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</si>
  <si>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</si>
  <si>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</si>
  <si>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</si>
  <si>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</si>
  <si>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</si>
  <si>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</si>
  <si>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</si>
  <si>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</si>
  <si>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</si>
  <si>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</si>
  <si>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</si>
  <si>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</si>
  <si>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</si>
  <si>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</si>
  <si>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</si>
  <si>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</si>
  <si>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</si>
  <si>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</si>
  <si>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</si>
  <si>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</si>
  <si>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</si>
  <si>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</si>
  <si>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</si>
  <si>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</si>
  <si>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</si>
  <si>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</si>
  <si>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</si>
  <si>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</si>
  <si>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</si>
  <si>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</si>
  <si>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</si>
  <si>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</si>
  <si>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</si>
  <si>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</si>
  <si>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</si>
  <si>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</si>
  <si>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</si>
  <si>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</si>
  <si>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</si>
  <si>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</si>
  <si>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</si>
  <si>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</si>
  <si>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</si>
  <si>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</si>
  <si>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</si>
  <si>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</si>
  <si>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</si>
  <si>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</si>
  <si>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</si>
  <si>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</si>
  <si>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</si>
  <si>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</si>
  <si>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</si>
  <si>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</si>
  <si>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</si>
  <si>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</si>
  <si>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</si>
  <si>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</si>
  <si>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</si>
  <si>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</si>
  <si>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</si>
  <si>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</si>
  <si>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</si>
  <si>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</si>
  <si>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</si>
  <si>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</si>
  <si>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</si>
  <si>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</si>
  <si>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</si>
  <si>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</si>
  <si>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</si>
  <si>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</si>
  <si>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</si>
  <si>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</si>
  <si>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</si>
  <si>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</si>
  <si>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</si>
  <si>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</si>
  <si>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</si>
  <si>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</si>
  <si>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</si>
  <si>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</si>
  <si>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</si>
  <si>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</si>
  <si>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</si>
  <si>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</si>
  <si>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</si>
  <si>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</si>
  <si>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</si>
  <si>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</si>
  <si>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</si>
  <si>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</si>
  <si>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</si>
  <si>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</si>
  <si>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</si>
  <si>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</si>
  <si>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</si>
  <si>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</si>
  <si>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</si>
  <si>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</si>
  <si>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</si>
  <si>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</si>
  <si>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</si>
  <si>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</si>
  <si>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</si>
  <si>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</si>
  <si>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</si>
  <si>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</si>
  <si>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</si>
  <si>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</si>
  <si>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</si>
  <si>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</si>
  <si>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</si>
  <si>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</si>
  <si>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</si>
  <si>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</si>
  <si>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</si>
  <si>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</si>
  <si>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</si>
  <si>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</si>
  <si>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</si>
  <si>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</si>
  <si>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</si>
  <si>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</si>
  <si>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</si>
  <si>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</si>
  <si>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</si>
  <si>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</si>
  <si>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</si>
  <si>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</si>
  <si>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</si>
  <si>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</si>
  <si>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</si>
  <si>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</si>
  <si>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</si>
  <si>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</si>
  <si>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</si>
  <si>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</si>
  <si>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</si>
  <si>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</si>
  <si>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</si>
  <si>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</si>
  <si>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</si>
  <si>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</si>
  <si>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</si>
  <si>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</si>
  <si>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</si>
  <si>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</si>
  <si>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</si>
  <si>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</si>
  <si>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</si>
  <si>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</si>
  <si>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</si>
  <si>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</si>
  <si>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</si>
  <si>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</si>
  <si>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</si>
  <si>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</si>
  <si>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</si>
  <si>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</si>
  <si>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</si>
  <si>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</si>
  <si>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</si>
  <si>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</si>
  <si>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</si>
  <si>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</si>
  <si>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</si>
  <si>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</si>
  <si>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</si>
  <si>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</si>
  <si>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</si>
  <si>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</si>
  <si>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</si>
  <si>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</si>
  <si>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</si>
  <si>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</si>
  <si>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</si>
  <si>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</si>
  <si>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</si>
  <si>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</si>
  <si>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</si>
  <si>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</si>
  <si>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</si>
  <si>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</si>
  <si>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</si>
  <si>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</si>
  <si>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</si>
  <si>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</si>
  <si>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</si>
  <si>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</si>
  <si>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</si>
  <si>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</si>
  <si>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</si>
  <si>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</si>
  <si>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</si>
  <si>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</si>
  <si>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</si>
  <si>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</si>
  <si>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</si>
  <si>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</si>
  <si>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</si>
  <si>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</si>
  <si>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</si>
  <si>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</si>
  <si>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</si>
  <si>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</si>
  <si>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</si>
  <si>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</si>
  <si>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</si>
  <si>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</si>
  <si>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</si>
  <si>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</si>
  <si>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</si>
  <si>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</si>
  <si>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</si>
  <si>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</si>
  <si>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</si>
  <si>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</si>
  <si>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</si>
  <si>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</si>
  <si>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</si>
  <si>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</si>
  <si>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</si>
  <si>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</si>
  <si>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</si>
  <si>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</si>
  <si>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</si>
  <si>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</si>
  <si>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</si>
  <si>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</si>
  <si>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</si>
  <si>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</si>
  <si>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</si>
  <si>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</si>
  <si>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</si>
  <si>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</si>
  <si>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</si>
  <si>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</si>
  <si>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</si>
  <si>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</si>
  <si>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</si>
  <si>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</si>
  <si>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</si>
  <si>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</si>
  <si>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</si>
  <si>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</si>
  <si>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</si>
  <si>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</si>
  <si>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</si>
  <si>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</si>
  <si>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</si>
  <si>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</si>
  <si>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</si>
  <si>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</si>
  <si>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</si>
  <si>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</si>
  <si>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</si>
  <si>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</si>
  <si>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</si>
  <si>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</si>
  <si>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</si>
  <si>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</si>
  <si>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</si>
  <si>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</si>
  <si>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</si>
  <si>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</si>
  <si>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</si>
  <si>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</si>
  <si>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</si>
  <si>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</si>
  <si>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</si>
  <si>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</si>
  <si>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</si>
  <si>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</si>
  <si>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</si>
  <si>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</si>
  <si>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</si>
  <si>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</si>
  <si>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</si>
  <si>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</si>
  <si>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</si>
  <si>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</si>
  <si>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</si>
  <si>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</si>
  <si>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</si>
  <si>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</si>
  <si>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</si>
  <si>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</si>
  <si>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</si>
  <si>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</si>
  <si>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</si>
  <si>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</si>
  <si>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</si>
  <si>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</si>
  <si>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</si>
  <si>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</si>
  <si>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</si>
  <si>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</si>
  <si>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</si>
  <si>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</si>
  <si>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</si>
  <si>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</si>
  <si>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</si>
  <si>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</si>
  <si>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</si>
  <si>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</si>
  <si>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</si>
  <si>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</si>
  <si>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</si>
  <si>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</si>
  <si>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</si>
  <si>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</si>
  <si>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</si>
  <si>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</si>
  <si>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</si>
  <si>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</si>
  <si>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</si>
  <si>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</si>
  <si>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</si>
  <si>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</si>
  <si>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</si>
  <si>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</si>
  <si>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</si>
  <si>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</si>
  <si>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</si>
  <si>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</si>
  <si>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</si>
  <si>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</si>
  <si>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</si>
  <si>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</si>
  <si>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</si>
  <si>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</si>
  <si>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</si>
  <si>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</si>
  <si>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</si>
  <si>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</si>
  <si>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</si>
  <si>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</si>
  <si>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</si>
  <si>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</si>
  <si>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</si>
  <si>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</si>
  <si>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</si>
  <si>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</si>
  <si>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</si>
  <si>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</si>
  <si>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</si>
  <si>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</si>
  <si>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</si>
  <si>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</si>
  <si>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</si>
  <si>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</si>
  <si>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</si>
  <si>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</si>
  <si>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</si>
  <si>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</si>
  <si>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</si>
  <si>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</si>
  <si>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</si>
  <si>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</si>
  <si>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</si>
  <si>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</si>
  <si>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</si>
  <si>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</si>
  <si>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</si>
  <si>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</si>
  <si>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</si>
  <si>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</si>
  <si>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</si>
  <si>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</si>
  <si>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</si>
  <si>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</si>
  <si>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</si>
  <si>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</si>
  <si>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</si>
  <si>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</si>
  <si>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</si>
  <si>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</si>
  <si>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</si>
  <si>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</si>
  <si>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</si>
  <si>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</si>
  <si>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</si>
  <si>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</si>
  <si>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</si>
  <si>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</si>
  <si>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</si>
  <si>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</si>
  <si>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</si>
  <si>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</si>
  <si>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</si>
  <si>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</si>
  <si>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</si>
  <si>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</si>
  <si>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</si>
  <si>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</si>
  <si>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</si>
  <si>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</si>
  <si>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</si>
  <si>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</si>
  <si>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</si>
  <si>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</si>
  <si>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</si>
  <si>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</si>
  <si>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</si>
  <si>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</si>
  <si>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</si>
  <si>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</si>
  <si>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</si>
  <si>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</si>
  <si>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</si>
  <si>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</si>
  <si>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</si>
  <si>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</si>
  <si>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</si>
  <si>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</si>
  <si>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</si>
  <si>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</si>
  <si>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</si>
  <si>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</si>
  <si>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</si>
  <si>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</si>
  <si>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</si>
  <si>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</si>
  <si>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</si>
  <si>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</si>
  <si>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</si>
  <si>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</si>
  <si>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</si>
  <si>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</si>
  <si>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</si>
  <si>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</si>
  <si>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</si>
  <si>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</si>
  <si>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</si>
  <si>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</si>
  <si>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</si>
  <si>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</si>
  <si>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</si>
  <si>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</si>
  <si>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</si>
  <si>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</si>
  <si>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</si>
  <si>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</si>
  <si>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</si>
  <si>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</si>
  <si>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</si>
  <si>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</si>
  <si>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</si>
  <si>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</si>
  <si>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</si>
  <si>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</si>
  <si>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</si>
  <si>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</si>
  <si>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</si>
  <si>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</si>
  <si>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</si>
  <si>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</si>
  <si>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</si>
  <si>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</si>
  <si>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</si>
  <si>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</si>
  <si>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</si>
  <si>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</si>
  <si>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</si>
  <si>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</si>
  <si>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</si>
  <si>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</si>
  <si>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</si>
  <si>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</si>
  <si>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</si>
  <si>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</si>
  <si>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</si>
  <si>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</si>
  <si>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</si>
  <si>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</si>
  <si>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</si>
  <si>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</si>
  <si>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</si>
  <si>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</si>
  <si>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</si>
  <si>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</si>
  <si>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</si>
  <si>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</si>
  <si>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</si>
  <si>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</si>
  <si>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</si>
  <si>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</si>
  <si>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</si>
  <si>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</si>
  <si>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</si>
  <si>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</si>
  <si>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</si>
  <si>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</si>
  <si>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</si>
  <si>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</si>
  <si>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</si>
  <si>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</si>
  <si>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</si>
  <si>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</si>
  <si>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</si>
  <si>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</si>
  <si>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</si>
  <si>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</si>
  <si>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</si>
  <si>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</si>
  <si>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</si>
  <si>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</si>
  <si>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</si>
  <si>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</si>
  <si>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</si>
  <si>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</si>
  <si>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</si>
  <si>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</si>
  <si>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</si>
  <si>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</si>
  <si>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</si>
  <si>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</si>
  <si>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</si>
  <si>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</si>
  <si>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</si>
  <si>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</si>
  <si>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</si>
  <si>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</si>
  <si>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</si>
  <si>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</si>
  <si>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</si>
  <si>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</si>
  <si>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</si>
  <si>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</si>
  <si>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</si>
  <si>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</si>
  <si>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</si>
  <si>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</si>
  <si>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</si>
  <si>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</si>
  <si>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</si>
  <si>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</si>
  <si>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</si>
  <si>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</si>
  <si>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</si>
  <si>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</si>
  <si>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</si>
  <si>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</si>
  <si>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</si>
  <si>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</si>
  <si>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</si>
  <si>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</si>
  <si>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</si>
  <si>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</si>
  <si>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</si>
  <si>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</si>
  <si>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</si>
  <si>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</si>
  <si>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</si>
  <si>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</si>
  <si>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</si>
  <si>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</si>
  <si>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</si>
  <si>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</si>
  <si>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</si>
  <si>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</si>
  <si>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</si>
  <si>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</si>
  <si>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</si>
  <si>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</si>
  <si>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</si>
  <si>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</si>
  <si>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</si>
  <si>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</si>
  <si>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</si>
  <si>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</si>
  <si>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</si>
  <si>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</si>
  <si>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</si>
  <si>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</si>
  <si>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</si>
  <si>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</si>
  <si>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</si>
  <si>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</si>
  <si>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</si>
  <si>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</si>
  <si>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</si>
  <si>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</si>
  <si>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</si>
  <si>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</si>
  <si>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</si>
  <si>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</si>
  <si>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</si>
  <si>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</si>
  <si>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</si>
  <si>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</si>
  <si>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</si>
  <si>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</si>
  <si>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</si>
  <si>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</si>
  <si>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</si>
  <si>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</si>
  <si>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</si>
  <si>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</si>
  <si>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</si>
  <si>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</si>
  <si>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</si>
  <si>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</si>
  <si>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</si>
  <si>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</si>
  <si>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</si>
  <si>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</si>
  <si>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</si>
  <si>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</si>
  <si>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</si>
  <si>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</si>
  <si>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</si>
  <si>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</si>
  <si>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</si>
  <si>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</si>
  <si>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</si>
  <si>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</si>
  <si>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</si>
  <si>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</si>
  <si>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</si>
  <si>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</si>
  <si>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</si>
  <si>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</si>
  <si>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</si>
  <si>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</si>
  <si>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</si>
  <si>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</si>
  <si>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</si>
  <si>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</si>
  <si>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</si>
  <si>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</si>
  <si>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</si>
  <si>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</si>
  <si>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</si>
  <si>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</si>
  <si>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</si>
  <si>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</si>
  <si>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</si>
  <si>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</si>
  <si>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</si>
  <si>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</si>
  <si>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</si>
  <si>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</si>
  <si>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</si>
  <si>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</si>
  <si>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</si>
  <si>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</si>
  <si>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</si>
  <si>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</si>
  <si>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</si>
  <si>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</si>
  <si>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</si>
  <si>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</si>
  <si>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</si>
  <si>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</si>
  <si>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</si>
  <si>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</si>
  <si>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</si>
  <si>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</si>
  <si>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</si>
  <si>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</si>
  <si>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</si>
  <si>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</si>
  <si>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</si>
  <si>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</si>
  <si>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</si>
  <si>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</si>
  <si>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</si>
  <si>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</si>
  <si>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</si>
  <si>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</si>
  <si>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</si>
  <si>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</si>
  <si>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</si>
  <si>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</si>
  <si>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</si>
  <si>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</si>
  <si>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</si>
  <si>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</si>
  <si>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</si>
  <si>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</si>
  <si>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</si>
  <si>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</si>
  <si>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</si>
  <si>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</si>
  <si>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</si>
  <si>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</si>
  <si>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</si>
  <si>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</si>
  <si>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</si>
  <si>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</si>
  <si>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</si>
  <si>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</si>
  <si>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</si>
  <si>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</si>
  <si>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</si>
  <si>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</si>
  <si>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</si>
  <si>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</si>
  <si>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</si>
  <si>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</si>
  <si>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</si>
  <si>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</si>
  <si>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</si>
  <si>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</si>
  <si>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</si>
  <si>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</si>
  <si>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</si>
  <si>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</si>
  <si>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</si>
  <si>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</si>
  <si>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</si>
  <si>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</si>
  <si>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</si>
  <si>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</si>
  <si>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</si>
  <si>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</si>
  <si>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</si>
  <si>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</si>
  <si>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</si>
  <si>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</si>
  <si>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</si>
  <si>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</si>
  <si>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</si>
  <si>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</si>
  <si>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</si>
  <si>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</si>
  <si>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</si>
  <si>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</si>
  <si>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</si>
  <si>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</si>
  <si>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</si>
  <si>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</si>
  <si>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</si>
  <si>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</si>
  <si>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</si>
  <si>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</si>
  <si>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</si>
  <si>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</si>
  <si>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</si>
  <si>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</si>
  <si>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</si>
  <si>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</si>
  <si>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</si>
  <si>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</si>
  <si>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</si>
  <si>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</si>
  <si>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</si>
  <si>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</si>
  <si>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</si>
  <si>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</si>
  <si>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</si>
  <si>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</si>
  <si>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</si>
  <si>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</si>
  <si>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</si>
  <si>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</si>
  <si>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</si>
  <si>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</si>
  <si>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</si>
  <si>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</si>
  <si>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</si>
  <si>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</si>
  <si>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</si>
  <si>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</si>
  <si>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</si>
  <si>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</si>
  <si>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</si>
  <si>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</si>
  <si>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</si>
  <si>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</si>
  <si>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</si>
  <si>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</si>
  <si>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</si>
  <si>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</si>
  <si>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</si>
  <si>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</si>
  <si>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</si>
  <si>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</si>
  <si>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</si>
  <si>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</si>
  <si>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</si>
  <si>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</si>
  <si>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</si>
  <si>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</si>
  <si>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</si>
  <si>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</si>
  <si>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</si>
  <si>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</si>
  <si>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</si>
  <si>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</si>
  <si>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</si>
  <si>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</si>
  <si>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</si>
  <si>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</si>
  <si>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</si>
  <si>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</si>
  <si>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</si>
  <si>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</si>
  <si>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</si>
  <si>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</si>
  <si>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</si>
  <si>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</si>
  <si>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</si>
  <si>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</si>
  <si>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</si>
  <si>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</si>
  <si>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</si>
  <si>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</si>
  <si>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</si>
  <si>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</si>
  <si>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</si>
  <si>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</si>
  <si>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</si>
  <si>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</si>
  <si>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</si>
  <si>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</si>
  <si>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</si>
  <si>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</si>
  <si>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</si>
  <si>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</si>
  <si>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</si>
  <si>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</si>
  <si>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</si>
  <si>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</si>
  <si>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</si>
  <si>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</si>
  <si>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</si>
  <si>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</si>
  <si>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</si>
  <si>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</si>
  <si>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</si>
  <si>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</si>
  <si>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</si>
  <si>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</si>
  <si>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</si>
  <si>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</si>
  <si>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</si>
  <si>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</si>
  <si>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</si>
  <si>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</si>
  <si>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</si>
  <si>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</si>
  <si>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</si>
  <si>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</si>
  <si>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</si>
  <si>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</si>
  <si>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</si>
  <si>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</si>
  <si>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</si>
  <si>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</si>
  <si>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</si>
  <si>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</si>
  <si>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</si>
  <si>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</si>
  <si>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</si>
  <si>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</si>
  <si>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</si>
  <si>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</si>
  <si>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</si>
  <si>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</si>
  <si>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</si>
  <si>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</si>
  <si>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</si>
  <si>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</si>
  <si>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</si>
  <si>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</si>
  <si>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</si>
  <si>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</si>
  <si>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</si>
  <si>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</si>
  <si>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</si>
  <si>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</si>
  <si>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</si>
  <si>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</si>
  <si>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</si>
  <si>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</si>
  <si>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</si>
  <si>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</si>
  <si>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</si>
  <si>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</si>
  <si>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</si>
  <si>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</si>
  <si>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</si>
  <si>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</si>
  <si>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</si>
  <si>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</si>
  <si>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</si>
  <si>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</si>
  <si>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</si>
  <si>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</si>
  <si>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</si>
  <si>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</si>
  <si>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</si>
  <si>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</si>
  <si>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</si>
  <si>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</si>
  <si>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</si>
  <si>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</si>
  <si>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</si>
  <si>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</si>
  <si>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</si>
  <si>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</si>
  <si>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</si>
  <si>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</si>
  <si>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</si>
  <si>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</si>
  <si>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</si>
  <si>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</si>
  <si>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</si>
  <si>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</si>
  <si>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</si>
  <si>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</si>
  <si>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</si>
  <si>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</si>
  <si>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</si>
  <si>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</si>
  <si>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</si>
  <si>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</si>
  <si>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</si>
  <si>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</si>
  <si>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</si>
  <si>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</si>
  <si>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</si>
  <si>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</si>
  <si>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</si>
  <si>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</si>
  <si>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</si>
  <si>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</si>
  <si>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</si>
  <si>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</si>
  <si>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</si>
  <si>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</si>
  <si>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</si>
  <si>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</si>
  <si>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</si>
  <si>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</si>
  <si>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</si>
  <si>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</si>
  <si>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</si>
  <si>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</si>
  <si>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</si>
  <si>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</si>
  <si>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</si>
  <si>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</si>
  <si>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</si>
  <si>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</si>
  <si>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</si>
  <si>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</si>
  <si>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</si>
  <si>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</si>
  <si>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</si>
  <si>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</si>
  <si>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</si>
  <si>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</si>
  <si>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</si>
  <si>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</si>
  <si>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</si>
  <si>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</si>
  <si>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</si>
  <si>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</si>
  <si>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</si>
  <si>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</si>
  <si>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</si>
  <si>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</si>
  <si>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</si>
  <si>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</si>
  <si>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</si>
  <si>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</si>
  <si>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</si>
  <si>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</si>
  <si>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</si>
  <si>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</si>
  <si>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</si>
  <si>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</si>
  <si>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</si>
  <si>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</si>
  <si>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</si>
  <si>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</si>
  <si>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</si>
  <si>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</si>
  <si>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</si>
  <si>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</si>
  <si>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</si>
  <si>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</si>
  <si>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</si>
  <si>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</si>
  <si>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</si>
  <si>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</si>
  <si>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</si>
  <si>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</si>
  <si>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</si>
  <si>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</si>
  <si>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</si>
  <si>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</si>
  <si>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</si>
  <si>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</si>
  <si>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</si>
  <si>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</si>
  <si>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</si>
  <si>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</si>
  <si>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</si>
  <si>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</si>
  <si>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</si>
  <si>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</si>
  <si>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</si>
  <si>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</si>
  <si>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</si>
  <si>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</si>
  <si>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</si>
  <si>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</si>
  <si>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</si>
  <si>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</si>
  <si>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</si>
  <si>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</si>
  <si>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</si>
  <si>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</si>
  <si>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</si>
  <si>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</si>
  <si>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</si>
  <si>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</si>
  <si>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</si>
  <si>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</si>
  <si>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</si>
  <si>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</si>
  <si>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</si>
  <si>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</si>
  <si>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</si>
  <si>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</si>
  <si>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</si>
  <si>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</si>
  <si>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</si>
  <si>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</si>
  <si>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</si>
  <si>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</si>
  <si>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</si>
  <si>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</si>
  <si>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</si>
  <si>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</si>
  <si>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</si>
  <si>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</si>
  <si>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</si>
  <si>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</si>
  <si>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</si>
  <si>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</si>
  <si>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</si>
  <si>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</si>
  <si>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</si>
  <si>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</si>
  <si>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</si>
  <si>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</si>
  <si>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</si>
  <si>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</si>
  <si>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</si>
  <si>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</si>
  <si>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</si>
  <si>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</si>
  <si>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</si>
  <si>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</si>
  <si>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</si>
  <si>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</si>
  <si>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</si>
  <si>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</si>
  <si>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</si>
  <si>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</si>
  <si>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</si>
  <si>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</si>
  <si>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</si>
  <si>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</si>
  <si>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</si>
  <si>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</si>
  <si>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</si>
  <si>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</si>
  <si>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</si>
  <si>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</si>
  <si>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</si>
  <si>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</si>
  <si>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</si>
  <si>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</si>
  <si>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</si>
  <si>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</si>
  <si>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</si>
  <si>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</si>
  <si>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</si>
  <si>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</si>
  <si>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</si>
  <si>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</si>
  <si>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</si>
  <si>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</si>
  <si>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</si>
  <si>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</si>
  <si>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</si>
  <si>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</si>
  <si>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</si>
  <si>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</si>
  <si>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</si>
  <si>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</si>
  <si>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</si>
  <si>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</si>
  <si>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</si>
  <si>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</si>
  <si>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</si>
  <si>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</si>
  <si>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</si>
  <si>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</si>
  <si>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</si>
  <si>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</si>
  <si>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</si>
  <si>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</si>
  <si>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</si>
  <si>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</si>
  <si>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</si>
  <si>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</si>
  <si>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</si>
  <si>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</si>
  <si>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</si>
  <si>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</si>
  <si>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</si>
  <si>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</si>
  <si>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</si>
  <si>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</si>
  <si>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</si>
  <si>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</si>
  <si>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</si>
  <si>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</si>
  <si>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</si>
  <si>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</si>
  <si>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</si>
  <si>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</si>
  <si>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</si>
  <si>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</si>
  <si>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</si>
  <si>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</si>
  <si>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</si>
  <si>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</si>
  <si>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</si>
  <si>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</si>
  <si>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</si>
  <si>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</si>
  <si>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</si>
  <si>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</si>
  <si>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</si>
  <si>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</si>
  <si>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</si>
  <si>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</si>
  <si>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</si>
  <si>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</si>
  <si>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</si>
  <si>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</si>
  <si>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</si>
  <si>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</si>
  <si>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</si>
  <si>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</si>
  <si>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</si>
  <si>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</si>
  <si>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</si>
  <si>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</si>
  <si>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</si>
  <si>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</si>
  <si>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</si>
  <si>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</si>
  <si>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</si>
  <si>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</si>
  <si>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</si>
  <si>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</si>
  <si>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</si>
  <si>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</si>
  <si>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</si>
  <si>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</si>
  <si>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</si>
  <si>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</si>
  <si>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</si>
  <si>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</si>
  <si>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</si>
  <si>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</si>
  <si>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</si>
  <si>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</si>
  <si>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</si>
  <si>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</si>
  <si>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</si>
  <si>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</si>
  <si>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</si>
  <si>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</si>
  <si>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</si>
  <si>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</si>
  <si>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</si>
  <si>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</si>
  <si>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</si>
  <si>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</si>
  <si>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</si>
  <si>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</si>
  <si>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</si>
  <si>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</si>
  <si>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</si>
  <si>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</si>
  <si>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</si>
  <si>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</si>
  <si>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</si>
  <si>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</si>
  <si>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</si>
  <si>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</si>
  <si>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</si>
  <si>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</si>
  <si>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</si>
  <si>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</si>
  <si>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</si>
  <si>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</si>
  <si>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</si>
  <si>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</si>
  <si>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</si>
  <si>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</si>
  <si>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</si>
  <si>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</si>
  <si>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</si>
  <si>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</si>
  <si>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</si>
  <si>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</si>
  <si>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</si>
  <si>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</si>
  <si>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</si>
  <si>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</si>
  <si>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</si>
  <si>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</si>
  <si>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</si>
  <si>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</si>
  <si>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</si>
  <si>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</si>
  <si>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</si>
  <si>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</si>
  <si>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</si>
  <si>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</si>
  <si>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</si>
  <si>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</si>
  <si>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</si>
  <si>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</si>
  <si>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</si>
  <si>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</si>
  <si>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</si>
  <si>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</si>
  <si>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</si>
  <si>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</si>
  <si>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</si>
  <si>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</si>
  <si>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</si>
  <si>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</si>
  <si>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</si>
  <si>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</si>
  <si>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</si>
  <si>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</si>
  <si>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</si>
  <si>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</si>
  <si>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</si>
  <si>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</si>
  <si>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</si>
  <si>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</si>
  <si>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</si>
  <si>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</si>
  <si>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</si>
  <si>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</si>
  <si>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</si>
  <si>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</si>
  <si>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</si>
  <si>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</si>
  <si>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</si>
  <si>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</si>
  <si>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</si>
  <si>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</si>
  <si>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</si>
  <si>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</si>
  <si>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</si>
  <si>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</si>
  <si>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</si>
  <si>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</si>
  <si>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</si>
  <si>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</si>
  <si>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</si>
  <si>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</si>
  <si>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</si>
  <si>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</si>
  <si>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</si>
  <si>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</si>
  <si>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</si>
  <si>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</si>
  <si>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</si>
  <si>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</si>
  <si>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</si>
  <si>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</si>
  <si>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</si>
  <si>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</si>
  <si>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</si>
  <si>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</si>
  <si>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</si>
  <si>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</si>
  <si>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</si>
  <si>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</si>
  <si>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</si>
  <si>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</si>
  <si>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</si>
  <si>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</si>
  <si>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</si>
  <si>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</si>
  <si>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</si>
  <si>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</si>
  <si>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</si>
  <si>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</si>
  <si>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</si>
  <si>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</si>
  <si>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</si>
  <si>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</si>
  <si>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</si>
  <si>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</si>
  <si>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</si>
  <si>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</si>
  <si>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</si>
  <si>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</si>
  <si>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</si>
  <si>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</si>
  <si>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</si>
  <si>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</si>
  <si>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</si>
  <si>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</si>
  <si>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</si>
  <si>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</si>
  <si>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</si>
  <si>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</si>
  <si>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</si>
  <si>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</si>
  <si>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</si>
  <si>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</si>
  <si>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</si>
  <si>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</si>
  <si>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</si>
  <si>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</si>
  <si>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</si>
  <si>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</si>
  <si>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</si>
  <si>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</si>
  <si>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</si>
  <si>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</si>
  <si>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</si>
  <si>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</si>
  <si>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</si>
  <si>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</si>
  <si>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</si>
  <si>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</si>
  <si>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</si>
  <si>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</si>
  <si>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</si>
  <si>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</si>
  <si>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</si>
  <si>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</si>
  <si>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</si>
  <si>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</si>
  <si>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</si>
  <si>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</si>
  <si>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</si>
  <si>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</si>
  <si>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</si>
  <si>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</si>
  <si>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</si>
  <si>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</si>
  <si>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</si>
  <si>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</si>
  <si>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</si>
  <si>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</si>
  <si>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</si>
  <si>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</si>
  <si>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</si>
  <si>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</si>
  <si>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</si>
  <si>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</si>
  <si>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</si>
  <si>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</si>
  <si>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</si>
  <si>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</si>
  <si>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</si>
  <si>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</si>
  <si>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</si>
  <si>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</si>
  <si>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</si>
  <si>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</si>
  <si>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</si>
  <si>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</si>
  <si>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</si>
  <si>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</si>
  <si>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</si>
  <si>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</si>
  <si>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</si>
  <si>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</si>
  <si>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</si>
  <si>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</si>
  <si>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</si>
  <si>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</si>
  <si>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</si>
  <si>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</si>
  <si>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</si>
  <si>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</si>
  <si>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</si>
  <si>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</si>
  <si>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</si>
  <si>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</si>
  <si>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</si>
  <si>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</si>
  <si>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</si>
  <si>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</si>
  <si>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</si>
  <si>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</si>
  <si>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</si>
  <si>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</si>
  <si>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</si>
  <si>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</si>
  <si>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</si>
  <si>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</si>
  <si>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</si>
  <si>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</si>
  <si>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</si>
  <si>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</si>
  <si>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</si>
  <si>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</si>
  <si>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</si>
  <si>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</si>
  <si>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</si>
  <si>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</si>
  <si>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</si>
  <si>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</si>
  <si>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</si>
  <si>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</si>
  <si>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</si>
  <si>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</si>
  <si>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</si>
  <si>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</si>
  <si>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</si>
  <si>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</si>
  <si>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</si>
  <si>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</si>
  <si>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</si>
  <si>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</si>
  <si>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</si>
  <si>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</si>
  <si>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</si>
  <si>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</si>
  <si>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</si>
  <si>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</si>
  <si>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</si>
  <si>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</si>
  <si>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</si>
  <si>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</si>
  <si>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</si>
  <si>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</si>
  <si>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</si>
  <si>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</si>
  <si>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</si>
  <si>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</si>
  <si>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</si>
  <si>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</si>
  <si>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</si>
  <si>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</si>
  <si>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</si>
  <si>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</si>
  <si>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</si>
  <si>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</si>
  <si>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</si>
  <si>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</si>
  <si>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</si>
  <si>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</si>
  <si>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</si>
  <si>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</si>
  <si>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</si>
  <si>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</si>
  <si>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</si>
  <si>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</si>
  <si>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</si>
  <si>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</si>
  <si>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</si>
  <si>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</si>
  <si>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</si>
  <si>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</si>
  <si>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</si>
  <si>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</si>
  <si>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</si>
  <si>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</si>
  <si>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</si>
  <si>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</si>
  <si>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</si>
  <si>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</si>
  <si>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广渠路28号院402号楼2层2单元202号</t>
    <phoneticPr fontId="3" type="noConversion"/>
  </si>
  <si>
    <t>珠江帝景</t>
    <phoneticPr fontId="3" type="noConversion"/>
  </si>
  <si>
    <t>A</t>
    <phoneticPr fontId="134" type="noConversion"/>
  </si>
  <si>
    <t>广渠金茂府</t>
    <phoneticPr fontId="3" type="noConversion"/>
  </si>
  <si>
    <t>朝阳区广渠路25号院1号楼17层2单元2001号</t>
    <phoneticPr fontId="3" type="noConversion"/>
  </si>
  <si>
    <t>钢混</t>
  </si>
  <si>
    <t>钢混</t>
    <phoneticPr fontId="24" type="noConversion"/>
  </si>
  <si>
    <t>高级</t>
    <phoneticPr fontId="24" type="noConversion"/>
  </si>
  <si>
    <t>中高级</t>
    <phoneticPr fontId="24" type="noConversion"/>
  </si>
  <si>
    <t>精装修</t>
  </si>
  <si>
    <t>精装修</t>
    <phoneticPr fontId="24" type="noConversion"/>
  </si>
  <si>
    <t>普通装修</t>
  </si>
  <si>
    <t>普通装修</t>
    <phoneticPr fontId="24" type="noConversion"/>
  </si>
  <si>
    <t>高层板楼</t>
  </si>
  <si>
    <t>高层板楼</t>
    <phoneticPr fontId="24" type="noConversion"/>
  </si>
  <si>
    <t>高层塔楼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</si>
  <si>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</si>
  <si>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</si>
  <si>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</si>
  <si>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</si>
  <si>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</si>
  <si>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</si>
  <si>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</si>
  <si>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南北</t>
    <phoneticPr fontId="24" type="noConversion"/>
  </si>
  <si>
    <r>
      <t>17/24</t>
    </r>
    <r>
      <rPr>
        <sz val="11"/>
        <color indexed="8"/>
        <rFont val="宋体"/>
        <family val="3"/>
        <charset val="134"/>
      </rPr>
      <t>（高层）</t>
    </r>
    <phoneticPr fontId="24" type="noConversion"/>
  </si>
  <si>
    <t>建成年代</t>
    <phoneticPr fontId="24" type="noConversion"/>
  </si>
  <si>
    <t>较好</t>
  </si>
  <si>
    <t>南</t>
  </si>
  <si>
    <t>南</t>
    <phoneticPr fontId="24" type="noConversion"/>
  </si>
  <si>
    <t>物业公司管理</t>
  </si>
  <si>
    <t>物业公司管理</t>
    <phoneticPr fontId="24" type="noConversion"/>
  </si>
  <si>
    <t>A</t>
    <phoneticPr fontId="134" type="noConversion"/>
  </si>
  <si>
    <r>
      <t>3/15</t>
    </r>
    <r>
      <rPr>
        <sz val="11"/>
        <color indexed="8"/>
        <rFont val="宋体"/>
        <family val="3"/>
        <charset val="134"/>
      </rPr>
      <t>（低层）</t>
    </r>
    <phoneticPr fontId="24" type="noConversion"/>
  </si>
  <si>
    <t>东南</t>
    <phoneticPr fontId="24" type="noConversion"/>
  </si>
  <si>
    <t>西南</t>
  </si>
  <si>
    <t>西南</t>
    <phoneticPr fontId="24" type="noConversion"/>
  </si>
  <si>
    <t>东</t>
  </si>
  <si>
    <t>东</t>
    <phoneticPr fontId="24" type="noConversion"/>
  </si>
  <si>
    <t>B</t>
    <phoneticPr fontId="134" type="noConversion"/>
  </si>
  <si>
    <t>广渠路36号院8号楼20层2单元2004号</t>
    <phoneticPr fontId="3" type="noConversion"/>
  </si>
  <si>
    <t>首城国际</t>
    <phoneticPr fontId="3" type="noConversion"/>
  </si>
  <si>
    <r>
      <t>20/27</t>
    </r>
    <r>
      <rPr>
        <sz val="11"/>
        <color indexed="8"/>
        <rFont val="宋体"/>
        <family val="3"/>
        <charset val="134"/>
      </rPr>
      <t>（高层）</t>
    </r>
    <phoneticPr fontId="24" type="noConversion"/>
  </si>
  <si>
    <t>好</t>
  </si>
  <si>
    <t>C</t>
    <phoneticPr fontId="134" type="noConversion"/>
  </si>
  <si>
    <t>广渠路28号院219号楼16层2单元1901号</t>
    <phoneticPr fontId="3" type="noConversion"/>
  </si>
  <si>
    <r>
      <t>16/18</t>
    </r>
    <r>
      <rPr>
        <sz val="11"/>
        <color indexed="8"/>
        <rFont val="宋体"/>
        <family val="3"/>
        <charset val="134"/>
      </rPr>
      <t>（高层）</t>
    </r>
    <phoneticPr fontId="24" type="noConversion"/>
  </si>
  <si>
    <t>比较法-住宅</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</si>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</sst>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lignment vertical="center"/>
    </xf>
    <xf numFmtId="0" fontId="0" fillId="0" borderId="0" xfId="0" applyFill="1">
      <alignment vertical="center"/>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131200</xdr:colOff>
      <xdr:row>47</xdr:row>
      <xdr:rowOff>14164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200000" cy="8609524"/>
        </a:xfrm>
        <a:prstGeom prst="rect">
          <a:avLst/>
        </a:prstGeom>
      </xdr:spPr>
    </xdr:pic>
    <xdr:clientData/>
  </xdr:twoCellAnchor>
  <xdr:twoCellAnchor editAs="oneCell">
    <xdr:from>
      <xdr:col>0</xdr:col>
      <xdr:colOff>0</xdr:colOff>
      <xdr:row>48</xdr:row>
      <xdr:rowOff>0</xdr:rowOff>
    </xdr:from>
    <xdr:to>
      <xdr:col>28</xdr:col>
      <xdr:colOff>169295</xdr:colOff>
      <xdr:row>94</xdr:row>
      <xdr:rowOff>158948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78240"/>
          <a:ext cx="17238095" cy="8571428"/>
        </a:xfrm>
        <a:prstGeom prst="rect">
          <a:avLst/>
        </a:prstGeom>
      </xdr:spPr>
    </xdr:pic>
    <xdr:clientData/>
  </xdr:twoCellAnchor>
  <xdr:twoCellAnchor editAs="oneCell">
    <xdr:from>
      <xdr:col>0</xdr:col>
      <xdr:colOff>0</xdr:colOff>
      <xdr:row>95</xdr:row>
      <xdr:rowOff>0</xdr:rowOff>
    </xdr:from>
    <xdr:to>
      <xdr:col>28</xdr:col>
      <xdr:colOff>159771</xdr:colOff>
      <xdr:row>103</xdr:row>
      <xdr:rowOff>13150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73600"/>
          <a:ext cx="17228571" cy="1476190"/>
        </a:xfrm>
        <a:prstGeom prst="rect">
          <a:avLst/>
        </a:prstGeom>
      </xdr:spPr>
    </xdr:pic>
    <xdr:clientData/>
  </xdr:twoCellAnchor>
  <xdr:twoCellAnchor editAs="oneCell">
    <xdr:from>
      <xdr:col>0</xdr:col>
      <xdr:colOff>0</xdr:colOff>
      <xdr:row>104</xdr:row>
      <xdr:rowOff>0</xdr:rowOff>
    </xdr:from>
    <xdr:to>
      <xdr:col>27</xdr:col>
      <xdr:colOff>597943</xdr:colOff>
      <xdr:row>108</xdr:row>
      <xdr:rowOff>68480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19520"/>
          <a:ext cx="17057143" cy="800000"/>
        </a:xfrm>
        <a:prstGeom prst="rect">
          <a:avLst/>
        </a:prstGeom>
      </xdr:spPr>
    </xdr:pic>
    <xdr:clientData/>
  </xdr:twoCellAnchor>
  <xdr:twoCellAnchor editAs="oneCell">
    <xdr:from>
      <xdr:col>0</xdr:col>
      <xdr:colOff>0</xdr:colOff>
      <xdr:row>108</xdr:row>
      <xdr:rowOff>30480</xdr:rowOff>
    </xdr:from>
    <xdr:to>
      <xdr:col>27</xdr:col>
      <xdr:colOff>502705</xdr:colOff>
      <xdr:row>163</xdr:row>
      <xdr:rowOff>57794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81520"/>
          <a:ext cx="16961905" cy="10085714"/>
        </a:xfrm>
        <a:prstGeom prst="rect">
          <a:avLst/>
        </a:prstGeom>
      </xdr:spPr>
    </xdr:pic>
    <xdr:clientData/>
  </xdr:twoCellAnchor>
  <xdr:twoCellAnchor editAs="oneCell">
    <xdr:from>
      <xdr:col>0</xdr:col>
      <xdr:colOff>0</xdr:colOff>
      <xdr:row>164</xdr:row>
      <xdr:rowOff>0</xdr:rowOff>
    </xdr:from>
    <xdr:to>
      <xdr:col>28</xdr:col>
      <xdr:colOff>26438</xdr:colOff>
      <xdr:row>208</xdr:row>
      <xdr:rowOff>58042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992320"/>
          <a:ext cx="17095238" cy="8104762"/>
        </a:xfrm>
        <a:prstGeom prst="rect">
          <a:avLst/>
        </a:prstGeom>
      </xdr:spPr>
    </xdr:pic>
    <xdr:clientData/>
  </xdr:twoCellAnchor>
  <xdr:twoCellAnchor editAs="oneCell">
    <xdr:from>
      <xdr:col>0</xdr:col>
      <xdr:colOff>0</xdr:colOff>
      <xdr:row>209</xdr:row>
      <xdr:rowOff>0</xdr:rowOff>
    </xdr:from>
    <xdr:to>
      <xdr:col>27</xdr:col>
      <xdr:colOff>455086</xdr:colOff>
      <xdr:row>258</xdr:row>
      <xdr:rowOff>29356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8221920"/>
          <a:ext cx="16914286" cy="8990476"/>
        </a:xfrm>
        <a:prstGeom prst="rect">
          <a:avLst/>
        </a:prstGeom>
      </xdr:spPr>
    </xdr:pic>
    <xdr:clientData/>
  </xdr:twoCellAnchor>
  <xdr:twoCellAnchor editAs="oneCell">
    <xdr:from>
      <xdr:col>0</xdr:col>
      <xdr:colOff>0</xdr:colOff>
      <xdr:row>259</xdr:row>
      <xdr:rowOff>0</xdr:rowOff>
    </xdr:from>
    <xdr:to>
      <xdr:col>22</xdr:col>
      <xdr:colOff>207847</xdr:colOff>
      <xdr:row>293</xdr:row>
      <xdr:rowOff>29699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7365920"/>
          <a:ext cx="13619047" cy="6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132038</xdr:colOff>
      <xdr:row>28</xdr:row>
      <xdr:rowOff>22217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0495238" cy="5142857"/>
        </a:xfrm>
        <a:prstGeom prst="rect">
          <a:avLst/>
        </a:prstGeom>
      </xdr:spPr>
    </xdr:pic>
    <xdr:clientData/>
  </xdr:twoCellAnchor>
  <xdr:twoCellAnchor editAs="oneCell">
    <xdr:from>
      <xdr:col>0</xdr:col>
      <xdr:colOff>0</xdr:colOff>
      <xdr:row>28</xdr:row>
      <xdr:rowOff>0</xdr:rowOff>
    </xdr:from>
    <xdr:to>
      <xdr:col>16</xdr:col>
      <xdr:colOff>579733</xdr:colOff>
      <xdr:row>55</xdr:row>
      <xdr:rowOff>14621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120640"/>
          <a:ext cx="10333333" cy="4952381"/>
        </a:xfrm>
        <a:prstGeom prst="rect">
          <a:avLst/>
        </a:prstGeom>
      </xdr:spPr>
    </xdr:pic>
    <xdr:clientData/>
  </xdr:twoCellAnchor>
  <xdr:twoCellAnchor editAs="oneCell">
    <xdr:from>
      <xdr:col>0</xdr:col>
      <xdr:colOff>0</xdr:colOff>
      <xdr:row>61</xdr:row>
      <xdr:rowOff>0</xdr:rowOff>
    </xdr:from>
    <xdr:to>
      <xdr:col>17</xdr:col>
      <xdr:colOff>74895</xdr:colOff>
      <xdr:row>89</xdr:row>
      <xdr:rowOff>107931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155680"/>
          <a:ext cx="10438095" cy="5228571"/>
        </a:xfrm>
        <a:prstGeom prst="rect">
          <a:avLst/>
        </a:prstGeom>
      </xdr:spPr>
    </xdr:pic>
    <xdr:clientData/>
  </xdr:twoCellAnchor>
  <xdr:twoCellAnchor editAs="oneCell">
    <xdr:from>
      <xdr:col>0</xdr:col>
      <xdr:colOff>0</xdr:colOff>
      <xdr:row>88</xdr:row>
      <xdr:rowOff>15240</xdr:rowOff>
    </xdr:from>
    <xdr:to>
      <xdr:col>17</xdr:col>
      <xdr:colOff>208228</xdr:colOff>
      <xdr:row>110</xdr:row>
      <xdr:rowOff>106166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6108680"/>
          <a:ext cx="10571428" cy="4114286"/>
        </a:xfrm>
        <a:prstGeom prst="rect">
          <a:avLst/>
        </a:prstGeom>
      </xdr:spPr>
    </xdr:pic>
    <xdr:clientData/>
  </xdr:twoCellAnchor>
  <xdr:twoCellAnchor editAs="oneCell">
    <xdr:from>
      <xdr:col>0</xdr:col>
      <xdr:colOff>0</xdr:colOff>
      <xdr:row>113</xdr:row>
      <xdr:rowOff>0</xdr:rowOff>
    </xdr:from>
    <xdr:to>
      <xdr:col>17</xdr:col>
      <xdr:colOff>74895</xdr:colOff>
      <xdr:row>139</xdr:row>
      <xdr:rowOff>102263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665440"/>
          <a:ext cx="10438095" cy="4857143"/>
        </a:xfrm>
        <a:prstGeom prst="rect">
          <a:avLst/>
        </a:prstGeom>
      </xdr:spPr>
    </xdr:pic>
    <xdr:clientData/>
  </xdr:twoCellAnchor>
  <xdr:twoCellAnchor editAs="oneCell">
    <xdr:from>
      <xdr:col>0</xdr:col>
      <xdr:colOff>0</xdr:colOff>
      <xdr:row>139</xdr:row>
      <xdr:rowOff>0</xdr:rowOff>
    </xdr:from>
    <xdr:to>
      <xdr:col>16</xdr:col>
      <xdr:colOff>551162</xdr:colOff>
      <xdr:row>160</xdr:row>
      <xdr:rowOff>35710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5420320"/>
          <a:ext cx="10304762"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28480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估价对象为北京市房地产，为所有。根据《国有土地使用证》[]，估价对象（分摊）出让国有建设用地使用权面积为0平方米，建筑面积为219.26平方米。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估价对象为北京市房地产,属开发建设的，该项目尚在开发建设中。根据《国有土地使用证》[]，估价对象（分摊）出让国有建设用地使用权面积为0平方米，规划建筑面积为219.26平方米。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2015年12月1日</v>
      </c>
    </row>
    <row r="13" spans="1:2" s="1203" customFormat="1">
      <c r="A13" s="1201" t="s">
        <v>529</v>
      </c>
      <c r="B13" s="1202" t="str">
        <f>'预评函-1'!A18</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219.26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1" t="s">
        <v>2581</v>
      </c>
      <c r="J2" s="3501"/>
      <c r="K2" s="3501"/>
      <c r="L2" s="3501"/>
      <c r="M2" s="3501"/>
      <c r="N2" s="3501"/>
      <c r="O2" s="3501"/>
      <c r="P2" s="3501"/>
      <c r="Q2" s="3501"/>
      <c r="R2" s="3501"/>
    </row>
    <row r="3" spans="1:18">
      <c r="A3" s="3020" t="s">
        <v>2502</v>
      </c>
      <c r="B3" s="3021">
        <f>项目基本情况!D3</f>
        <v>42339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11.05</v>
      </c>
      <c r="D5" s="3025">
        <f>IF(ISERROR(ROUND(POWER(1+E5,A5-C5)*(POWER(1+E5,C5)-1)/(POWER(1+E5,A5)-1),3)),0,ROUND(POWER(1+E5,A5-C5)*(POWER(1+E5,C5)-1)/(POWER(1+E5,A5)-1),4))</f>
        <v>0.44419999999999998</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21.06</v>
      </c>
      <c r="D6" s="3025">
        <f>IF(ISERROR(ROUND(POWER(1+E6,A6-C6)*(POWER(1+E6,C6)-1)/(POWER(1+E6,A6)-1),3)),0,ROUND(POWER(1+E6,A6-C6)*(POWER(1+E6,C6)-1)/(POWER(1+E6,A6)-1),4))</f>
        <v>0.65429999999999999</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41.07</v>
      </c>
      <c r="D7" s="3025">
        <f>IF(ISERROR(ROUND(POWER(1+E7,A7-C7)*(POWER(1+E7,C7)-1)/(POWER(1+E7,A7)-1),3)),0,ROUND(POWER(1+E7,A7-C7)*(POWER(1+E7,C7)-1)/(POWER(1+E7,A7)-1),4))</f>
        <v>0.85519999999999996</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0" t="str">
        <f>IF(B10="北京市","北京市",C10)&amp;F10&amp;IF(结果表!G1="在建","出让国有建设用地使用权及在建建筑物",IF(结果表!G1="土地","出让国有建设用地使用权",))&amp;B9&amp;"预评估"</f>
        <v>北京市房地产市场价值预评估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42339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13"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14"/>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65603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63.73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219.26</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4"/>
      <c r="B30" s="302" t="s">
        <v>2218</v>
      </c>
      <c r="C30" s="3505"/>
      <c r="D30" s="3506"/>
      <c r="E30" s="2664"/>
      <c r="F30" s="2664"/>
      <c r="G30" s="2664"/>
      <c r="H30" s="2664"/>
      <c r="I30" s="2664"/>
      <c r="J30" s="2439"/>
      <c r="K30" s="2616"/>
      <c r="L30" s="2613"/>
      <c r="M30" s="2613"/>
      <c r="N30" s="2439"/>
      <c r="O30" s="2450"/>
      <c r="P30" s="2439"/>
      <c r="Q30" s="2439"/>
      <c r="R30" s="2439"/>
      <c r="S30" s="2439"/>
      <c r="T30" s="2439"/>
      <c r="U30" s="2439"/>
      <c r="V30" s="2439"/>
    </row>
    <row r="31" spans="1:28">
      <c r="A31" s="350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2" t="s">
        <v>2228</v>
      </c>
      <c r="T34" s="2428" t="str">
        <f>NUMBERSTRING(7-K34,1)&amp;"通"</f>
        <v>七通</v>
      </c>
      <c r="U34" s="2439"/>
      <c r="V34" s="2439"/>
    </row>
    <row r="35" spans="1:30">
      <c r="A35" s="2429"/>
      <c r="B35" s="3509" t="s">
        <v>2229</v>
      </c>
      <c r="C35" s="3509"/>
      <c r="D35" s="3509"/>
      <c r="E35" s="350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219.26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219.26</v>
      </c>
      <c r="H5" s="13">
        <f t="shared" ref="H5:AT5" si="0">SUM(H13:H656)</f>
        <v>219.26</v>
      </c>
      <c r="I5" s="13">
        <f t="shared" si="0"/>
        <v>219.26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219.26</v>
      </c>
      <c r="BA5" s="15">
        <f t="shared" si="1"/>
        <v>219.26</v>
      </c>
      <c r="BB5" s="15">
        <f t="shared" si="1"/>
        <v>219.26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219.26</v>
      </c>
      <c r="H13" s="17">
        <f>SUMIF(I$12:AB$12,"总值",I13:AB13)</f>
        <v>219.26</v>
      </c>
      <c r="I13" s="1626">
        <v>219.26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219.26</v>
      </c>
      <c r="BA13" s="13">
        <f>SUM(BB13:BK13)</f>
        <v>219.26</v>
      </c>
      <c r="BB13" s="13">
        <f>IF($D13="是",I13-J13,0)</f>
        <v>219.26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1" t="s">
        <v>1131</v>
      </c>
      <c r="B2" s="3541"/>
      <c r="C2" s="3541"/>
      <c r="D2" s="796" t="s">
        <v>1107</v>
      </c>
      <c r="E2" s="1639" t="s">
        <v>1108</v>
      </c>
      <c r="F2" s="2659"/>
      <c r="G2" s="2650"/>
      <c r="H2" s="2651"/>
      <c r="I2" s="2325" t="s">
        <v>1132</v>
      </c>
      <c r="J2" s="2659"/>
      <c r="K2" s="2659"/>
      <c r="L2" s="2659"/>
      <c r="M2" s="2659"/>
      <c r="N2" s="2661"/>
      <c r="O2" s="2659"/>
      <c r="P2" s="2659"/>
    </row>
    <row r="3" spans="1:16" ht="15" thickBot="1">
      <c r="A3" s="3542" t="s">
        <v>1105</v>
      </c>
      <c r="B3" s="3542"/>
      <c r="C3" s="3542"/>
      <c r="D3" s="43">
        <f>'数据-基础表'!AY6</f>
        <v>0</v>
      </c>
      <c r="E3" s="43">
        <f>'数据-基础表'!AZ5</f>
        <v>219.26</v>
      </c>
      <c r="F3" s="2659"/>
      <c r="G3" s="1145"/>
      <c r="H3" s="1026" t="s">
        <v>1106</v>
      </c>
      <c r="I3" s="855" t="e">
        <f>ROUND('数据-基础表'!B3/'数据-基础表'!A3,2)</f>
        <v>#DIV/0!</v>
      </c>
      <c r="J3" s="2659"/>
      <c r="K3" s="2659"/>
      <c r="L3" s="2659"/>
      <c r="M3" s="2659"/>
      <c r="N3" s="2661"/>
      <c r="O3" s="2659"/>
      <c r="P3" s="2659"/>
    </row>
    <row r="4" spans="1:16" ht="14.4">
      <c r="A4" s="3543"/>
      <c r="B4" s="3544"/>
      <c r="C4" s="354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6" t="s">
        <v>1110</v>
      </c>
      <c r="C5" s="3546"/>
      <c r="D5" s="45">
        <f>ROUND($D$3*E5/$E$3,2)</f>
        <v>0</v>
      </c>
      <c r="E5" s="46">
        <f>SUMIF('数据-基础表'!$11:$11,"住宅",'数据-基础表'!$5:$5)</f>
        <v>219.26</v>
      </c>
      <c r="F5" s="2659"/>
      <c r="G5" s="1145"/>
      <c r="H5" s="1026" t="s">
        <v>1106</v>
      </c>
      <c r="I5" s="855" t="e">
        <f>ROUND(E31/D31,2)</f>
        <v>#DIV/0!</v>
      </c>
      <c r="J5" s="2659"/>
      <c r="K5" s="2659"/>
      <c r="L5" s="2659"/>
      <c r="M5" s="2659"/>
      <c r="N5" s="2659"/>
      <c r="O5" s="2659"/>
      <c r="P5" s="2659"/>
    </row>
    <row r="6" spans="1:16" ht="15" thickBot="1">
      <c r="A6" s="1644"/>
      <c r="B6" s="3546" t="s">
        <v>1111</v>
      </c>
      <c r="C6" s="3546"/>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38"/>
      <c r="B7" s="3539"/>
      <c r="C7" s="354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219.26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219.26</v>
      </c>
      <c r="F16" s="2659"/>
      <c r="G16" s="2660"/>
      <c r="H16" s="1648" t="s">
        <v>1135</v>
      </c>
      <c r="I16" s="1649"/>
      <c r="J16" s="1139"/>
      <c r="K16" s="3535" t="s">
        <v>1135</v>
      </c>
      <c r="L16" s="3536"/>
      <c r="M16" s="3536"/>
      <c r="N16" s="3536"/>
      <c r="O16" s="3536"/>
      <c r="P16" s="3537"/>
    </row>
    <row r="17" spans="1:19" ht="14.4">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219.26</v>
      </c>
      <c r="F19" s="2795">
        <f>'数据-基础表'!I13</f>
        <v>219.26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219.26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219.26</v>
      </c>
      <c r="F27" s="1140">
        <f>IF(SUM(F19:F26)=E8,SUM(F19:F26),"地上面积有误")</f>
        <v>219.26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219.26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219.26</v>
      </c>
      <c r="F31" s="677">
        <f>F27+F30</f>
        <v>219.26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219.26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41" sqref="G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42339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65603</v>
      </c>
      <c r="F6" s="64">
        <f>SUMIF(项目基本情况!C$12:I$12,C6,项目基本情况!C$15:I$15)</f>
        <v>63.73</v>
      </c>
      <c r="G6" s="65">
        <f>IF(ISERROR(ROUND(POWER(1+H6,D6-F6)*(POWER(1+H6,F6)-1)/(POWER(1+H6,D6)-1),3)),0,ROUND(POWER(1+H6,D6-F6)*(POWER(1+H6,F6)-1)/(POWER(1+H6,D6)-1),3))</f>
        <v>0</v>
      </c>
      <c r="H6" s="732"/>
      <c r="I6" s="732">
        <v>0.05</v>
      </c>
      <c r="J6" s="66"/>
      <c r="K6" s="1030">
        <f>SUMIF('数据-汇总表'!C$19:C$33,A6,'数据-汇总表'!E$19:E$33)</f>
        <v>219.26</v>
      </c>
      <c r="L6" s="733">
        <v>4000</v>
      </c>
      <c r="M6" s="67">
        <f t="shared" ref="M6:M14" si="0">ROUND(K6*L6/10000,0)</f>
        <v>88</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877040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219.26</v>
      </c>
      <c r="L16" s="93">
        <f>ROUND(M16*10000/SUM(K6:K14),0)</f>
        <v>4013</v>
      </c>
      <c r="M16" s="93">
        <f>SUM(M6:M14)</f>
        <v>88</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4.7500000000000001E-2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7" t="s">
        <v>2286</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219.26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42339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1407</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219.26</v>
      </c>
      <c r="C14" s="2518"/>
      <c r="D14" s="2518">
        <f ca="1">结果表!G19</f>
        <v>1407</v>
      </c>
      <c r="E14" s="2518">
        <f ca="1">ROUND(D14*10000/B14,0)</f>
        <v>64170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3" t="str">
        <f>项目基本情况!S2</f>
        <v>北京市房地产</v>
      </c>
      <c r="B2" s="3584"/>
      <c r="C2" s="3584"/>
      <c r="D2" s="3584"/>
      <c r="E2" s="3584"/>
      <c r="F2" s="3584"/>
      <c r="G2" s="3584"/>
      <c r="H2" s="3584"/>
      <c r="I2" s="3585"/>
    </row>
    <row r="3" spans="1:12" ht="13.2">
      <c r="A3" s="3587" t="s">
        <v>1264</v>
      </c>
      <c r="B3" s="3588"/>
      <c r="C3" s="3588"/>
      <c r="D3" s="3588"/>
      <c r="E3" s="3588"/>
      <c r="F3" s="3588"/>
      <c r="G3" s="3588"/>
      <c r="H3" s="3588"/>
      <c r="I3" s="3588"/>
    </row>
    <row r="4" spans="1:12" ht="14.4">
      <c r="A4" s="1754" t="s">
        <v>1265</v>
      </c>
      <c r="B4" s="1755" t="s">
        <v>1266</v>
      </c>
      <c r="C4" s="1756" t="s">
        <v>3445</v>
      </c>
      <c r="D4" s="1756" t="s">
        <v>3446</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63" t="s">
        <v>1268</v>
      </c>
      <c r="B5" s="3550">
        <v>25</v>
      </c>
      <c r="C5" s="3566">
        <v>8</v>
      </c>
      <c r="D5" s="3586">
        <f>10-C5</f>
        <v>2</v>
      </c>
      <c r="E5" s="131" t="s">
        <v>1269</v>
      </c>
      <c r="F5" s="1757"/>
      <c r="G5" s="1757"/>
      <c r="H5" s="1757"/>
      <c r="I5" s="1373"/>
    </row>
    <row r="6" spans="1:12" ht="13.2">
      <c r="A6" s="3563"/>
      <c r="B6" s="3550"/>
      <c r="C6" s="3567"/>
      <c r="D6" s="3586"/>
      <c r="E6" s="131" t="s">
        <v>1270</v>
      </c>
      <c r="F6" s="1757"/>
      <c r="G6" s="1757"/>
      <c r="H6" s="1757"/>
      <c r="I6" s="1373"/>
    </row>
    <row r="7" spans="1:12" ht="13.2">
      <c r="A7" s="3563"/>
      <c r="B7" s="3550"/>
      <c r="C7" s="3568"/>
      <c r="D7" s="3586"/>
      <c r="E7" s="131" t="s">
        <v>1271</v>
      </c>
      <c r="F7" s="1757"/>
      <c r="G7" s="1757"/>
      <c r="H7" s="1757"/>
      <c r="I7" s="1373"/>
    </row>
    <row r="8" spans="1:12" ht="13.2">
      <c r="A8" s="3563" t="s">
        <v>1272</v>
      </c>
      <c r="B8" s="3550">
        <v>15</v>
      </c>
      <c r="C8" s="3566"/>
      <c r="D8" s="3586"/>
      <c r="E8" s="131" t="s">
        <v>1273</v>
      </c>
      <c r="F8" s="1757"/>
      <c r="G8" s="1757"/>
      <c r="H8" s="1757"/>
      <c r="I8" s="1373"/>
    </row>
    <row r="9" spans="1:12" ht="13.2">
      <c r="A9" s="3563"/>
      <c r="B9" s="3550"/>
      <c r="C9" s="3568"/>
      <c r="D9" s="3586"/>
      <c r="E9" s="131" t="s">
        <v>1274</v>
      </c>
      <c r="F9" s="1757"/>
      <c r="G9" s="1757"/>
      <c r="H9" s="1757"/>
      <c r="I9" s="1373"/>
    </row>
    <row r="10" spans="1:12" ht="13.2">
      <c r="A10" s="3563" t="s">
        <v>1275</v>
      </c>
      <c r="B10" s="3550">
        <v>15</v>
      </c>
      <c r="C10" s="3566"/>
      <c r="D10" s="3586"/>
      <c r="E10" s="131" t="s">
        <v>1276</v>
      </c>
      <c r="F10" s="1757"/>
      <c r="G10" s="1757"/>
      <c r="H10" s="1757"/>
      <c r="I10" s="1373"/>
    </row>
    <row r="11" spans="1:12" ht="13.2">
      <c r="A11" s="3563"/>
      <c r="B11" s="3550"/>
      <c r="C11" s="3568"/>
      <c r="D11" s="3586"/>
      <c r="E11" s="131" t="s">
        <v>1277</v>
      </c>
      <c r="F11" s="1757"/>
      <c r="G11" s="1757"/>
      <c r="H11" s="1757"/>
      <c r="I11" s="1373"/>
    </row>
    <row r="12" spans="1:12" ht="13.2">
      <c r="A12" s="3563" t="s">
        <v>1278</v>
      </c>
      <c r="B12" s="3550">
        <v>15</v>
      </c>
      <c r="C12" s="3566"/>
      <c r="D12" s="3586"/>
      <c r="E12" s="131" t="s">
        <v>1279</v>
      </c>
      <c r="F12" s="1757"/>
      <c r="G12" s="1757"/>
      <c r="H12" s="1757"/>
      <c r="I12" s="1373"/>
    </row>
    <row r="13" spans="1:12" ht="13.2">
      <c r="A13" s="3563"/>
      <c r="B13" s="3550"/>
      <c r="C13" s="3568"/>
      <c r="D13" s="3586"/>
      <c r="E13" s="131" t="s">
        <v>1280</v>
      </c>
      <c r="F13" s="1757"/>
      <c r="G13" s="1757"/>
      <c r="H13" s="1757"/>
      <c r="I13" s="1373"/>
    </row>
    <row r="14" spans="1:12" ht="13.2">
      <c r="A14" s="3563" t="s">
        <v>1281</v>
      </c>
      <c r="B14" s="3550">
        <v>30</v>
      </c>
      <c r="C14" s="3566"/>
      <c r="D14" s="3586"/>
      <c r="E14" s="131" t="s">
        <v>1282</v>
      </c>
      <c r="F14" s="1757"/>
      <c r="G14" s="1757"/>
      <c r="H14" s="1757"/>
      <c r="I14" s="1373"/>
    </row>
    <row r="15" spans="1:12" ht="13.2">
      <c r="A15" s="3563"/>
      <c r="B15" s="3550"/>
      <c r="C15" s="3567"/>
      <c r="D15" s="3586"/>
      <c r="E15" s="131" t="s">
        <v>1283</v>
      </c>
      <c r="F15" s="1757"/>
      <c r="G15" s="1757"/>
      <c r="H15" s="1757"/>
      <c r="I15" s="1373"/>
    </row>
    <row r="16" spans="1:12" ht="13.2">
      <c r="A16" s="3563"/>
      <c r="B16" s="3550"/>
      <c r="C16" s="3568"/>
      <c r="D16" s="3586"/>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73" t="s">
        <v>2131</v>
      </c>
      <c r="F18" s="3574"/>
      <c r="G18" s="3574"/>
      <c r="H18" s="3574"/>
      <c r="I18" s="3574"/>
      <c r="K18" s="302" t="s">
        <v>1289</v>
      </c>
      <c r="L18" s="302">
        <f>IF(C1="",'数据-汇总表'!E3,SUMIF(项目类型,C1,'数据-汇总表'!E17:E26)+SUMIF(项目类型,C1,'数据-汇总表'!I17:I26))</f>
        <v>219.26</v>
      </c>
      <c r="M18" s="302">
        <f>IF(C1="",'数据-汇总表'!E3,SUMIF(项目类型,C1,'数据-汇总表'!E17:E26))</f>
        <v>219.26</v>
      </c>
    </row>
    <row r="19" spans="1:36" ht="14.4">
      <c r="A19" s="1761" t="s">
        <v>1290</v>
      </c>
      <c r="B19" s="1762" t="s">
        <v>1291</v>
      </c>
      <c r="C19" s="134">
        <f ca="1">SUMIF(INDIRECT("'"&amp;C4&amp;"'"&amp;"!A:A"),结果表!B19,INDIRECT("'"&amp;C4&amp;"'"&amp;"!B:B"))</f>
        <v>1490.8145</v>
      </c>
      <c r="D19" s="135">
        <f ca="1">SUMIF(INDIRECT("'"&amp;D4&amp;"'"&amp;"!A:A"),结果表!B19,INDIRECT("'"&amp;D4&amp;"'"&amp;"!B:B"))</f>
        <v>1072.3053</v>
      </c>
      <c r="E19" s="1761" t="s">
        <v>1292</v>
      </c>
      <c r="F19" s="1762" t="s">
        <v>1291</v>
      </c>
      <c r="G19" s="136">
        <f ca="1">ROUND(C19*$C$18+D19*$D$18,0)</f>
        <v>1407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67993</v>
      </c>
      <c r="D20" s="138">
        <f ca="1">SUMIF(INDIRECT("'"&amp;D4&amp;"'"&amp;"!A:A"),结果表!B20,INDIRECT("'"&amp;D4&amp;"'"&amp;"!B:B"))</f>
        <v>48906</v>
      </c>
      <c r="E20" s="1764"/>
      <c r="F20" s="1026" t="s">
        <v>1295</v>
      </c>
      <c r="G20" s="139">
        <f ca="1">ROUND(C20*$C$18+D20*$D$18,0)</f>
        <v>64176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0.39028922080306794</v>
      </c>
      <c r="E22" s="129"/>
      <c r="F22" s="129"/>
      <c r="G22" s="129"/>
      <c r="H22" s="129"/>
      <c r="I22" s="129"/>
    </row>
    <row r="23" spans="1:36" ht="13.8" thickBot="1">
      <c r="A23" s="1747"/>
      <c r="B23" s="1747"/>
      <c r="C23" s="1747"/>
      <c r="D23" s="1747"/>
      <c r="E23" s="129"/>
      <c r="F23" s="129"/>
      <c r="G23" s="129"/>
      <c r="H23" s="129"/>
      <c r="I23" s="129"/>
    </row>
    <row r="24" spans="1:36" ht="14.4">
      <c r="A24" s="3557" t="s">
        <v>1299</v>
      </c>
      <c r="B24" s="1762" t="s">
        <v>1291</v>
      </c>
      <c r="C24" s="136">
        <f>IF(B30=0,0,D30)</f>
        <v>0</v>
      </c>
      <c r="D24" s="1769"/>
      <c r="E24" s="129"/>
      <c r="F24" s="129"/>
      <c r="G24" s="129"/>
      <c r="H24" s="129"/>
      <c r="I24" s="129"/>
    </row>
    <row r="25" spans="1:36" ht="14.4">
      <c r="A25" s="35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64176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7" t="s">
        <v>1312</v>
      </c>
      <c r="B36" s="1787" t="s">
        <v>1313</v>
      </c>
      <c r="C36" s="145"/>
      <c r="D36" s="1788"/>
      <c r="E36" s="1789"/>
      <c r="F36" s="1790"/>
      <c r="G36" s="129"/>
      <c r="H36" s="129"/>
      <c r="I36" s="129"/>
    </row>
    <row r="37" spans="1:15" ht="15" thickBot="1">
      <c r="A37" s="3578"/>
      <c r="B37" s="1674" t="s">
        <v>1314</v>
      </c>
      <c r="C37" s="147"/>
      <c r="D37" s="1139"/>
      <c r="E37" s="1139"/>
      <c r="F37" s="1790"/>
      <c r="G37" s="129"/>
      <c r="H37" s="129"/>
      <c r="I37" s="129"/>
    </row>
    <row r="38" spans="1:15" ht="15" thickBot="1">
      <c r="A38" s="357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4" t="s">
        <v>1326</v>
      </c>
      <c r="B45" s="3555"/>
      <c r="C45" s="3556"/>
      <c r="D45" s="155" t="e">
        <f ca="1">ROUND(H101*F45,0)</f>
        <v>#REF!</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6"/>
      <c r="I46" s="159"/>
      <c r="J46" s="2523">
        <v>1</v>
      </c>
      <c r="K46" s="3613" t="s">
        <v>1331</v>
      </c>
      <c r="L46" s="3613"/>
      <c r="M46" s="3633"/>
      <c r="N46" s="3633"/>
      <c r="O46" s="3633"/>
    </row>
    <row r="47" spans="1:15" ht="12" customHeight="1">
      <c r="A47" s="160" t="s">
        <v>1332</v>
      </c>
      <c r="B47" s="161"/>
      <c r="C47" s="162"/>
      <c r="D47" s="1087" t="s">
        <v>1333</v>
      </c>
      <c r="E47" s="302" t="s">
        <v>1334</v>
      </c>
      <c r="F47" s="163" t="s">
        <v>1335</v>
      </c>
      <c r="G47" s="2546" t="s">
        <v>1336</v>
      </c>
      <c r="H47" s="2547"/>
      <c r="I47" s="159"/>
      <c r="J47" s="2523">
        <v>2</v>
      </c>
      <c r="K47" s="3613" t="s">
        <v>1337</v>
      </c>
      <c r="L47" s="3613"/>
      <c r="M47" s="3634">
        <f>'数据-取费表'!B2</f>
        <v>42339</v>
      </c>
      <c r="N47" s="3634"/>
      <c r="O47" s="3634"/>
    </row>
    <row r="48" spans="1:15" ht="26.4">
      <c r="A48" s="3582" t="s">
        <v>1338</v>
      </c>
      <c r="B48" s="3565"/>
      <c r="C48" s="356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3" t="s">
        <v>1340</v>
      </c>
      <c r="L48" s="3613"/>
      <c r="M48" s="3635" t="e">
        <f ca="1">H101</f>
        <v>#REF!</v>
      </c>
      <c r="N48" s="3635"/>
      <c r="O48" s="3635"/>
    </row>
    <row r="49" spans="1:35" ht="25.5" customHeight="1">
      <c r="A49" s="2333" t="s">
        <v>1341</v>
      </c>
      <c r="B49" s="3549" t="s">
        <v>1342</v>
      </c>
      <c r="C49" s="3549"/>
      <c r="D49" s="1590">
        <v>0</v>
      </c>
      <c r="E49" s="324" t="s">
        <v>1343</v>
      </c>
      <c r="F49" s="2424" t="s">
        <v>28</v>
      </c>
      <c r="G49" s="3619"/>
      <c r="H49" s="2310" t="s">
        <v>2134</v>
      </c>
      <c r="I49" s="2311"/>
      <c r="J49" s="2523">
        <v>4</v>
      </c>
      <c r="K49" s="3613" t="str">
        <f>IF(项目基本情况!E8="房地产抵押价值","房地产抵押价值","抵押担保权已注销时的房地产抵押价值")</f>
        <v>抵押担保权已注销时的房地产抵押价值</v>
      </c>
      <c r="L49" s="3613"/>
      <c r="M49" s="3635" t="str">
        <f>IF(项目基本情况!E8="房地产抵押价值",H107,H109)</f>
        <v>——</v>
      </c>
      <c r="N49" s="3635"/>
      <c r="O49" s="3635"/>
    </row>
    <row r="50" spans="1:35" ht="25.5" customHeight="1">
      <c r="A50" s="2551"/>
      <c r="B50" s="3549" t="s">
        <v>1344</v>
      </c>
      <c r="C50" s="3549"/>
      <c r="D50" s="2552"/>
      <c r="E50" s="332"/>
      <c r="F50" s="2424"/>
      <c r="G50" s="3620"/>
      <c r="H50" s="2312" t="s">
        <v>2135</v>
      </c>
      <c r="I50" s="2311"/>
      <c r="J50" s="3632" t="s">
        <v>1345</v>
      </c>
      <c r="K50" s="3632"/>
      <c r="L50" s="3632"/>
      <c r="M50" s="3632"/>
      <c r="N50" s="3632"/>
      <c r="O50" s="3632"/>
    </row>
    <row r="51" spans="1:35" ht="20.399999999999999" customHeight="1">
      <c r="A51" s="2553"/>
      <c r="B51" s="3549" t="s">
        <v>1346</v>
      </c>
      <c r="C51" s="3549"/>
      <c r="D51" s="1087"/>
      <c r="E51" s="327"/>
      <c r="F51" s="2424"/>
      <c r="G51" s="3621"/>
      <c r="H51" s="2312" t="s">
        <v>2136</v>
      </c>
      <c r="I51" s="2311"/>
      <c r="J51" s="2524" t="s">
        <v>1347</v>
      </c>
      <c r="K51" s="3613" t="s">
        <v>1348</v>
      </c>
      <c r="L51" s="3613"/>
      <c r="M51" s="2524" t="s">
        <v>1349</v>
      </c>
      <c r="N51" s="2524" t="s">
        <v>1350</v>
      </c>
      <c r="O51" s="2524" t="s">
        <v>1351</v>
      </c>
    </row>
    <row r="52" spans="1:35" ht="24" customHeight="1">
      <c r="A52" s="2335" t="s">
        <v>1352</v>
      </c>
      <c r="B52" s="3549" t="s">
        <v>1353</v>
      </c>
      <c r="C52" s="3549"/>
      <c r="D52" s="1087" t="e">
        <f ca="1">ROUND(D45*'数据-取费表'!B41/(1+'数据-取费表'!C42),0)</f>
        <v>#REF!</v>
      </c>
      <c r="E52" s="2334" t="s">
        <v>1354</v>
      </c>
      <c r="F52" s="2554">
        <f>'数据-取费表'!B41</f>
        <v>5.6000000000000001E-2</v>
      </c>
      <c r="G52" s="2555"/>
      <c r="H52" s="2544"/>
      <c r="I52" s="1807"/>
      <c r="J52" s="2523">
        <v>1</v>
      </c>
      <c r="K52" s="3614" t="s">
        <v>1355</v>
      </c>
      <c r="L52" s="3614"/>
      <c r="M52" s="2525" t="b">
        <f>D48</f>
        <v>0</v>
      </c>
      <c r="N52" s="2523" t="str">
        <f>E48</f>
        <v>销售额×税（费）率</v>
      </c>
      <c r="O52" s="2526">
        <f>F48</f>
        <v>5.6000000000000001E-2</v>
      </c>
    </row>
    <row r="53" spans="1:35" ht="12" customHeight="1">
      <c r="A53" s="2335" t="s">
        <v>1356</v>
      </c>
      <c r="B53" s="3575" t="s">
        <v>2291</v>
      </c>
      <c r="C53" s="3576"/>
      <c r="D53" s="1087" t="e">
        <f ca="1">ROUND(D45*'数据-取费表'!B41/(1+'数据-取费表'!C42),0)</f>
        <v>#REF!</v>
      </c>
      <c r="E53" s="2334" t="s">
        <v>1354</v>
      </c>
      <c r="F53" s="2554">
        <f>'数据-取费表'!B41</f>
        <v>5.6000000000000001E-2</v>
      </c>
      <c r="G53" s="2555"/>
      <c r="H53" s="2544"/>
      <c r="I53" s="1807"/>
      <c r="J53" s="2523">
        <v>2</v>
      </c>
      <c r="K53" s="3614" t="s">
        <v>1357</v>
      </c>
      <c r="L53" s="3614"/>
      <c r="M53" s="2525" t="e">
        <f t="shared" ref="M53:O54" ca="1" si="0">D55</f>
        <v>#REF!</v>
      </c>
      <c r="N53" s="2523" t="str">
        <f t="shared" si="0"/>
        <v>销售额×税（费）率</v>
      </c>
      <c r="O53" s="2526" t="str">
        <f t="shared" si="0"/>
        <v>免征</v>
      </c>
    </row>
    <row r="54" spans="1:35" ht="12" customHeight="1">
      <c r="A54" s="2335" t="s">
        <v>1358</v>
      </c>
      <c r="B54" s="3575" t="s">
        <v>2292</v>
      </c>
      <c r="C54" s="3576"/>
      <c r="D54" s="1087" t="e">
        <f ca="1">C68</f>
        <v>#REF!</v>
      </c>
      <c r="E54" s="327" t="s">
        <v>1359</v>
      </c>
      <c r="F54" s="2554">
        <f>'数据-取费表'!B41</f>
        <v>5.6000000000000001E-2</v>
      </c>
      <c r="G54" s="2555"/>
      <c r="H54" s="2556"/>
      <c r="I54" s="1807"/>
      <c r="J54" s="2523">
        <v>3</v>
      </c>
      <c r="K54" s="3614" t="s">
        <v>1360</v>
      </c>
      <c r="L54" s="3614"/>
      <c r="M54" s="2525" t="e">
        <f t="shared" ca="1" si="0"/>
        <v>#REF!</v>
      </c>
      <c r="N54" s="2523" t="str">
        <f t="shared" si="0"/>
        <v>增值额×税（费）率</v>
      </c>
      <c r="O54" s="2527" t="str">
        <f t="shared" si="0"/>
        <v>免征</v>
      </c>
    </row>
    <row r="55" spans="1:35" ht="24" customHeight="1">
      <c r="A55" s="3564" t="s">
        <v>1361</v>
      </c>
      <c r="B55" s="3565"/>
      <c r="C55" s="3565"/>
      <c r="D55" s="2324" t="e">
        <f ca="1">IF(H55="个人住宅",0,ROUND(D45*I55,0))</f>
        <v>#REF!</v>
      </c>
      <c r="E55" s="2334" t="s">
        <v>1362</v>
      </c>
      <c r="F55" s="2554" t="str">
        <f>IF(H55="正常",I55,"免征")</f>
        <v>免征</v>
      </c>
      <c r="G55" s="2555"/>
      <c r="H55" s="2550"/>
      <c r="I55" s="165">
        <f>'数据-取费表'!B49</f>
        <v>5.0000000000000001E-4</v>
      </c>
      <c r="J55" s="2523">
        <f>IF(H59="非个人房产","",4)</f>
        <v>4</v>
      </c>
      <c r="K55" s="3614" t="str">
        <f>IF(H59="非个人房产","——","个人所得税")</f>
        <v>个人所得税</v>
      </c>
      <c r="L55" s="3614"/>
      <c r="M55" s="2528" t="e">
        <f ca="1">D59</f>
        <v>#REF!</v>
      </c>
      <c r="N55" s="2040" t="str">
        <f>E59</f>
        <v>差额计税</v>
      </c>
      <c r="O55" s="2529">
        <f>F59</f>
        <v>0.01</v>
      </c>
    </row>
    <row r="56" spans="1:35" ht="25.2">
      <c r="A56" s="3564" t="s">
        <v>1363</v>
      </c>
      <c r="B56" s="3565"/>
      <c r="C56" s="3565"/>
      <c r="D56" s="2324" t="e">
        <f ca="1">IF(H56="个人住宅",D57,D58)</f>
        <v>#REF!</v>
      </c>
      <c r="E56" s="2334" t="s">
        <v>1364</v>
      </c>
      <c r="F56" s="2554" t="str">
        <f>IF(H56="正常",F58,"免征")</f>
        <v>免征</v>
      </c>
      <c r="G56" s="2557" t="s">
        <v>1365</v>
      </c>
      <c r="H56" s="2558"/>
      <c r="I56" s="1808"/>
      <c r="J56" s="2523" t="str">
        <f>IF(项目基本情况!K6="上海银行",IF(J55="",4,J55+1),"")</f>
        <v/>
      </c>
      <c r="K56" s="3637" t="str">
        <f>IF(项目基本情况!K6="上海银行","其他处置费用","")</f>
        <v/>
      </c>
      <c r="L56" s="3638"/>
      <c r="M56" s="2525" t="str">
        <f>IF(项目基本情况!K6="上海银行",M69,"")</f>
        <v/>
      </c>
      <c r="N56" s="3637" t="str">
        <f>IF(项目基本情况!K6="上海银行","包含处置中涉及的律师、诉讼、拍卖、评估等费用","")</f>
        <v/>
      </c>
      <c r="O56" s="3640"/>
    </row>
    <row r="57" spans="1:35" ht="13.2">
      <c r="A57" s="2335" t="s">
        <v>1341</v>
      </c>
      <c r="B57" s="3575" t="s">
        <v>1366</v>
      </c>
      <c r="C57" s="3576"/>
      <c r="D57" s="1590">
        <v>0</v>
      </c>
      <c r="E57" s="324" t="s">
        <v>1343</v>
      </c>
      <c r="F57" s="302"/>
      <c r="G57" s="2555"/>
      <c r="H57" s="2559"/>
      <c r="I57" s="1808"/>
      <c r="J57" s="3614">
        <f>IF(AND(J55="",J56=""),4,IF(项目基本情况!K6="上海银行",结果表!J56+1,结果表!J55+1))</f>
        <v>5</v>
      </c>
      <c r="K57" s="3614" t="s">
        <v>1367</v>
      </c>
      <c r="L57" s="2530" t="s">
        <v>1368</v>
      </c>
      <c r="M57" s="2531"/>
      <c r="N57" s="2532">
        <f ca="1">SUMIF(M52:M56,"&lt;9e307")</f>
        <v>0</v>
      </c>
      <c r="O57" s="2533"/>
      <c r="P57" s="2690" t="e">
        <f ca="1">N57/M49</f>
        <v>#VALUE!</v>
      </c>
    </row>
    <row r="58" spans="1:35" ht="25.2">
      <c r="A58" s="2335" t="s">
        <v>1352</v>
      </c>
      <c r="B58" s="3575" t="s">
        <v>1369</v>
      </c>
      <c r="C58" s="3549"/>
      <c r="D58" s="2324" t="e">
        <f ca="1">IF(H58="转让取得",C81,C97)</f>
        <v>#REF!</v>
      </c>
      <c r="E58" s="2334" t="s">
        <v>1364</v>
      </c>
      <c r="F58" s="302" t="s">
        <v>28</v>
      </c>
      <c r="G58" s="2555"/>
      <c r="H58" s="2558"/>
      <c r="I58" s="1808"/>
      <c r="J58" s="3614"/>
      <c r="K58" s="3614"/>
      <c r="L58" s="2530" t="s">
        <v>1370</v>
      </c>
      <c r="M58" s="2534"/>
      <c r="N58" s="2535" t="str">
        <f ca="1">NUMBERSTRING(INT(N57*10000),2)&amp;"元整"</f>
        <v>零元整</v>
      </c>
      <c r="O58" s="2536"/>
    </row>
    <row r="59" spans="1:35" ht="24.6" thickBot="1">
      <c r="A59" s="3617" t="s">
        <v>1371</v>
      </c>
      <c r="B59" s="3618"/>
      <c r="C59" s="361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5">
        <f>J57+1</f>
        <v>6</v>
      </c>
      <c r="K59" s="3614" t="s">
        <v>1372</v>
      </c>
      <c r="L59" s="2523" t="s">
        <v>1368</v>
      </c>
      <c r="M59" s="2537"/>
      <c r="N59" s="2538" t="e">
        <f ca="1">M49-N57</f>
        <v>#VALUE!</v>
      </c>
      <c r="O59" s="2539"/>
    </row>
    <row r="60" spans="1:35" ht="12" customHeight="1">
      <c r="A60" s="1809"/>
      <c r="B60" s="1747"/>
      <c r="C60" s="1747"/>
      <c r="D60" s="1747"/>
      <c r="E60" s="1578"/>
      <c r="F60" s="1808"/>
      <c r="G60" s="1808"/>
      <c r="H60" s="1810"/>
      <c r="I60" s="129"/>
      <c r="J60" s="3616"/>
      <c r="K60" s="3614"/>
      <c r="L60" s="2530" t="s">
        <v>1370</v>
      </c>
      <c r="M60" s="2534"/>
      <c r="N60" s="2535" t="e">
        <f ca="1">NUMBERSTRING(INT(N59*10000),2)&amp;"元整"</f>
        <v>#VALUE!</v>
      </c>
      <c r="O60" s="2536"/>
    </row>
    <row r="61" spans="1:35" ht="13.8" thickBot="1">
      <c r="A61" s="3562" t="s">
        <v>1373</v>
      </c>
      <c r="B61" s="3562"/>
      <c r="C61" s="3562"/>
      <c r="D61" s="3562"/>
      <c r="E61" s="3562"/>
      <c r="F61" s="1808"/>
      <c r="G61" s="1808"/>
      <c r="H61" s="1810"/>
      <c r="I61" s="129"/>
      <c r="J61" s="2523">
        <f>J59+1</f>
        <v>7</v>
      </c>
      <c r="K61" s="3614" t="s">
        <v>1374</v>
      </c>
      <c r="L61" s="3614"/>
      <c r="M61" s="2540"/>
      <c r="N61" s="2541" t="e">
        <f ca="1">ROUND(N59*10000/'数据-汇总表'!E3,0)</f>
        <v>#VALUE!</v>
      </c>
      <c r="O61" s="2542"/>
    </row>
    <row r="62" spans="1:35" ht="13.2">
      <c r="A62" s="3580" t="s">
        <v>1375</v>
      </c>
      <c r="B62" s="358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3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0" t="s">
        <v>1375</v>
      </c>
      <c r="B71" s="358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5" t="s">
        <v>1402</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9" t="s">
        <v>1406</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0" t="s">
        <v>1375</v>
      </c>
      <c r="B84" s="35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1" t="s">
        <v>2129</v>
      </c>
      <c r="H90" s="364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9" t="s">
        <v>1419</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9" t="s">
        <v>1422</v>
      </c>
      <c r="F92" s="3560"/>
      <c r="G92" s="3560"/>
      <c r="H92" s="356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9" t="s">
        <v>1406</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0" t="s">
        <v>1426</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5" t="str">
        <f>C4</f>
        <v>比较法-住宅</v>
      </c>
      <c r="D101" s="2586" t="str">
        <f>D4</f>
        <v>成本法 (元)</v>
      </c>
      <c r="E101" s="3636" t="s">
        <v>1431</v>
      </c>
      <c r="F101" s="3593"/>
      <c r="G101" s="1827" t="s">
        <v>1432</v>
      </c>
      <c r="H101" s="2595" t="e">
        <f ca="1">H118</f>
        <v>#REF!</v>
      </c>
      <c r="I101" s="129"/>
    </row>
    <row r="102" spans="1:35" ht="18.75" customHeight="1">
      <c r="A102" s="3595" t="s">
        <v>1433</v>
      </c>
      <c r="B102" s="2584" t="s">
        <v>1432</v>
      </c>
      <c r="C102" s="2585">
        <f ca="1">IF(D32="楼面单价",ROUND(C19,0),C19)</f>
        <v>1490.8145</v>
      </c>
      <c r="D102" s="2586">
        <f ca="1">IF(D32="楼面单价",ROUND(D19,0),D19)</f>
        <v>1072.3053</v>
      </c>
      <c r="E102" s="3636"/>
      <c r="F102" s="3593"/>
      <c r="G102" s="1827" t="s">
        <v>1434</v>
      </c>
      <c r="H102" s="2555" t="e">
        <f ca="1">I118</f>
        <v>#REF!</v>
      </c>
      <c r="I102" s="129"/>
    </row>
    <row r="103" spans="1:35" ht="42.75" customHeight="1">
      <c r="A103" s="3595"/>
      <c r="B103" s="2584" t="s">
        <v>1434</v>
      </c>
      <c r="C103" s="2587">
        <f ca="1">C20</f>
        <v>67993</v>
      </c>
      <c r="D103" s="2588">
        <f ca="1">D20</f>
        <v>48906</v>
      </c>
      <c r="E103" s="3630" t="s">
        <v>1435</v>
      </c>
      <c r="F103" s="3631"/>
      <c r="G103" s="1828" t="s">
        <v>1436</v>
      </c>
      <c r="H103" s="2595">
        <f>IF(D36="正常操作",H104+H105+H106,H105+H106)</f>
        <v>0</v>
      </c>
      <c r="I103" s="129"/>
    </row>
    <row r="104" spans="1:35" ht="18.75" customHeight="1">
      <c r="A104" s="359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93"/>
      <c r="G107" s="1827" t="s">
        <v>1432</v>
      </c>
      <c r="H107" s="2595" t="e">
        <f ca="1">IF(E107="——","——",H101-H103)</f>
        <v>#REF!</v>
      </c>
      <c r="I107" s="129"/>
    </row>
    <row r="108" spans="1:35" ht="18.75" customHeight="1">
      <c r="A108" s="129"/>
      <c r="B108" s="129"/>
      <c r="C108" s="129"/>
      <c r="D108" s="129"/>
      <c r="E108" s="3592"/>
      <c r="F108" s="3593"/>
      <c r="G108" s="1827" t="s">
        <v>1434</v>
      </c>
      <c r="H108" s="2555">
        <f ca="1">IF(H107=H101,H102,ROUND(H107*10000/'数据-汇总表'!E3,0))</f>
        <v>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1432</v>
      </c>
      <c r="H109" s="2598" t="str">
        <f>IF(E109="——","——",H101-H105-H106)</f>
        <v>——</v>
      </c>
      <c r="I109" s="129"/>
    </row>
    <row r="110" spans="1:35" ht="18.75" customHeight="1">
      <c r="A110" s="129"/>
      <c r="B110" s="129"/>
      <c r="C110" s="129"/>
      <c r="D110" s="129"/>
      <c r="E110" s="3592"/>
      <c r="F110" s="3593"/>
      <c r="G110" s="1827" t="s">
        <v>1434</v>
      </c>
      <c r="H110" s="2555"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25"/>
      <c r="F112" s="3626"/>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219.26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3" t="s">
        <v>1452</v>
      </c>
      <c r="B119" s="3563"/>
      <c r="C119" s="3563"/>
      <c r="D119" s="3603" t="e">
        <f ca="1">NUMBERSTRING(INT(D118*10000),2)&amp;"元整"</f>
        <v>#REF!</v>
      </c>
      <c r="E119" s="3605"/>
      <c r="F119" s="3603" t="e">
        <f ca="1">NUMBERSTRING(INT(F118*10000),2)&amp;"元整"</f>
        <v>#REF!</v>
      </c>
      <c r="G119" s="3605"/>
      <c r="H119" s="3603" t="e">
        <f ca="1">NUMBERSTRING(INT(H118*10000),2)&amp;"元整"</f>
        <v>#REF!</v>
      </c>
      <c r="I119" s="3605"/>
    </row>
    <row r="120" spans="1:27" ht="18.75" customHeight="1">
      <c r="A120" s="3627" t="str">
        <f>IF(项目基本情况!B9="房地产市场价值","",MID(E103,3,LEN(E103)-2))</f>
        <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
      </c>
      <c r="B122" s="3594"/>
      <c r="C122" s="3594"/>
      <c r="D122" s="3627" t="e">
        <f ca="1">H107</f>
        <v>#REF!</v>
      </c>
      <c r="E122" s="3628"/>
      <c r="F122" s="3628"/>
      <c r="G122" s="3628"/>
      <c r="H122" s="3628"/>
      <c r="I122" s="3629"/>
      <c r="AA122" s="725"/>
    </row>
    <row r="123" spans="1:27" ht="18.75" customHeight="1">
      <c r="A123" s="3563" t="s">
        <v>1452</v>
      </c>
      <c r="B123" s="3563"/>
      <c r="C123" s="3563"/>
      <c r="D123" s="3603" t="e">
        <f ca="1">NUMBERSTRING(INT(D122*10000),2)&amp;"元整"</f>
        <v>#REF!</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1452</v>
      </c>
      <c r="B127" s="3563"/>
      <c r="C127" s="3563"/>
      <c r="D127" s="3603" t="e">
        <f>NUMBERSTRING(INT(D126*10000),2)&amp;"元整"</f>
        <v>#VALUE!</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6613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219.26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219.26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219.26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22</v>
      </c>
      <c r="D45" s="235">
        <f ca="1">C47</f>
        <v>4.0000000000000001E-3</v>
      </c>
      <c r="E45" s="236" t="s">
        <v>1539</v>
      </c>
      <c r="F45" s="246">
        <f ca="1">F27</f>
        <v>0.2</v>
      </c>
      <c r="G45" s="247" t="s">
        <v>1548</v>
      </c>
    </row>
    <row r="46" spans="1:7" s="214" customFormat="1" ht="13.5" customHeight="1">
      <c r="A46" s="780" t="s">
        <v>346</v>
      </c>
      <c r="B46" s="248" t="s">
        <v>1549</v>
      </c>
      <c r="C46" s="249">
        <f ca="1">ROUND((C33+C39)*F27,0)</f>
        <v>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140</v>
      </c>
      <c r="D51" s="232"/>
      <c r="E51" s="232"/>
      <c r="F51" s="264"/>
      <c r="G51" s="234" t="s">
        <v>1560</v>
      </c>
    </row>
    <row r="52" spans="1:7" s="208" customFormat="1" ht="16.8" thickBot="1">
      <c r="A52" s="265" t="s">
        <v>1561</v>
      </c>
      <c r="B52" s="266"/>
      <c r="C52" s="267">
        <f ca="1">C31+C51</f>
        <v>145</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5" sqref="J3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1072.3053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48906</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6434982.7999999998</v>
      </c>
      <c r="D5" s="211" t="s">
        <v>1469</v>
      </c>
      <c r="E5" s="212" t="s">
        <v>1470</v>
      </c>
      <c r="F5" s="212" t="s">
        <v>1471</v>
      </c>
      <c r="G5" s="213"/>
    </row>
    <row r="6" spans="1:8" s="214" customFormat="1" ht="13.5" customHeight="1">
      <c r="A6" s="778" t="s">
        <v>1472</v>
      </c>
      <c r="B6" s="215" t="s">
        <v>1473</v>
      </c>
      <c r="C6" s="216">
        <f>'[2]2014基准地价'!$C$29*'数据-汇总表'!F19</f>
        <v>6244524.7999999998</v>
      </c>
      <c r="D6" s="217"/>
      <c r="E6" s="218"/>
      <c r="F6" s="218"/>
      <c r="G6" s="219"/>
    </row>
    <row r="7" spans="1:8" s="214" customFormat="1" ht="13.5" customHeight="1">
      <c r="A7" s="778" t="s">
        <v>1474</v>
      </c>
      <c r="B7" s="215" t="s">
        <v>1475</v>
      </c>
      <c r="C7" s="220">
        <f>ROUND(C6*F7,0)</f>
        <v>190458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35082</v>
      </c>
      <c r="D9" s="845">
        <f ca="1">IF(B1="",'数据-汇总表'!E5,IF(INDIRECT("'数据-取费表'!c"&amp;$G$1)="住宅",INDIRECT("'数据-取费表'!k"&amp;$G$1),0))</f>
        <v>219.26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43852</v>
      </c>
      <c r="D19" s="849">
        <f ca="1">D9+D10</f>
        <v>219.26</v>
      </c>
      <c r="E19" s="211">
        <f>'数据-取费表'!B31</f>
        <v>200</v>
      </c>
      <c r="F19" s="231"/>
      <c r="G19" s="1856" t="s">
        <v>436</v>
      </c>
    </row>
    <row r="20" spans="1:7" s="214" customFormat="1" ht="13.5" customHeight="1">
      <c r="A20" s="255" t="s">
        <v>1574</v>
      </c>
      <c r="B20" s="210" t="s">
        <v>1575</v>
      </c>
      <c r="C20" s="232">
        <f ca="1">ROUND((C5+C19)*F20,0)</f>
        <v>129577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636262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625842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4265</v>
      </c>
      <c r="D24" s="238"/>
      <c r="E24" s="238"/>
      <c r="F24" s="239"/>
      <c r="G24" s="240" t="s">
        <v>1586</v>
      </c>
    </row>
    <row r="25" spans="1:7" s="214" customFormat="1" ht="24">
      <c r="A25" s="780" t="s">
        <v>1476</v>
      </c>
      <c r="B25" s="215" t="s">
        <v>1587</v>
      </c>
      <c r="C25" s="1128">
        <f ca="1">ROUND(IF('数据-取费表'!B22&lt;=1,C20*F22*'数据-取费表'!B22/2,C20*(POWER((1+F22),'数据-取费表'!B22/2)-1)),0)</f>
        <v>6155</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1321682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1321682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9321388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1065604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877040</v>
      </c>
      <c r="D34" s="217"/>
      <c r="E34" s="220"/>
      <c r="F34" s="257"/>
      <c r="G34" s="219"/>
    </row>
    <row r="35" spans="1:7" ht="13.5" customHeight="1">
      <c r="A35" s="780" t="s">
        <v>351</v>
      </c>
      <c r="B35" s="215" t="s">
        <v>1527</v>
      </c>
      <c r="C35" s="220">
        <f ca="1">ROUND(C34*F35,0)</f>
        <v>43852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87704</v>
      </c>
      <c r="D36" s="220"/>
      <c r="E36" s="220"/>
      <c r="F36" s="259">
        <f>'数据-取费表'!B34</f>
        <v>0.1</v>
      </c>
      <c r="G36" s="260" t="s">
        <v>1530</v>
      </c>
    </row>
    <row r="37" spans="1:7" s="258" customFormat="1" ht="13.5" customHeight="1">
      <c r="A37" s="780" t="s">
        <v>353</v>
      </c>
      <c r="B37" s="215" t="s">
        <v>1531</v>
      </c>
      <c r="C37" s="249">
        <f ca="1">ROUND(E37*D37,0)</f>
        <v>43852</v>
      </c>
      <c r="D37" s="217">
        <f ca="1">D19</f>
        <v>219.26</v>
      </c>
      <c r="E37" s="249">
        <f>'数据-取费表'!B35</f>
        <v>200</v>
      </c>
      <c r="F37" s="259"/>
      <c r="G37" s="261"/>
    </row>
    <row r="38" spans="1:7" ht="13.5" customHeight="1">
      <c r="A38" s="780" t="s">
        <v>354</v>
      </c>
      <c r="B38" s="215" t="s">
        <v>1533</v>
      </c>
      <c r="C38" s="220">
        <f ca="1">ROUND(C34*F38,0)</f>
        <v>13156</v>
      </c>
      <c r="D38" s="220"/>
      <c r="E38" s="220"/>
      <c r="F38" s="259">
        <f>'数据-取费表'!B36</f>
        <v>1.4999999999999999E-2</v>
      </c>
      <c r="G38" s="219" t="s">
        <v>1528</v>
      </c>
    </row>
    <row r="39" spans="1:7" s="214" customFormat="1" ht="13.5" customHeight="1">
      <c r="A39" s="255" t="s">
        <v>1534</v>
      </c>
      <c r="B39" s="210" t="s">
        <v>1535</v>
      </c>
      <c r="C39" s="232">
        <f ca="1">ROUND(C33*F20,0)</f>
        <v>21312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51628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50616</v>
      </c>
      <c r="D42" s="238"/>
      <c r="E42" s="238"/>
      <c r="F42" s="239"/>
      <c r="G42" s="3643" t="s">
        <v>1591</v>
      </c>
    </row>
    <row r="43" spans="1:7" ht="13.5" customHeight="1">
      <c r="A43" s="780" t="s">
        <v>347</v>
      </c>
      <c r="B43" s="215" t="s">
        <v>1545</v>
      </c>
      <c r="C43" s="238">
        <f ca="1">ROUND(IF('数据-取费表'!B22&lt;=1,C39*F22*'数据-取费表'!B20/2,C39*(POWER((1+F22),'数据-取费表'!B20/2)-1)),0)</f>
        <v>1012</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217383</v>
      </c>
      <c r="D45" s="235">
        <f ca="1">C47</f>
        <v>4.0000000000000001E-3</v>
      </c>
      <c r="E45" s="236" t="s">
        <v>1539</v>
      </c>
      <c r="F45" s="246">
        <f ca="1">F27</f>
        <v>0.2</v>
      </c>
      <c r="G45" s="247" t="s">
        <v>1548</v>
      </c>
    </row>
    <row r="46" spans="1:7" s="214" customFormat="1" ht="13.5" customHeight="1">
      <c r="A46" s="780" t="s">
        <v>346</v>
      </c>
      <c r="B46" s="248" t="s">
        <v>1549</v>
      </c>
      <c r="C46" s="249">
        <f ca="1">ROUND((C33+C39)*F27,0)</f>
        <v>217383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1475437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1401665</v>
      </c>
      <c r="D51" s="232"/>
      <c r="E51" s="232"/>
      <c r="F51" s="264"/>
      <c r="G51" s="234" t="s">
        <v>1560</v>
      </c>
    </row>
    <row r="52" spans="1:7" s="208" customFormat="1" ht="16.8" thickBot="1">
      <c r="A52" s="265" t="s">
        <v>1561</v>
      </c>
      <c r="B52" s="266"/>
      <c r="C52" s="267">
        <f ca="1">C31+C51</f>
        <v>10723053</v>
      </c>
      <c r="D52" s="266"/>
      <c r="E52" s="266"/>
      <c r="F52" s="266"/>
      <c r="G52" s="268"/>
    </row>
    <row r="55" spans="1:7" ht="15">
      <c r="B55" s="270" t="s">
        <v>1562</v>
      </c>
      <c r="C55" s="271"/>
    </row>
    <row r="56" spans="1:7">
      <c r="B56" s="273" t="s">
        <v>802</v>
      </c>
      <c r="C56" s="275">
        <f ca="1">1-C57</f>
        <v>0.86899999999999999</v>
      </c>
    </row>
    <row r="57" spans="1:7">
      <c r="B57" s="273" t="s">
        <v>803</v>
      </c>
      <c r="C57" s="274">
        <f ca="1">ROUND(C51/C52,3)</f>
        <v>0.13100000000000001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219.26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219.26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219.26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2109</v>
      </c>
      <c r="E6" s="302" t="s">
        <v>696</v>
      </c>
      <c r="F6" s="303">
        <f ca="1">INDIRECT("'数据-取费表'!u"&amp;$G$1)</f>
        <v>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57" t="s">
        <v>2318</v>
      </c>
      <c r="K2" s="3658"/>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59" t="s">
        <v>2328</v>
      </c>
      <c r="K3" s="3660"/>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59" t="s">
        <v>2330</v>
      </c>
      <c r="K4" s="3660"/>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65" t="s">
        <v>2334</v>
      </c>
      <c r="B6" s="3666"/>
      <c r="C6" s="3667"/>
      <c r="D6" s="2870"/>
      <c r="E6" s="2871"/>
      <c r="F6" s="2872"/>
      <c r="G6" s="2873"/>
      <c r="H6" s="2848"/>
      <c r="I6" s="2849"/>
      <c r="J6" s="3651">
        <v>1</v>
      </c>
      <c r="K6" s="3652"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51"/>
      <c r="K7" s="3653"/>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68" t="s">
        <v>2348</v>
      </c>
      <c r="C8" s="3669"/>
      <c r="D8" s="2889" t="s">
        <v>2349</v>
      </c>
      <c r="E8" s="2890" t="s">
        <v>2350</v>
      </c>
      <c r="F8" s="2891" t="s">
        <v>2351</v>
      </c>
      <c r="G8" s="2892"/>
      <c r="H8" s="2848"/>
      <c r="I8" s="2849"/>
      <c r="J8" s="3651"/>
      <c r="K8" s="3653"/>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68" t="s">
        <v>2354</v>
      </c>
      <c r="C9" s="3669"/>
      <c r="D9" s="2889">
        <f>ROUND(D6*E9,0)</f>
        <v>0</v>
      </c>
      <c r="E9" s="2893"/>
      <c r="F9" s="2894" t="s">
        <v>2355</v>
      </c>
      <c r="G9" s="2873"/>
      <c r="H9" s="2848"/>
      <c r="I9" s="2849"/>
      <c r="J9" s="3651"/>
      <c r="K9" s="3653"/>
      <c r="L9" s="2883" t="s">
        <v>2356</v>
      </c>
      <c r="M9" s="2884"/>
      <c r="N9" s="2860"/>
      <c r="O9" s="2885"/>
      <c r="P9" s="2885"/>
      <c r="Q9" s="2886">
        <v>365</v>
      </c>
      <c r="R9" s="2887">
        <f t="shared" si="0"/>
        <v>0</v>
      </c>
      <c r="S9" s="2841"/>
      <c r="T9" s="2841"/>
      <c r="U9" s="2841"/>
      <c r="V9" s="2849"/>
    </row>
    <row r="10" spans="1:22" s="2853" customFormat="1" ht="13.2" customHeight="1">
      <c r="A10" s="2888">
        <v>2</v>
      </c>
      <c r="B10" s="3668" t="s">
        <v>2357</v>
      </c>
      <c r="C10" s="3669"/>
      <c r="D10" s="2889">
        <f>ROUND(D6*E10,0)</f>
        <v>0</v>
      </c>
      <c r="E10" s="2893"/>
      <c r="F10" s="2894" t="s">
        <v>2358</v>
      </c>
      <c r="G10" s="2873"/>
      <c r="H10" s="2848"/>
      <c r="I10" s="2849"/>
      <c r="J10" s="3651"/>
      <c r="K10" s="3653"/>
      <c r="L10" s="2883" t="s">
        <v>2359</v>
      </c>
      <c r="M10" s="2884"/>
      <c r="N10" s="2860"/>
      <c r="O10" s="2885"/>
      <c r="P10" s="2885"/>
      <c r="Q10" s="2886">
        <v>365</v>
      </c>
      <c r="R10" s="2887">
        <f t="shared" si="0"/>
        <v>0</v>
      </c>
      <c r="S10" s="2841"/>
      <c r="T10" s="2841"/>
      <c r="U10" s="2841"/>
      <c r="V10" s="2849"/>
    </row>
    <row r="11" spans="1:22" s="2853" customFormat="1" ht="13.2" customHeight="1">
      <c r="A11" s="2888">
        <v>3</v>
      </c>
      <c r="B11" s="3668" t="s">
        <v>2360</v>
      </c>
      <c r="C11" s="3669"/>
      <c r="D11" s="2889">
        <f>D12+D14+D15+D16</f>
        <v>0</v>
      </c>
      <c r="E11" s="2895" t="e">
        <f>D11/D6</f>
        <v>#DIV/0!</v>
      </c>
      <c r="F11" s="2891"/>
      <c r="G11" s="2892"/>
      <c r="H11" s="2848"/>
      <c r="I11" s="2849"/>
      <c r="J11" s="3651"/>
      <c r="K11" s="3653"/>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61" t="s">
        <v>2363</v>
      </c>
      <c r="C12" s="3662"/>
      <c r="D12" s="2897">
        <f>ROUND(D13*1.2%*(1-30%),0)</f>
        <v>0</v>
      </c>
      <c r="E12" s="2898">
        <v>1.2E-2</v>
      </c>
      <c r="F12" s="2891" t="s">
        <v>2364</v>
      </c>
      <c r="G12" s="2892"/>
      <c r="H12" s="2848"/>
      <c r="I12" s="2849"/>
      <c r="J12" s="3651"/>
      <c r="K12" s="3653"/>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51"/>
      <c r="K13" s="3653"/>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61" t="s">
        <v>2369</v>
      </c>
      <c r="C14" s="3662"/>
      <c r="D14" s="2897">
        <f>ROUND(E14*B5/10000,0)</f>
        <v>0</v>
      </c>
      <c r="E14" s="2886"/>
      <c r="F14" s="2891" t="s">
        <v>2370</v>
      </c>
      <c r="G14" s="2892"/>
      <c r="H14" s="2848"/>
      <c r="I14" s="2849"/>
      <c r="J14" s="3651"/>
      <c r="K14" s="3654"/>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61" t="s">
        <v>2373</v>
      </c>
      <c r="C15" s="3662"/>
      <c r="D15" s="2897">
        <f>ROUND(D6*E15,0)</f>
        <v>0</v>
      </c>
      <c r="E15" s="2898">
        <v>5.5E-2</v>
      </c>
      <c r="F15" s="2891" t="s">
        <v>2374</v>
      </c>
      <c r="G15" s="2873"/>
      <c r="H15" s="2848"/>
      <c r="I15" s="2849"/>
      <c r="J15" s="3651">
        <v>2</v>
      </c>
      <c r="K15" s="3652"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61" t="s">
        <v>2382</v>
      </c>
      <c r="C16" s="3662"/>
      <c r="D16" s="2908">
        <f>D6*E16</f>
        <v>0</v>
      </c>
      <c r="E16" s="2909"/>
      <c r="F16" s="2894" t="s">
        <v>2383</v>
      </c>
      <c r="G16" s="2873"/>
      <c r="H16" s="2848"/>
      <c r="I16" s="2849"/>
      <c r="J16" s="3651"/>
      <c r="K16" s="3653"/>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63" t="s">
        <v>2385</v>
      </c>
      <c r="C17" s="3664"/>
      <c r="D17" s="2911">
        <f>ROUND(D6*E17,0)</f>
        <v>0</v>
      </c>
      <c r="E17" s="2912"/>
      <c r="F17" s="2913" t="s">
        <v>2386</v>
      </c>
      <c r="G17" s="2873"/>
      <c r="H17" s="2848"/>
      <c r="I17" s="2849"/>
      <c r="J17" s="3651"/>
      <c r="K17" s="3653"/>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51"/>
      <c r="K18" s="3653"/>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51"/>
      <c r="K19" s="3654"/>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1">
        <v>3</v>
      </c>
      <c r="K20" s="3652"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51"/>
      <c r="K21" s="3653"/>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51"/>
      <c r="K22" s="3653"/>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51"/>
      <c r="K23" s="3653"/>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51"/>
      <c r="K24" s="3654"/>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55">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5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57" t="s">
        <v>2318</v>
      </c>
      <c r="K32" s="3658"/>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59" t="s">
        <v>2328</v>
      </c>
      <c r="K33" s="3660"/>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59" t="s">
        <v>2330</v>
      </c>
      <c r="K34" s="366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51">
        <v>1</v>
      </c>
      <c r="K36" s="3652"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51"/>
      <c r="K40" s="3654"/>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55">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5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0" t="s">
        <v>1654</v>
      </c>
      <c r="C5" s="367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7" zoomScale="70" zoomScaleNormal="60" zoomScaleSheetLayoutView="70" workbookViewId="0">
      <selection activeCell="K18" sqref="K1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1490.8145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67993</v>
      </c>
      <c r="C3" s="354" t="s">
        <v>1665</v>
      </c>
      <c r="D3" s="353">
        <f>IF(D1="",'数据-汇总表'!E3,SUMIF('数据-汇总表'!$C19:$C33,D1,'数据-汇总表'!$E19:$E33))</f>
        <v>219.26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0" t="s">
        <v>1667</v>
      </c>
      <c r="D4" s="3691"/>
      <c r="E4" s="3692" t="s">
        <v>1668</v>
      </c>
      <c r="F4" s="3693"/>
      <c r="G4" s="3690" t="s">
        <v>1669</v>
      </c>
      <c r="H4" s="3691"/>
      <c r="I4" s="3690" t="s">
        <v>1670</v>
      </c>
      <c r="J4" s="3691"/>
      <c r="K4" s="1889" t="s">
        <v>1671</v>
      </c>
      <c r="L4" s="2715"/>
      <c r="M4" s="2716"/>
      <c r="N4" s="2716"/>
      <c r="O4" s="2716"/>
      <c r="P4" s="3694" t="s">
        <v>1672</v>
      </c>
      <c r="Q4" s="3695"/>
      <c r="R4" s="3700" t="s">
        <v>1668</v>
      </c>
      <c r="S4" s="3701"/>
      <c r="T4" s="3700" t="s">
        <v>1669</v>
      </c>
      <c r="U4" s="3701"/>
      <c r="V4" s="3706" t="s">
        <v>1670</v>
      </c>
      <c r="W4" s="3706"/>
      <c r="X4" s="1355"/>
      <c r="Y4" s="3700" t="s">
        <v>1672</v>
      </c>
      <c r="Z4" s="3701"/>
      <c r="AA4" s="3687" t="s">
        <v>1668</v>
      </c>
      <c r="AB4" s="3687" t="s">
        <v>1669</v>
      </c>
      <c r="AC4" s="3687" t="s">
        <v>1670</v>
      </c>
    </row>
    <row r="5" spans="1:29">
      <c r="A5" s="358"/>
      <c r="B5" s="359"/>
      <c r="C5" s="3709" t="s">
        <v>3403</v>
      </c>
      <c r="D5" s="3710"/>
      <c r="E5" s="3717" t="s">
        <v>3399</v>
      </c>
      <c r="F5" s="3718"/>
      <c r="G5" s="3709" t="s">
        <v>3438</v>
      </c>
      <c r="H5" s="3710"/>
      <c r="I5" s="3709" t="s">
        <v>3443</v>
      </c>
      <c r="J5" s="3710"/>
      <c r="K5" s="1890"/>
      <c r="L5" s="2715"/>
      <c r="M5" s="2716"/>
      <c r="N5" s="2716"/>
      <c r="O5" s="2716"/>
      <c r="P5" s="3696"/>
      <c r="Q5" s="3697"/>
      <c r="R5" s="3702"/>
      <c r="S5" s="3703"/>
      <c r="T5" s="3702"/>
      <c r="U5" s="3703"/>
      <c r="V5" s="3706"/>
      <c r="W5" s="3706"/>
      <c r="X5" s="1355"/>
      <c r="Y5" s="3702"/>
      <c r="Z5" s="3703"/>
      <c r="AA5" s="3688"/>
      <c r="AB5" s="3688"/>
      <c r="AC5" s="3688"/>
    </row>
    <row r="6" spans="1:29" ht="15" thickBot="1">
      <c r="A6" s="360"/>
      <c r="B6" s="361"/>
      <c r="C6" s="3714" t="s">
        <v>3402</v>
      </c>
      <c r="D6" s="3708"/>
      <c r="E6" s="3715" t="s">
        <v>3400</v>
      </c>
      <c r="F6" s="3716"/>
      <c r="G6" s="3714" t="s">
        <v>3439</v>
      </c>
      <c r="H6" s="3708"/>
      <c r="I6" s="3707" t="str">
        <f>E6</f>
        <v>珠江帝景</v>
      </c>
      <c r="J6" s="3708"/>
      <c r="K6" s="1890" t="s">
        <v>1678</v>
      </c>
      <c r="L6" s="2715"/>
      <c r="M6" s="2716"/>
      <c r="N6" s="2716"/>
      <c r="O6" s="2716"/>
      <c r="P6" s="3698"/>
      <c r="Q6" s="3699"/>
      <c r="R6" s="3702"/>
      <c r="S6" s="3703"/>
      <c r="T6" s="3704"/>
      <c r="U6" s="3705"/>
      <c r="V6" s="3706"/>
      <c r="W6" s="3706"/>
      <c r="X6" s="1355"/>
      <c r="Y6" s="3704"/>
      <c r="Z6" s="3705"/>
      <c r="AA6" s="3689"/>
      <c r="AB6" s="3689"/>
      <c r="AC6" s="3689"/>
    </row>
    <row r="7" spans="1:29" s="108" customFormat="1" ht="15" thickBot="1">
      <c r="A7" s="362" t="s">
        <v>1679</v>
      </c>
      <c r="B7" s="363"/>
      <c r="C7" s="364">
        <f>'数据-取费表'!B2</f>
        <v>42339</v>
      </c>
      <c r="D7" s="365">
        <v>100</v>
      </c>
      <c r="E7" s="366">
        <v>42289</v>
      </c>
      <c r="F7" s="367">
        <f>SUMIF(58:58,YEAR(E7)&amp;"-"&amp;MONTH(E7),59:59)</f>
        <v>100</v>
      </c>
      <c r="G7" s="366">
        <v>42303</v>
      </c>
      <c r="H7" s="365">
        <f>SUMIF(58:58,YEAR(G7)&amp;"-"&amp;MONTH(G7),59:59)</f>
        <v>100</v>
      </c>
      <c r="I7" s="366">
        <v>42234</v>
      </c>
      <c r="J7" s="365">
        <f>SUMIF(58:58,YEAR(I7)&amp;"-"&amp;MONTH(I7),59:59)</f>
        <v>99</v>
      </c>
      <c r="K7" s="1891"/>
      <c r="L7" s="2717"/>
      <c r="M7" s="2718"/>
      <c r="N7" s="2718"/>
      <c r="O7" s="2718"/>
      <c r="P7" s="3711" t="s">
        <v>1680</v>
      </c>
      <c r="Q7" s="3713"/>
      <c r="R7" s="701" t="s">
        <v>20</v>
      </c>
      <c r="S7" s="702">
        <f t="shared" ref="S7:S15" si="0">F7</f>
        <v>100</v>
      </c>
      <c r="T7" s="701" t="s">
        <v>20</v>
      </c>
      <c r="U7" s="702">
        <f t="shared" ref="U7:U15" si="1">H7</f>
        <v>100</v>
      </c>
      <c r="V7" s="701" t="s">
        <v>20</v>
      </c>
      <c r="W7" s="702">
        <f t="shared" ref="W7:W15" si="2">J7</f>
        <v>99</v>
      </c>
      <c r="X7" s="703"/>
      <c r="Y7" s="3711" t="s">
        <v>1680</v>
      </c>
      <c r="Z7" s="3712"/>
      <c r="AA7" s="704">
        <f>D7/F7</f>
        <v>1</v>
      </c>
      <c r="AB7" s="704">
        <f>D7/H7</f>
        <v>1</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86"/>
      <c r="Q11" s="1343" t="str">
        <f t="shared" si="6"/>
        <v>容积率</v>
      </c>
      <c r="R11" s="701" t="s">
        <v>18</v>
      </c>
      <c r="S11" s="702">
        <f t="shared" si="0"/>
        <v>100</v>
      </c>
      <c r="T11" s="701" t="s">
        <v>18</v>
      </c>
      <c r="U11" s="702">
        <f t="shared" si="1"/>
        <v>100</v>
      </c>
      <c r="V11" s="701" t="s">
        <v>18</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6"/>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6"/>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6"/>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4" t="s">
        <v>1691</v>
      </c>
      <c r="Q15" s="1352" t="str">
        <f t="shared" si="6"/>
        <v>居住社区成熟度</v>
      </c>
      <c r="R15" s="705" t="s">
        <v>18</v>
      </c>
      <c r="S15" s="706">
        <f t="shared" si="0"/>
        <v>100</v>
      </c>
      <c r="T15" s="705" t="s">
        <v>18</v>
      </c>
      <c r="U15" s="706">
        <f t="shared" si="1"/>
        <v>100</v>
      </c>
      <c r="V15" s="705" t="s">
        <v>18</v>
      </c>
      <c r="W15" s="706">
        <f t="shared" si="2"/>
        <v>100</v>
      </c>
      <c r="X15" s="1355"/>
      <c r="Y15" s="367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5"/>
      <c r="Q16" s="1352"/>
      <c r="R16" s="705"/>
      <c r="S16" s="706"/>
      <c r="T16" s="705"/>
      <c r="U16" s="706"/>
      <c r="V16" s="705"/>
      <c r="W16" s="706"/>
      <c r="X16" s="1355"/>
      <c r="Y16" s="367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92</v>
      </c>
      <c r="G17" s="403"/>
      <c r="H17" s="406">
        <f>SUMIF(78:78,G18,79:79)-SUMIF(78:78,C18,79:79)+100</f>
        <v>92</v>
      </c>
      <c r="I17" s="403"/>
      <c r="J17" s="406">
        <f>SUMIF(78:78,I18,79:79)-SUMIF(78:78,C18,79:79)+100</f>
        <v>92</v>
      </c>
      <c r="K17" s="396">
        <v>8</v>
      </c>
      <c r="L17" s="2722"/>
      <c r="M17" s="2716"/>
      <c r="N17" s="2716"/>
      <c r="O17" s="2716"/>
      <c r="P17" s="3685"/>
      <c r="Q17" s="1352" t="str">
        <f>B17</f>
        <v>交通便捷度</v>
      </c>
      <c r="R17" s="705" t="s">
        <v>18</v>
      </c>
      <c r="S17" s="706">
        <f>F17</f>
        <v>92</v>
      </c>
      <c r="T17" s="705" t="s">
        <v>18</v>
      </c>
      <c r="U17" s="706">
        <f>H17</f>
        <v>92</v>
      </c>
      <c r="V17" s="705" t="s">
        <v>18</v>
      </c>
      <c r="W17" s="706">
        <f>J17</f>
        <v>92</v>
      </c>
      <c r="X17" s="1355"/>
      <c r="Y17" s="3678"/>
      <c r="Z17" s="1356" t="str">
        <f>Q17</f>
        <v>交通便捷度</v>
      </c>
      <c r="AA17" s="1353">
        <f t="shared" si="3"/>
        <v>1.0869565217391304</v>
      </c>
      <c r="AB17" s="1353">
        <f t="shared" si="4"/>
        <v>1.0869565217391304</v>
      </c>
      <c r="AC17" s="1353">
        <f t="shared" si="5"/>
        <v>1.0869565217391304</v>
      </c>
    </row>
    <row r="18" spans="1:29" ht="15">
      <c r="A18" s="379"/>
      <c r="B18" s="407"/>
      <c r="C18" s="1901" t="s">
        <v>3441</v>
      </c>
      <c r="D18" s="401"/>
      <c r="E18" s="1902" t="s">
        <v>3425</v>
      </c>
      <c r="F18" s="401"/>
      <c r="G18" s="1903" t="s">
        <v>3425</v>
      </c>
      <c r="H18" s="399"/>
      <c r="I18" s="1903" t="s">
        <v>3425</v>
      </c>
      <c r="J18" s="399"/>
      <c r="K18" s="1899"/>
      <c r="L18" s="2722"/>
      <c r="M18" s="2716"/>
      <c r="N18" s="2716"/>
      <c r="O18" s="2716"/>
      <c r="P18" s="3685"/>
      <c r="Q18" s="1352"/>
      <c r="R18" s="705"/>
      <c r="S18" s="706"/>
      <c r="T18" s="705"/>
      <c r="U18" s="706"/>
      <c r="V18" s="705"/>
      <c r="W18" s="706"/>
      <c r="X18" s="1355"/>
      <c r="Y18" s="367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5"/>
      <c r="Q19" s="1352" t="str">
        <f>B19</f>
        <v>公共配套设施</v>
      </c>
      <c r="R19" s="705" t="s">
        <v>18</v>
      </c>
      <c r="S19" s="706">
        <f>F19</f>
        <v>100</v>
      </c>
      <c r="T19" s="705" t="s">
        <v>18</v>
      </c>
      <c r="U19" s="706">
        <f>H19</f>
        <v>100</v>
      </c>
      <c r="V19" s="705" t="s">
        <v>18</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5"/>
      <c r="Q20" s="1352"/>
      <c r="R20" s="705"/>
      <c r="S20" s="706"/>
      <c r="T20" s="705"/>
      <c r="U20" s="706"/>
      <c r="V20" s="705"/>
      <c r="W20" s="706"/>
      <c r="X20" s="1355"/>
      <c r="Y20" s="367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5"/>
      <c r="Q22" s="1352"/>
      <c r="R22" s="705"/>
      <c r="S22" s="706"/>
      <c r="T22" s="705"/>
      <c r="U22" s="706"/>
      <c r="V22" s="705"/>
      <c r="W22" s="706"/>
      <c r="X22" s="1355"/>
      <c r="Y22" s="367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5"/>
      <c r="Q23" s="1352" t="str">
        <f>B23</f>
        <v>自然及人文环境</v>
      </c>
      <c r="R23" s="705" t="s">
        <v>18</v>
      </c>
      <c r="S23" s="706">
        <f>F23</f>
        <v>100</v>
      </c>
      <c r="T23" s="705" t="s">
        <v>18</v>
      </c>
      <c r="U23" s="706">
        <f>H23</f>
        <v>100</v>
      </c>
      <c r="V23" s="705" t="s">
        <v>18</v>
      </c>
      <c r="W23" s="706">
        <f>J23</f>
        <v>100</v>
      </c>
      <c r="X23" s="1355"/>
      <c r="Y23" s="367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5"/>
      <c r="Q24" s="1352"/>
      <c r="R24" s="705"/>
      <c r="S24" s="706"/>
      <c r="T24" s="705"/>
      <c r="U24" s="706"/>
      <c r="V24" s="705"/>
      <c r="W24" s="706"/>
      <c r="X24" s="1355"/>
      <c r="Y24" s="367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3421</v>
      </c>
      <c r="D26" s="386">
        <v>100</v>
      </c>
      <c r="E26" s="1906" t="s">
        <v>3435</v>
      </c>
      <c r="F26" s="386">
        <f>SUMIF(88:88,E26,89:89)-SUMIF(88:88,C26,89:89)+100</f>
        <v>92</v>
      </c>
      <c r="G26" s="1907" t="s">
        <v>3433</v>
      </c>
      <c r="H26" s="386">
        <f>SUMIF(88:88,G26,89:89)-SUMIF(88:88,C26,89:89)+100</f>
        <v>94</v>
      </c>
      <c r="I26" s="1907" t="s">
        <v>3426</v>
      </c>
      <c r="J26" s="386">
        <f>SUMIF(88:88,I26,89:89)-SUMIF(88:88,C26,89:89)+100</f>
        <v>98</v>
      </c>
      <c r="K26" s="377">
        <v>2</v>
      </c>
      <c r="L26" s="2722"/>
      <c r="M26" s="2716"/>
      <c r="N26" s="2716"/>
      <c r="O26" s="2716"/>
      <c r="P26" s="3685"/>
      <c r="Q26" s="1352" t="str">
        <f t="shared" si="11"/>
        <v>朝向</v>
      </c>
      <c r="R26" s="705" t="s">
        <v>18</v>
      </c>
      <c r="S26" s="706">
        <f t="shared" si="12"/>
        <v>92</v>
      </c>
      <c r="T26" s="705" t="s">
        <v>18</v>
      </c>
      <c r="U26" s="706">
        <f t="shared" si="13"/>
        <v>94</v>
      </c>
      <c r="V26" s="705" t="s">
        <v>18</v>
      </c>
      <c r="W26" s="706">
        <f t="shared" si="14"/>
        <v>98</v>
      </c>
      <c r="X26" s="1355"/>
      <c r="Y26" s="3678"/>
      <c r="Z26" s="1356" t="str">
        <f>Q26</f>
        <v>朝向</v>
      </c>
      <c r="AA26" s="1353">
        <f t="shared" si="15"/>
        <v>1.0869565217391304</v>
      </c>
      <c r="AB26" s="1353">
        <f t="shared" si="16"/>
        <v>1.0638297872340425</v>
      </c>
      <c r="AC26" s="1353">
        <f t="shared" si="17"/>
        <v>1.0204081632653061</v>
      </c>
    </row>
    <row r="27" spans="1:29" s="108" customFormat="1" ht="15">
      <c r="A27" s="382"/>
      <c r="B27" s="3450" t="s">
        <v>3398</v>
      </c>
      <c r="C27" s="383" t="str">
        <f>C90</f>
        <v>17/24（高层）</v>
      </c>
      <c r="D27" s="413">
        <v>100</v>
      </c>
      <c r="E27" s="383" t="str">
        <f>D90</f>
        <v>3/15（低层）</v>
      </c>
      <c r="F27" s="413">
        <f>SUMIF(90:90,E27,91:91)-SUMIF(90:90,C27,91:91)+100</f>
        <v>95</v>
      </c>
      <c r="G27" s="1960" t="str">
        <f>E90</f>
        <v>20/27（高层）</v>
      </c>
      <c r="H27" s="413">
        <f>SUMIF(90:90,G27,91:91)-SUMIF(90:90,C27,91:91)+100</f>
        <v>100</v>
      </c>
      <c r="I27" s="1960" t="str">
        <f>F90</f>
        <v>16/18（高层）</v>
      </c>
      <c r="J27" s="413">
        <f>SUMIF(90:90,I27,91:91)-SUMIF(90:90,C27,91:91)+100</f>
        <v>100</v>
      </c>
      <c r="K27" s="1894"/>
      <c r="L27" s="2717"/>
      <c r="M27" s="2718"/>
      <c r="N27" s="2718"/>
      <c r="O27" s="2718"/>
      <c r="P27" s="3685"/>
      <c r="Q27" s="1343" t="str">
        <f t="shared" si="11"/>
        <v>楼层</v>
      </c>
      <c r="R27" s="701" t="s">
        <v>18</v>
      </c>
      <c r="S27" s="702">
        <f t="shared" si="12"/>
        <v>95</v>
      </c>
      <c r="T27" s="701" t="s">
        <v>18</v>
      </c>
      <c r="U27" s="702">
        <f t="shared" si="13"/>
        <v>100</v>
      </c>
      <c r="V27" s="701" t="s">
        <v>18</v>
      </c>
      <c r="W27" s="702">
        <f t="shared" si="14"/>
        <v>100</v>
      </c>
      <c r="X27" s="703"/>
      <c r="Y27" s="3678"/>
      <c r="Z27" s="52" t="str">
        <f>Q27</f>
        <v>楼层</v>
      </c>
      <c r="AA27" s="1353">
        <f t="shared" si="15"/>
        <v>1.0526315789473684</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5"/>
      <c r="Q28" s="1352">
        <f t="shared" si="11"/>
        <v>111</v>
      </c>
      <c r="R28" s="705" t="s">
        <v>18</v>
      </c>
      <c r="S28" s="706">
        <f t="shared" si="12"/>
        <v>100</v>
      </c>
      <c r="T28" s="705" t="s">
        <v>18</v>
      </c>
      <c r="U28" s="706">
        <f t="shared" si="13"/>
        <v>100</v>
      </c>
      <c r="V28" s="705" t="s">
        <v>18</v>
      </c>
      <c r="W28" s="706">
        <f t="shared" si="14"/>
        <v>100</v>
      </c>
      <c r="X28" s="1355"/>
      <c r="Y28" s="36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5"/>
      <c r="Q29" s="1352">
        <f t="shared" si="11"/>
        <v>111</v>
      </c>
      <c r="R29" s="705" t="s">
        <v>18</v>
      </c>
      <c r="S29" s="706">
        <f t="shared" si="12"/>
        <v>100</v>
      </c>
      <c r="T29" s="705" t="s">
        <v>18</v>
      </c>
      <c r="U29" s="706">
        <f t="shared" si="13"/>
        <v>100</v>
      </c>
      <c r="V29" s="705" t="s">
        <v>18</v>
      </c>
      <c r="W29" s="706">
        <f t="shared" si="14"/>
        <v>100</v>
      </c>
      <c r="X29" s="1355"/>
      <c r="Y29" s="36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5"/>
      <c r="Q30" s="1352">
        <f t="shared" si="11"/>
        <v>111</v>
      </c>
      <c r="R30" s="705" t="s">
        <v>18</v>
      </c>
      <c r="S30" s="706">
        <f t="shared" si="12"/>
        <v>100</v>
      </c>
      <c r="T30" s="705" t="s">
        <v>18</v>
      </c>
      <c r="U30" s="706">
        <f t="shared" si="13"/>
        <v>100</v>
      </c>
      <c r="V30" s="705" t="s">
        <v>18</v>
      </c>
      <c r="W30" s="706">
        <f t="shared" si="14"/>
        <v>100</v>
      </c>
      <c r="X30" s="1355"/>
      <c r="Y30" s="367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5"/>
      <c r="Q31" s="1352">
        <f t="shared" si="11"/>
        <v>111</v>
      </c>
      <c r="R31" s="705" t="s">
        <v>18</v>
      </c>
      <c r="S31" s="706">
        <f t="shared" si="12"/>
        <v>100</v>
      </c>
      <c r="T31" s="705" t="s">
        <v>18</v>
      </c>
      <c r="U31" s="706">
        <f t="shared" si="13"/>
        <v>100</v>
      </c>
      <c r="V31" s="705" t="s">
        <v>18</v>
      </c>
      <c r="W31" s="706">
        <f t="shared" si="14"/>
        <v>100</v>
      </c>
      <c r="X31" s="1355"/>
      <c r="Y31" s="3678"/>
      <c r="Z31" s="1356">
        <f t="shared" si="18"/>
        <v>111</v>
      </c>
      <c r="AA31" s="1353">
        <f t="shared" si="15"/>
        <v>1</v>
      </c>
      <c r="AB31" s="1353">
        <f t="shared" si="16"/>
        <v>1</v>
      </c>
      <c r="AC31" s="1353">
        <f t="shared" si="17"/>
        <v>1</v>
      </c>
    </row>
    <row r="32" spans="1:29" ht="15">
      <c r="A32" s="391" t="s">
        <v>1694</v>
      </c>
      <c r="B32" s="63" t="s">
        <v>1695</v>
      </c>
      <c r="C32" s="1910" t="s">
        <v>3412</v>
      </c>
      <c r="D32" s="418">
        <v>100</v>
      </c>
      <c r="E32" s="1911" t="s">
        <v>3412</v>
      </c>
      <c r="F32" s="412">
        <f>SUMIF(100:100,E32,101:101)-SUMIF(100:100,C32,101:101)+100</f>
        <v>100</v>
      </c>
      <c r="G32" s="1910" t="s">
        <v>3412</v>
      </c>
      <c r="H32" s="418">
        <f>SUMIF(100:100,G32,101:101)-SUMIF(100:100,C32,101:101)+100</f>
        <v>100</v>
      </c>
      <c r="I32" s="1911" t="s">
        <v>3412</v>
      </c>
      <c r="J32" s="386">
        <f>SUMIF(100:100,I32,101:101)-SUMIF(100:100,C32,101:101)+100</f>
        <v>100</v>
      </c>
      <c r="K32" s="377"/>
      <c r="L32" s="2722"/>
      <c r="M32" s="2716"/>
      <c r="N32" s="2716"/>
      <c r="O32" s="2716"/>
      <c r="P32" s="3679"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219.26</v>
      </c>
      <c r="D33" s="127">
        <v>100</v>
      </c>
      <c r="E33" s="381">
        <v>77.790000000000006</v>
      </c>
      <c r="F33" s="376">
        <f>LOOKUP(E33,103:103,104:104)-LOOKUP(C33,103:103,104:104)+100</f>
        <v>106</v>
      </c>
      <c r="G33" s="380">
        <v>86.02</v>
      </c>
      <c r="H33" s="127">
        <f>LOOKUP(G33,103:103,104:104)-LOOKUP(C33,103:103,104:104)+100</f>
        <v>106</v>
      </c>
      <c r="I33" s="381">
        <v>149.69</v>
      </c>
      <c r="J33" s="127">
        <f>LOOKUP(I33,103:103,104:104)-LOOKUP(C33,103:103,104:104)+100</f>
        <v>102</v>
      </c>
      <c r="K33" s="1894"/>
      <c r="L33" s="2721"/>
      <c r="M33" s="2723"/>
      <c r="N33" s="2723"/>
      <c r="O33" s="2723"/>
      <c r="P33" s="3680"/>
      <c r="Q33" s="707" t="str">
        <f t="shared" si="11"/>
        <v>项目建筑规模</v>
      </c>
      <c r="R33" s="708" t="s">
        <v>18</v>
      </c>
      <c r="S33" s="709">
        <f t="shared" si="12"/>
        <v>106</v>
      </c>
      <c r="T33" s="708" t="s">
        <v>18</v>
      </c>
      <c r="U33" s="709">
        <f t="shared" si="13"/>
        <v>106</v>
      </c>
      <c r="V33" s="708" t="s">
        <v>18</v>
      </c>
      <c r="W33" s="709">
        <f t="shared" si="14"/>
        <v>102</v>
      </c>
      <c r="X33" s="710"/>
      <c r="Y33" s="3682"/>
      <c r="Z33" s="711" t="str">
        <f t="shared" si="18"/>
        <v>项目建筑规模</v>
      </c>
      <c r="AA33" s="1353">
        <f t="shared" si="15"/>
        <v>0.94339622641509435</v>
      </c>
      <c r="AB33" s="1353">
        <f t="shared" si="16"/>
        <v>0.94339622641509435</v>
      </c>
      <c r="AC33" s="1353">
        <f t="shared" si="17"/>
        <v>0.98039215686274506</v>
      </c>
    </row>
    <row r="34" spans="1:29" ht="15">
      <c r="A34" s="423"/>
      <c r="B34" s="375" t="s">
        <v>1698</v>
      </c>
      <c r="C34" s="1912" t="s">
        <v>3404</v>
      </c>
      <c r="D34" s="386">
        <v>100</v>
      </c>
      <c r="E34" s="1913" t="s">
        <v>3404</v>
      </c>
      <c r="F34" s="412">
        <f>SUMIF(105:105,E34,106:106)-SUMIF(105:105,C34,106:106)+100</f>
        <v>100</v>
      </c>
      <c r="G34" s="1912" t="s">
        <v>3404</v>
      </c>
      <c r="H34" s="386">
        <f>SUMIF(105:105,G34,106:106)-SUMIF(105:105,C34,106:106)+100</f>
        <v>100</v>
      </c>
      <c r="I34" s="1913" t="s">
        <v>3404</v>
      </c>
      <c r="J34" s="386">
        <f>SUMIF(105:105,I34,106:106)-SUMIF(105:105,C34,106:106)+100</f>
        <v>100</v>
      </c>
      <c r="K34" s="377"/>
      <c r="L34" s="2722"/>
      <c r="M34" s="2716"/>
      <c r="N34" s="2716"/>
      <c r="O34" s="2716"/>
      <c r="P34" s="3680"/>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0"/>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t="s">
        <v>3408</v>
      </c>
      <c r="D36" s="386">
        <v>100</v>
      </c>
      <c r="E36" s="1907" t="s">
        <v>3408</v>
      </c>
      <c r="F36" s="412">
        <f>SUMIF(109:109,E36,110:110)-SUMIF(109:109,C36,110:110)+100</f>
        <v>100</v>
      </c>
      <c r="G36" s="1906" t="s">
        <v>3408</v>
      </c>
      <c r="H36" s="386">
        <f>SUMIF(109:109,G36,110:110)-SUMIF(109:109,C36,110:110)+100</f>
        <v>100</v>
      </c>
      <c r="I36" s="1907" t="s">
        <v>3408</v>
      </c>
      <c r="J36" s="386">
        <f>SUMIF(109:109,I36,110:110)-SUMIF(109:109,C36,110:110)+100</f>
        <v>100</v>
      </c>
      <c r="K36" s="377"/>
      <c r="L36" s="2722"/>
      <c r="M36" s="2716"/>
      <c r="N36" s="2716"/>
      <c r="O36" s="2716"/>
      <c r="P36" s="3680"/>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v>0.95</v>
      </c>
      <c r="D37" s="127">
        <v>100</v>
      </c>
      <c r="E37" s="425">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680"/>
      <c r="Q37" s="1343" t="str">
        <f t="shared" si="11"/>
        <v>成新度</v>
      </c>
      <c r="R37" s="701" t="s">
        <v>18</v>
      </c>
      <c r="S37" s="702">
        <f t="shared" si="12"/>
        <v>100</v>
      </c>
      <c r="T37" s="701" t="s">
        <v>18</v>
      </c>
      <c r="U37" s="702">
        <f t="shared" si="13"/>
        <v>100</v>
      </c>
      <c r="V37" s="701" t="s">
        <v>18</v>
      </c>
      <c r="W37" s="702">
        <f t="shared" si="14"/>
        <v>100</v>
      </c>
      <c r="X37" s="703"/>
      <c r="Y37" s="3682"/>
      <c r="Z37" s="52" t="str">
        <f t="shared" si="18"/>
        <v>成新度</v>
      </c>
      <c r="AA37" s="704">
        <f t="shared" si="15"/>
        <v>1</v>
      </c>
      <c r="AB37" s="704">
        <f t="shared" si="16"/>
        <v>1</v>
      </c>
      <c r="AC37" s="704">
        <f t="shared" si="17"/>
        <v>1</v>
      </c>
    </row>
    <row r="38" spans="1:29" ht="15">
      <c r="A38" s="423"/>
      <c r="B38" s="375" t="s">
        <v>1702</v>
      </c>
      <c r="C38" s="1906" t="s">
        <v>3428</v>
      </c>
      <c r="D38" s="386">
        <v>100</v>
      </c>
      <c r="E38" s="1907" t="s">
        <v>3428</v>
      </c>
      <c r="F38" s="412">
        <f>SUMIF(114:114,E38,115:115)-SUMIF(114:114,C38,115:115)+100</f>
        <v>100</v>
      </c>
      <c r="G38" s="1906" t="s">
        <v>3428</v>
      </c>
      <c r="H38" s="386">
        <f>SUMIF(114:114,G38,115:115)-SUMIF(114:114,C38,115:115)+100</f>
        <v>100</v>
      </c>
      <c r="I38" s="1907" t="s">
        <v>3428</v>
      </c>
      <c r="J38" s="386">
        <f>SUMIF(114:114,I38,115:115)-SUMIF(114:114,C38,115:115)+100</f>
        <v>100</v>
      </c>
      <c r="K38" s="377"/>
      <c r="L38" s="2722"/>
      <c r="M38" s="2716"/>
      <c r="N38" s="2716"/>
      <c r="O38" s="2716"/>
      <c r="P38" s="3680"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680"/>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t="s">
        <v>3417</v>
      </c>
      <c r="D40" s="386">
        <v>100</v>
      </c>
      <c r="E40" s="1907" t="s">
        <v>3417</v>
      </c>
      <c r="F40" s="412">
        <f>SUMIF(118:118,E40,119:119)-SUMIF(118:118,C40,119:119)+100</f>
        <v>100</v>
      </c>
      <c r="G40" s="1906" t="s">
        <v>3417</v>
      </c>
      <c r="H40" s="386">
        <f>SUMIF(118:118,G40,119:119)-SUMIF(118:118,C40,119:119)+100</f>
        <v>100</v>
      </c>
      <c r="I40" s="1907" t="s">
        <v>3417</v>
      </c>
      <c r="J40" s="386">
        <f>SUMIF(118:118,I40,119:119)-SUMIF(118:118,C40,119:119)+100</f>
        <v>100</v>
      </c>
      <c r="K40" s="377"/>
      <c r="L40" s="2722"/>
      <c r="M40" s="2716"/>
      <c r="N40" s="2716"/>
      <c r="O40" s="2716"/>
      <c r="P40" s="3680"/>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t="s">
        <v>3410</v>
      </c>
      <c r="D42" s="386">
        <v>100</v>
      </c>
      <c r="E42" s="1907" t="s">
        <v>3410</v>
      </c>
      <c r="F42" s="412">
        <f>SUMIF(122:122,E42,123:123)-SUMIF(122:122,C42,123:123)+100</f>
        <v>100</v>
      </c>
      <c r="G42" s="1906" t="s">
        <v>3410</v>
      </c>
      <c r="H42" s="386">
        <f>SUMIF(122:122,G42,123:123)-SUMIF(122:122,C42,123:123)+100</f>
        <v>100</v>
      </c>
      <c r="I42" s="1907" t="s">
        <v>3410</v>
      </c>
      <c r="J42" s="386">
        <f>SUMIF(122:122,I42,123:123)-SUMIF(122:122,C42,123:123)+100</f>
        <v>100</v>
      </c>
      <c r="K42" s="377"/>
      <c r="L42" s="2722"/>
      <c r="M42" s="2716"/>
      <c r="N42" s="2716"/>
      <c r="O42" s="2716"/>
      <c r="P42" s="3680"/>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28.8">
      <c r="A43" s="423"/>
      <c r="B43" s="375" t="s">
        <v>1707</v>
      </c>
      <c r="C43" s="1906" t="s">
        <v>3425</v>
      </c>
      <c r="D43" s="386">
        <v>100</v>
      </c>
      <c r="E43" s="1907" t="s">
        <v>3425</v>
      </c>
      <c r="F43" s="412">
        <f>SUMIF(124:124,E43,125:125)-SUMIF(124:124,C43,125:125)+100</f>
        <v>100</v>
      </c>
      <c r="G43" s="1906" t="s">
        <v>3425</v>
      </c>
      <c r="H43" s="386">
        <f>SUMIF(124:124,G43,125:125)-SUMIF(124:124,C43,125:125)+100</f>
        <v>100</v>
      </c>
      <c r="I43" s="1907" t="s">
        <v>3425</v>
      </c>
      <c r="J43" s="386">
        <f>SUMIF(124:124,I43,125:125)-SUMIF(124:124,C43,125:125)+100</f>
        <v>100</v>
      </c>
      <c r="K43" s="377"/>
      <c r="L43" s="2722"/>
      <c r="M43" s="2716"/>
      <c r="N43" s="2716"/>
      <c r="O43" s="2716"/>
      <c r="P43" s="3680"/>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3450" t="s">
        <v>3424</v>
      </c>
      <c r="C44" s="420">
        <v>2012</v>
      </c>
      <c r="D44" s="127">
        <v>100</v>
      </c>
      <c r="E44" s="420">
        <v>2008</v>
      </c>
      <c r="F44" s="376">
        <f>SUMIF(126:126,E44,127:127)-SUMIF(126:126,C44,127:127)+100</f>
        <v>98</v>
      </c>
      <c r="G44" s="420">
        <v>2010</v>
      </c>
      <c r="H44" s="127">
        <f>SUMIF(126:126,G44,127:127)-SUMIF(126:126,C44,127:127)+100</f>
        <v>99</v>
      </c>
      <c r="I44" s="420">
        <v>2004</v>
      </c>
      <c r="J44" s="127">
        <f>SUMIF(126:126,I44,127:127)-SUMIF(126:126,C44,127:127)+100</f>
        <v>96</v>
      </c>
      <c r="K44" s="1894"/>
      <c r="L44" s="2717"/>
      <c r="M44" s="2718"/>
      <c r="N44" s="2718"/>
      <c r="O44" s="2718"/>
      <c r="P44" s="3680"/>
      <c r="Q44" s="1343" t="str">
        <f t="shared" si="11"/>
        <v>建成年代</v>
      </c>
      <c r="R44" s="701" t="s">
        <v>18</v>
      </c>
      <c r="S44" s="702">
        <f t="shared" si="12"/>
        <v>98</v>
      </c>
      <c r="T44" s="701" t="s">
        <v>18</v>
      </c>
      <c r="U44" s="702">
        <f t="shared" si="13"/>
        <v>99</v>
      </c>
      <c r="V44" s="701" t="s">
        <v>18</v>
      </c>
      <c r="W44" s="702">
        <f t="shared" si="14"/>
        <v>96</v>
      </c>
      <c r="X44" s="703"/>
      <c r="Y44" s="3682"/>
      <c r="Z44" s="52" t="str">
        <f t="shared" si="18"/>
        <v>建成年代</v>
      </c>
      <c r="AA44" s="704">
        <f t="shared" si="15"/>
        <v>1.0204081632653061</v>
      </c>
      <c r="AB44" s="704">
        <f t="shared" si="16"/>
        <v>1.0101010101010102</v>
      </c>
      <c r="AC44" s="704">
        <f t="shared" si="17"/>
        <v>1.0416666666666667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0"/>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1"/>
      <c r="Q46" s="1352">
        <f t="shared" si="11"/>
        <v>111</v>
      </c>
      <c r="R46" s="705" t="s">
        <v>17</v>
      </c>
      <c r="S46" s="706">
        <f t="shared" si="12"/>
        <v>100</v>
      </c>
      <c r="T46" s="705" t="s">
        <v>17</v>
      </c>
      <c r="U46" s="706">
        <f t="shared" si="13"/>
        <v>100</v>
      </c>
      <c r="V46" s="705" t="s">
        <v>17</v>
      </c>
      <c r="W46" s="706">
        <f t="shared" si="14"/>
        <v>100</v>
      </c>
      <c r="X46" s="1355"/>
      <c r="Y46" s="3683"/>
      <c r="Z46" s="1356">
        <f t="shared" si="18"/>
        <v>111</v>
      </c>
      <c r="AA46" s="1353">
        <f t="shared" si="15"/>
        <v>1</v>
      </c>
      <c r="AB46" s="1353">
        <f t="shared" si="16"/>
        <v>1</v>
      </c>
      <c r="AC46" s="1353">
        <f t="shared" si="17"/>
        <v>1</v>
      </c>
    </row>
    <row r="47" spans="1:29" ht="14.4">
      <c r="A47" s="430" t="s">
        <v>1708</v>
      </c>
      <c r="B47" s="431"/>
      <c r="C47" s="1154" t="s">
        <v>16</v>
      </c>
      <c r="D47" s="1155"/>
      <c r="E47" s="1156">
        <v>63247</v>
      </c>
      <c r="F47" s="1157"/>
      <c r="G47" s="1158">
        <v>58824</v>
      </c>
      <c r="H47" s="1159"/>
      <c r="I47" s="1156">
        <v>55448</v>
      </c>
      <c r="J47" s="1159"/>
      <c r="K47" s="1914"/>
      <c r="L47" s="2724"/>
      <c r="M47" s="2725"/>
      <c r="N47" s="2716"/>
      <c r="O47" s="2725"/>
      <c r="P47" s="3675" t="str">
        <f>A47</f>
        <v>成交单价（元/平方米）</v>
      </c>
      <c r="Q47" s="3675"/>
      <c r="R47" s="3676">
        <f>E47</f>
        <v>63247</v>
      </c>
      <c r="S47" s="3676"/>
      <c r="T47" s="3676">
        <f>G47</f>
        <v>58824</v>
      </c>
      <c r="U47" s="3676"/>
      <c r="V47" s="3676">
        <f>I47</f>
        <v>55448</v>
      </c>
      <c r="W47" s="3676"/>
      <c r="X47" s="690"/>
      <c r="Y47" s="712"/>
      <c r="Z47" s="690"/>
      <c r="AA47" s="690"/>
      <c r="AB47" s="690"/>
      <c r="AC47" s="690"/>
    </row>
    <row r="48" spans="1:29" ht="15" thickBot="1">
      <c r="A48" s="437" t="s">
        <v>1709</v>
      </c>
      <c r="B48" s="438"/>
      <c r="C48" s="1160">
        <f>R49</f>
        <v>67993</v>
      </c>
      <c r="D48" s="2317" t="s">
        <v>2138</v>
      </c>
      <c r="E48" s="1161">
        <f>R48</f>
        <v>75720</v>
      </c>
      <c r="F48" s="2318"/>
      <c r="G48" s="1160">
        <f>T48</f>
        <v>64818</v>
      </c>
      <c r="H48" s="2318"/>
      <c r="I48" s="1161">
        <f>V48</f>
        <v>63440</v>
      </c>
      <c r="J48" s="2318"/>
      <c r="K48" s="2319">
        <f>F48+H48+J48</f>
        <v>0</v>
      </c>
      <c r="L48" s="2724"/>
      <c r="M48" s="2725"/>
      <c r="N48" s="2725"/>
      <c r="O48" s="2725"/>
      <c r="P48" s="3675" t="str">
        <f>A48</f>
        <v>比较价值（元/平方米）</v>
      </c>
      <c r="Q48" s="3675"/>
      <c r="R48" s="3676">
        <f>IF(F1="售价",ROUND(PRODUCT(R47,AA7:AA46),0),ROUND(PRODUCT(R47,AA7:AA46),1))</f>
        <v>75720</v>
      </c>
      <c r="S48" s="3676"/>
      <c r="T48" s="3676">
        <f>IF(F1="售价",ROUND(PRODUCT(T47,AB7:AB46),0),ROUND(PRODUCT(T47,AB7:AB46),1))</f>
        <v>64818</v>
      </c>
      <c r="U48" s="3676"/>
      <c r="V48" s="3676">
        <f>IF(F1="售价",ROUND(PRODUCT(V47,AC7:AC46),0),ROUND(PRODUCT(V47,AC7:AC46),1))</f>
        <v>63440</v>
      </c>
      <c r="W48" s="3676"/>
      <c r="X48" s="690"/>
      <c r="Y48" s="690"/>
      <c r="Z48" s="690"/>
      <c r="AA48" s="690"/>
      <c r="AB48" s="690"/>
      <c r="AC48" s="690"/>
    </row>
    <row r="49" spans="1:29" ht="15" thickBot="1">
      <c r="A49" s="441" t="s">
        <v>1710</v>
      </c>
      <c r="B49" s="442"/>
      <c r="C49" s="1162">
        <f>R49</f>
        <v>67993</v>
      </c>
      <c r="D49" s="1163"/>
      <c r="E49" s="1163"/>
      <c r="F49" s="1163"/>
      <c r="G49" s="1163"/>
      <c r="H49" s="1163"/>
      <c r="I49" s="1163"/>
      <c r="J49" s="1163"/>
      <c r="K49" s="1915"/>
      <c r="L49" s="2724"/>
      <c r="M49" s="2725"/>
      <c r="N49" s="2725"/>
      <c r="O49" s="2725"/>
      <c r="P49" s="3672" t="str">
        <f>A49</f>
        <v>估价对象XX用房的比较价值（楼面单价，元/平方米）</v>
      </c>
      <c r="Q49" s="3673"/>
      <c r="R49" s="3674">
        <f>IF(F1="售价",ROUND(IF(D48="简单平均",AVERAGE(R48:V48),R48*F48+T48*H48+V48*J48),0),ROUND(IF(D48="简单平均",AVERAGE(R48:V48),R48*F48+T48*H48+V48*J48),1))</f>
        <v>67993</v>
      </c>
      <c r="S49" s="3674"/>
      <c r="T49" s="3674"/>
      <c r="U49" s="3674"/>
      <c r="V49" s="3674"/>
      <c r="W49" s="367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0.19721093490600339</v>
      </c>
      <c r="F52" s="449" t="str">
        <f>IF(OR(E52&gt;=0.3,E52&lt;=-0.3),"超过30%","")</f>
        <v/>
      </c>
      <c r="G52" s="448">
        <f>IF(G47&lt;G48,G48/G47-1,G47/G48-1)</f>
        <v>0.10189718482252141</v>
      </c>
      <c r="H52" s="449" t="str">
        <f>IF(OR(G52&gt;=0.3,G52&lt;=-0.3),"超过30%","")</f>
        <v/>
      </c>
      <c r="I52" s="448">
        <f>IF(I47&lt;I48,I48/I47-1,I47/I48-1)</f>
        <v>0.14413504544798728</v>
      </c>
      <c r="J52" s="449" t="str">
        <f>IF(OR(I52&gt;=0.3,I52&lt;=-0.3),"超过30%","")</f>
        <v/>
      </c>
      <c r="K52" s="2730"/>
      <c r="L52" s="2726"/>
      <c r="M52" s="2725"/>
      <c r="N52" s="2725"/>
      <c r="O52" s="2725"/>
    </row>
    <row r="53" spans="1:29" ht="13.5" customHeight="1">
      <c r="A53" s="2725"/>
      <c r="B53" s="2725"/>
      <c r="C53" s="446" t="s">
        <v>1712</v>
      </c>
      <c r="D53" s="450"/>
      <c r="E53" s="448">
        <f>IF(E48&lt;G48,G48/E48-1,E48/G48-1)</f>
        <v>0.16819402017957974</v>
      </c>
      <c r="F53" s="449" t="str">
        <f>IF(OR(E53&gt;=0.2,E53&lt;=-0.2),"超过20%","")</f>
        <v/>
      </c>
      <c r="G53" s="448">
        <f>IF(G48&lt;I48,I48/G48-1,G48/I48-1)</f>
        <v>2.1721311475409788E-2</v>
      </c>
      <c r="H53" s="449" t="str">
        <f>IF(OR(G53&gt;=0.2,G53&lt;=-0.2),"超过20%","")</f>
        <v/>
      </c>
      <c r="I53" s="448">
        <f>IF(I48&lt;E48,E48/I48-1,I48/E48-1)</f>
        <v>0.19356872635561162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7.5190398476812081E-2</v>
      </c>
      <c r="F54" s="449" t="str">
        <f>IF(OR(E54&gt;=0.3,E54&lt;=-0.3),"超过30%","")</f>
        <v/>
      </c>
      <c r="G54" s="448">
        <f>IF(G47&lt;I47,I47/G47-1,G47/I47-1)</f>
        <v>6.088587505410481E-2</v>
      </c>
      <c r="H54" s="449" t="str">
        <f>IF(OR(G54&gt;=0.3,G54&lt;=-0.3),"超过30%","")</f>
        <v/>
      </c>
      <c r="I54" s="448">
        <f>IF(I47&lt;E47,E47/I47-1,I47/E47-1)</f>
        <v>0.14065430673784451</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2015-12</v>
      </c>
      <c r="D58" s="1185">
        <f>EDATE(C58,-1)</f>
        <v>42309</v>
      </c>
      <c r="E58" s="1185">
        <f>EDATE(D58,-1)</f>
        <v>42278</v>
      </c>
      <c r="F58" s="1185">
        <f t="shared" ref="F58:O58" si="19">EDATE(E58,-1)</f>
        <v>42248</v>
      </c>
      <c r="G58" s="1185">
        <f t="shared" si="19"/>
        <v>42217</v>
      </c>
      <c r="H58" s="1185">
        <f t="shared" si="19"/>
        <v>42186</v>
      </c>
      <c r="I58" s="1185">
        <f t="shared" si="19"/>
        <v>42156</v>
      </c>
      <c r="J58" s="1185">
        <f t="shared" si="19"/>
        <v>42125</v>
      </c>
      <c r="K58" s="1185">
        <f t="shared" si="19"/>
        <v>42095</v>
      </c>
      <c r="L58" s="1185">
        <f t="shared" si="19"/>
        <v>42064</v>
      </c>
      <c r="M58" s="1185">
        <f t="shared" si="19"/>
        <v>42036</v>
      </c>
      <c r="N58" s="1185">
        <f t="shared" si="19"/>
        <v>42005</v>
      </c>
      <c r="O58" s="1185">
        <f t="shared" si="19"/>
        <v>41974</v>
      </c>
      <c r="P58" s="1181"/>
    </row>
    <row r="59" spans="1:29" s="108" customFormat="1">
      <c r="A59" s="458"/>
      <c r="B59" s="1919"/>
      <c r="C59" s="1183">
        <v>100</v>
      </c>
      <c r="D59" s="460">
        <v>100</v>
      </c>
      <c r="E59" s="461">
        <v>100</v>
      </c>
      <c r="F59" s="461">
        <v>99</v>
      </c>
      <c r="G59" s="461">
        <v>99</v>
      </c>
      <c r="H59" s="461">
        <v>99</v>
      </c>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3" t="s">
        <v>3422</v>
      </c>
      <c r="D88" s="3453" t="s">
        <v>3427</v>
      </c>
      <c r="E88" s="3453" t="s">
        <v>3432</v>
      </c>
      <c r="F88" s="3459" t="s">
        <v>3434</v>
      </c>
      <c r="G88" s="3453" t="s">
        <v>3436</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9.4" thickTop="1">
      <c r="A90" s="502"/>
      <c r="B90" s="487" t="str">
        <f>B27</f>
        <v>楼层</v>
      </c>
      <c r="C90" s="503" t="s">
        <v>3423</v>
      </c>
      <c r="D90" s="503" t="s">
        <v>3431</v>
      </c>
      <c r="E90" s="503" t="s">
        <v>3440</v>
      </c>
      <c r="F90" s="503" t="s">
        <v>3444</v>
      </c>
      <c r="G90" s="503"/>
      <c r="H90" s="504"/>
      <c r="I90" s="504"/>
      <c r="J90" s="504"/>
      <c r="K90" s="504"/>
      <c r="L90" s="505"/>
      <c r="M90" s="506"/>
      <c r="N90" s="935"/>
      <c r="O90" s="935"/>
      <c r="P90" s="1923"/>
      <c r="Q90" s="508"/>
    </row>
    <row r="91" spans="1:17" s="422" customFormat="1" ht="14.4" thickBot="1">
      <c r="A91" s="502"/>
      <c r="B91" s="492"/>
      <c r="C91" s="509">
        <v>100</v>
      </c>
      <c r="D91" s="509">
        <v>95</v>
      </c>
      <c r="E91" s="509">
        <v>100</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5" t="s">
        <v>3413</v>
      </c>
      <c r="D100" s="3455" t="s">
        <v>3414</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150(含)-220</v>
      </c>
      <c r="G102" s="527" t="str">
        <f t="shared" si="26"/>
        <v>220(含)-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220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53" t="s">
        <v>3405</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4" t="s">
        <v>3406</v>
      </c>
      <c r="D107" s="3454" t="s">
        <v>3407</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3" t="s">
        <v>3409</v>
      </c>
      <c r="D109" s="3453" t="s">
        <v>3411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3" t="s">
        <v>3429</v>
      </c>
      <c r="D114" s="345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3" t="s">
        <v>3416</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3418</v>
      </c>
      <c r="D118" s="3454" t="s">
        <v>3419</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3" t="s">
        <v>3409</v>
      </c>
      <c r="D122" s="3453" t="s">
        <v>3411</v>
      </c>
      <c r="E122" s="3453" t="s">
        <v>3420</v>
      </c>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2012</v>
      </c>
      <c r="D126" s="503">
        <f>E44</f>
        <v>2008</v>
      </c>
      <c r="E126" s="503">
        <f>G44</f>
        <v>2010</v>
      </c>
      <c r="F126" s="503">
        <f>I44</f>
        <v>2004</v>
      </c>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99</v>
      </c>
      <c r="F127" s="485">
        <v>96</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C119:AC249"/>
  <sheetViews>
    <sheetView topLeftCell="A124" workbookViewId="0">
      <selection activeCell="AC145" sqref="AC144:AC145"/>
    </sheetView>
  </sheetViews>
  <sheetFormatPr defaultRowHeight="14.4"/>
  <sheetData>
    <row r="119" spans="29:29">
      <c r="AC119" s="3457"/>
    </row>
    <row r="120" spans="29:29">
      <c r="AC120" s="3458"/>
    </row>
    <row r="134" spans="29:29">
      <c r="AC134" s="3452" t="s">
        <v>3430</v>
      </c>
    </row>
    <row r="135" spans="29:29">
      <c r="AC135" s="3451"/>
    </row>
    <row r="144" spans="29:29">
      <c r="AC144" s="3452" t="s">
        <v>3442</v>
      </c>
    </row>
    <row r="145" spans="29:29">
      <c r="AC145" s="3451"/>
    </row>
    <row r="234" spans="29:29">
      <c r="AC234" s="3457"/>
    </row>
    <row r="235" spans="29:29">
      <c r="AC235" s="3458"/>
    </row>
    <row r="248" spans="29:29">
      <c r="AC248" s="3451"/>
    </row>
    <row r="249" spans="29:29">
      <c r="AC249" s="3452" t="s">
        <v>3437</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
  <sheetViews>
    <sheetView topLeftCell="A118" workbookViewId="0">
      <selection activeCell="A140" sqref="A140"/>
    </sheetView>
  </sheetViews>
  <sheetFormatPr defaultRowHeight="14.4"/>
  <sheetData>
    <row r="4" spans="19:19">
      <c r="S4" s="3456" t="s">
        <v>3401</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219.26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700" t="s">
        <v>1771</v>
      </c>
      <c r="S4" s="3701"/>
      <c r="T4" s="3700" t="s">
        <v>1772</v>
      </c>
      <c r="U4" s="3701"/>
      <c r="V4" s="3706" t="s">
        <v>1773</v>
      </c>
      <c r="W4" s="3706"/>
      <c r="X4" s="1355"/>
      <c r="Y4" s="3700" t="s">
        <v>1775</v>
      </c>
      <c r="Z4" s="3701"/>
      <c r="AA4" s="3687" t="s">
        <v>1771</v>
      </c>
      <c r="AB4" s="3706" t="s">
        <v>1772</v>
      </c>
      <c r="AC4" s="3687" t="s">
        <v>1773</v>
      </c>
    </row>
    <row r="5" spans="1:29">
      <c r="A5" s="358"/>
      <c r="B5" s="359"/>
      <c r="C5" s="3719" t="s">
        <v>1673</v>
      </c>
      <c r="D5" s="3710"/>
      <c r="E5" s="3721" t="s">
        <v>1674</v>
      </c>
      <c r="F5" s="3718"/>
      <c r="G5" s="3719" t="s">
        <v>1675</v>
      </c>
      <c r="H5" s="3710"/>
      <c r="I5" s="3719" t="s">
        <v>1676</v>
      </c>
      <c r="J5" s="3710"/>
      <c r="K5" s="559"/>
      <c r="L5" s="2715"/>
      <c r="M5" s="2716"/>
      <c r="N5" s="2716"/>
      <c r="O5" s="2716"/>
      <c r="P5" s="3696"/>
      <c r="Q5" s="3697"/>
      <c r="R5" s="3702"/>
      <c r="S5" s="3703"/>
      <c r="T5" s="3702"/>
      <c r="U5" s="3703"/>
      <c r="V5" s="3706"/>
      <c r="W5" s="3706"/>
      <c r="X5" s="1355"/>
      <c r="Y5" s="3702"/>
      <c r="Z5" s="3703"/>
      <c r="AA5" s="3688"/>
      <c r="AB5" s="3706"/>
      <c r="AC5" s="3688"/>
    </row>
    <row r="6" spans="1:29" ht="15" thickBot="1">
      <c r="A6" s="360"/>
      <c r="B6" s="361"/>
      <c r="C6" s="3707" t="s">
        <v>1677</v>
      </c>
      <c r="D6" s="3708"/>
      <c r="E6" s="3720" t="s">
        <v>1677</v>
      </c>
      <c r="F6" s="3716"/>
      <c r="G6" s="3707" t="s">
        <v>1677</v>
      </c>
      <c r="H6" s="3708"/>
      <c r="I6" s="3707" t="s">
        <v>1677</v>
      </c>
      <c r="J6" s="3708"/>
      <c r="K6" s="559" t="s">
        <v>1678</v>
      </c>
      <c r="L6" s="2715"/>
      <c r="M6" s="2716"/>
      <c r="N6" s="2716"/>
      <c r="O6" s="2716"/>
      <c r="P6" s="3698"/>
      <c r="Q6" s="3699"/>
      <c r="R6" s="3702"/>
      <c r="S6" s="3703"/>
      <c r="T6" s="3704"/>
      <c r="U6" s="3705"/>
      <c r="V6" s="3706"/>
      <c r="W6" s="3706"/>
      <c r="X6" s="1355"/>
      <c r="Y6" s="3704"/>
      <c r="Z6" s="3705"/>
      <c r="AA6" s="3689"/>
      <c r="AB6" s="3706"/>
      <c r="AC6" s="3689"/>
    </row>
    <row r="7" spans="1:29" s="108" customFormat="1" ht="15" thickBot="1">
      <c r="A7" s="362" t="s">
        <v>1679</v>
      </c>
      <c r="B7" s="363"/>
      <c r="C7" s="364">
        <f>'数据-取费表'!B2</f>
        <v>42339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6"/>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4" t="s">
        <v>1691</v>
      </c>
      <c r="Q15" s="1352" t="str">
        <f t="shared" si="6"/>
        <v>商业繁华度</v>
      </c>
      <c r="R15" s="705" t="s">
        <v>14</v>
      </c>
      <c r="S15" s="706">
        <f t="shared" si="0"/>
        <v>100</v>
      </c>
      <c r="T15" s="705" t="s">
        <v>14</v>
      </c>
      <c r="U15" s="706">
        <f t="shared" si="1"/>
        <v>100</v>
      </c>
      <c r="V15" s="705" t="s">
        <v>14</v>
      </c>
      <c r="W15" s="706">
        <f t="shared" si="2"/>
        <v>100</v>
      </c>
      <c r="X15" s="1355"/>
      <c r="Y15" s="367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5"/>
      <c r="Q16" s="1352"/>
      <c r="R16" s="705"/>
      <c r="S16" s="706"/>
      <c r="T16" s="705"/>
      <c r="U16" s="706"/>
      <c r="V16" s="705"/>
      <c r="W16" s="706"/>
      <c r="X16" s="1355"/>
      <c r="Y16" s="367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5"/>
      <c r="Q18" s="1352"/>
      <c r="R18" s="705"/>
      <c r="S18" s="706"/>
      <c r="T18" s="705"/>
      <c r="U18" s="706"/>
      <c r="V18" s="705"/>
      <c r="W18" s="706"/>
      <c r="X18" s="1355"/>
      <c r="Y18" s="367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5"/>
      <c r="Q20" s="1352"/>
      <c r="R20" s="705"/>
      <c r="S20" s="706"/>
      <c r="T20" s="705"/>
      <c r="U20" s="706"/>
      <c r="V20" s="705"/>
      <c r="W20" s="706"/>
      <c r="X20" s="1355"/>
      <c r="Y20" s="367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5"/>
      <c r="Q22" s="1352"/>
      <c r="R22" s="705"/>
      <c r="S22" s="706"/>
      <c r="T22" s="705"/>
      <c r="U22" s="706"/>
      <c r="V22" s="705"/>
      <c r="W22" s="706"/>
      <c r="X22" s="1355"/>
      <c r="Y22" s="367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5"/>
      <c r="Q23" s="1352" t="str">
        <f>B23</f>
        <v>自然及人文环境</v>
      </c>
      <c r="R23" s="705" t="s">
        <v>14</v>
      </c>
      <c r="S23" s="706">
        <f>F23</f>
        <v>100</v>
      </c>
      <c r="T23" s="705" t="s">
        <v>14</v>
      </c>
      <c r="U23" s="706">
        <f>H23</f>
        <v>100</v>
      </c>
      <c r="V23" s="705" t="s">
        <v>14</v>
      </c>
      <c r="W23" s="706">
        <f>J23</f>
        <v>100</v>
      </c>
      <c r="X23" s="1355"/>
      <c r="Y23" s="367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5"/>
      <c r="Q24" s="1352"/>
      <c r="R24" s="705"/>
      <c r="S24" s="706"/>
      <c r="T24" s="705"/>
      <c r="U24" s="706"/>
      <c r="V24" s="705"/>
      <c r="W24" s="706"/>
      <c r="X24" s="1355"/>
      <c r="Y24" s="367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5"/>
      <c r="Q25" s="1352" t="str">
        <f t="shared" ref="Q25:Q46" si="11">B25</f>
        <v>临街状况</v>
      </c>
      <c r="R25" s="705" t="s">
        <v>14</v>
      </c>
      <c r="S25" s="706">
        <f>F25</f>
        <v>100</v>
      </c>
      <c r="T25" s="705" t="s">
        <v>14</v>
      </c>
      <c r="U25" s="706">
        <f>H25</f>
        <v>100</v>
      </c>
      <c r="V25" s="705" t="s">
        <v>14</v>
      </c>
      <c r="W25" s="706">
        <f>J25</f>
        <v>100</v>
      </c>
      <c r="X25" s="1355"/>
      <c r="Y25" s="367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5"/>
      <c r="Q26" s="1352" t="str">
        <f t="shared" si="11"/>
        <v>平面位置/可视性</v>
      </c>
      <c r="R26" s="705" t="s">
        <v>14</v>
      </c>
      <c r="S26" s="706">
        <f>F26</f>
        <v>100</v>
      </c>
      <c r="T26" s="705" t="s">
        <v>14</v>
      </c>
      <c r="U26" s="706">
        <f>H26</f>
        <v>100</v>
      </c>
      <c r="V26" s="705" t="s">
        <v>14</v>
      </c>
      <c r="W26" s="706">
        <f>J26</f>
        <v>100</v>
      </c>
      <c r="X26" s="1355"/>
      <c r="Y26" s="367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5"/>
      <c r="Q27" s="1343" t="str">
        <f t="shared" si="11"/>
        <v>人流量</v>
      </c>
      <c r="R27" s="701" t="s">
        <v>14</v>
      </c>
      <c r="S27" s="702">
        <f>F27</f>
        <v>100</v>
      </c>
      <c r="T27" s="701" t="s">
        <v>14</v>
      </c>
      <c r="U27" s="702">
        <f>H27</f>
        <v>100</v>
      </c>
      <c r="V27" s="701" t="s">
        <v>14</v>
      </c>
      <c r="W27" s="702">
        <f>J27</f>
        <v>100</v>
      </c>
      <c r="X27" s="703"/>
      <c r="Y27" s="367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1352">
        <f t="shared" si="11"/>
        <v>111</v>
      </c>
      <c r="R29" s="705" t="s">
        <v>14</v>
      </c>
      <c r="S29" s="706">
        <f t="shared" si="12"/>
        <v>100</v>
      </c>
      <c r="T29" s="705" t="s">
        <v>14</v>
      </c>
      <c r="U29" s="706">
        <f t="shared" si="13"/>
        <v>100</v>
      </c>
      <c r="V29" s="705" t="s">
        <v>14</v>
      </c>
      <c r="W29" s="706">
        <f t="shared" si="14"/>
        <v>100</v>
      </c>
      <c r="X29" s="1355"/>
      <c r="Y29" s="367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9"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0"/>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0"/>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0"/>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0"/>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0"/>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0"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0"/>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0"/>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0"/>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0"/>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0"/>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0"/>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5" t="str">
        <f>A47</f>
        <v>成交单价（元/平方米）</v>
      </c>
      <c r="Q47" s="3675"/>
      <c r="R47" s="3706">
        <f>E47</f>
        <v>0</v>
      </c>
      <c r="S47" s="3706"/>
      <c r="T47" s="3706">
        <f>G47</f>
        <v>0</v>
      </c>
      <c r="U47" s="3706"/>
      <c r="V47" s="3706">
        <f>I47</f>
        <v>0</v>
      </c>
      <c r="W47" s="3706"/>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2015-12</v>
      </c>
      <c r="D58" s="1185">
        <f>EDATE(C58,-1)</f>
        <v>42309</v>
      </c>
      <c r="E58" s="1185">
        <f t="shared" ref="E58:N58" si="16">EDATE(D58,-1)</f>
        <v>42278</v>
      </c>
      <c r="F58" s="1185">
        <f t="shared" si="16"/>
        <v>42248</v>
      </c>
      <c r="G58" s="1185">
        <f t="shared" si="16"/>
        <v>42217</v>
      </c>
      <c r="H58" s="1185">
        <f t="shared" si="16"/>
        <v>42186</v>
      </c>
      <c r="I58" s="1185">
        <f t="shared" si="16"/>
        <v>42156</v>
      </c>
      <c r="J58" s="1185">
        <f t="shared" si="16"/>
        <v>42125</v>
      </c>
      <c r="K58" s="1185">
        <f t="shared" si="16"/>
        <v>42095</v>
      </c>
      <c r="L58" s="1185">
        <f t="shared" si="16"/>
        <v>42064</v>
      </c>
      <c r="M58" s="1185">
        <f t="shared" si="16"/>
        <v>42036</v>
      </c>
      <c r="N58" s="1185">
        <f t="shared" si="16"/>
        <v>42005</v>
      </c>
      <c r="O58" s="1185">
        <f>EDATE(N58,-1)</f>
        <v>41974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估价对象为北京市房地产，为所有。根据《国有土地使用证》[]，估价对象（分摊）出让国有建设用地使用权面积为0平方米，建筑面积为219.26平方米。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估价对象为北京市房地产,属开发建设的，该项目尚在开发建设中。根据《国有土地使用证》[]，估价对象（分摊）出让国有建设用地使用权面积为0平方米，规划建筑面积为219.26平方米。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2015年12月1日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219.26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0" t="s">
        <v>1770</v>
      </c>
      <c r="D4" s="3691"/>
      <c r="E4" s="3692" t="s">
        <v>1771</v>
      </c>
      <c r="F4" s="3693"/>
      <c r="G4" s="3690" t="s">
        <v>1772</v>
      </c>
      <c r="H4" s="3691"/>
      <c r="I4" s="3690" t="s">
        <v>1773</v>
      </c>
      <c r="J4" s="3691"/>
      <c r="K4" s="559" t="s">
        <v>1774</v>
      </c>
      <c r="L4" s="2715"/>
      <c r="M4" s="2716"/>
      <c r="N4" s="2716"/>
      <c r="O4" s="2716"/>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c r="A5" s="358"/>
      <c r="B5" s="359"/>
      <c r="C5" s="3719" t="s">
        <v>1673</v>
      </c>
      <c r="D5" s="3710"/>
      <c r="E5" s="3721" t="s">
        <v>1674</v>
      </c>
      <c r="F5" s="3718"/>
      <c r="G5" s="3719" t="s">
        <v>1675</v>
      </c>
      <c r="H5" s="3710"/>
      <c r="I5" s="3719" t="s">
        <v>1676</v>
      </c>
      <c r="J5" s="3710"/>
      <c r="K5" s="559"/>
      <c r="L5" s="2715"/>
      <c r="M5" s="2716"/>
      <c r="N5" s="2716"/>
      <c r="O5" s="2716"/>
      <c r="P5" s="3730"/>
      <c r="Q5" s="3697"/>
      <c r="R5" s="3702"/>
      <c r="S5" s="3703"/>
      <c r="T5" s="3702"/>
      <c r="U5" s="3703"/>
      <c r="V5" s="3706"/>
      <c r="W5" s="3706"/>
      <c r="X5" s="1355"/>
      <c r="Y5" s="3702"/>
      <c r="Z5" s="3703"/>
      <c r="AA5" s="3688"/>
      <c r="AB5" s="3688"/>
      <c r="AC5" s="3726"/>
    </row>
    <row r="6" spans="1:29" ht="15" thickBot="1">
      <c r="A6" s="360"/>
      <c r="B6" s="361"/>
      <c r="C6" s="3707" t="s">
        <v>1677</v>
      </c>
      <c r="D6" s="3708"/>
      <c r="E6" s="3720" t="s">
        <v>1677</v>
      </c>
      <c r="F6" s="3716"/>
      <c r="G6" s="3707" t="s">
        <v>1677</v>
      </c>
      <c r="H6" s="3708"/>
      <c r="I6" s="3707" t="s">
        <v>1677</v>
      </c>
      <c r="J6" s="3708"/>
      <c r="K6" s="559" t="s">
        <v>1678</v>
      </c>
      <c r="L6" s="2715"/>
      <c r="M6" s="2716"/>
      <c r="N6" s="2716"/>
      <c r="O6" s="2716"/>
      <c r="P6" s="3731"/>
      <c r="Q6" s="3699"/>
      <c r="R6" s="3702"/>
      <c r="S6" s="3703"/>
      <c r="T6" s="3704"/>
      <c r="U6" s="3705"/>
      <c r="V6" s="3706"/>
      <c r="W6" s="3706"/>
      <c r="X6" s="1355"/>
      <c r="Y6" s="3704"/>
      <c r="Z6" s="3705"/>
      <c r="AA6" s="3689"/>
      <c r="AB6" s="3689"/>
      <c r="AC6" s="3727"/>
    </row>
    <row r="7" spans="1:29" s="108" customFormat="1" ht="15" thickBot="1">
      <c r="A7" s="362" t="s">
        <v>1679</v>
      </c>
      <c r="B7" s="363"/>
      <c r="C7" s="364">
        <f>'数据-取费表'!B2</f>
        <v>42339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5"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5"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6"/>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4" t="s">
        <v>1691</v>
      </c>
      <c r="Q15" s="1352" t="str">
        <f t="shared" si="6"/>
        <v>办公集聚程度</v>
      </c>
      <c r="R15" s="705" t="s">
        <v>14</v>
      </c>
      <c r="S15" s="706">
        <f t="shared" si="0"/>
        <v>100</v>
      </c>
      <c r="T15" s="705" t="s">
        <v>14</v>
      </c>
      <c r="U15" s="706">
        <f t="shared" si="1"/>
        <v>100</v>
      </c>
      <c r="V15" s="705" t="s">
        <v>14</v>
      </c>
      <c r="W15" s="706">
        <f t="shared" si="2"/>
        <v>100</v>
      </c>
      <c r="X15" s="1355"/>
      <c r="Y15" s="367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5"/>
      <c r="Q16" s="1352"/>
      <c r="R16" s="705"/>
      <c r="S16" s="706"/>
      <c r="T16" s="705"/>
      <c r="U16" s="706"/>
      <c r="V16" s="705"/>
      <c r="W16" s="706"/>
      <c r="X16" s="1355"/>
      <c r="Y16" s="367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5"/>
      <c r="Q18" s="1352"/>
      <c r="R18" s="705"/>
      <c r="S18" s="706"/>
      <c r="T18" s="705"/>
      <c r="U18" s="706"/>
      <c r="V18" s="705"/>
      <c r="W18" s="706"/>
      <c r="X18" s="1355"/>
      <c r="Y18" s="3678"/>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5"/>
      <c r="Q20" s="1352"/>
      <c r="R20" s="705"/>
      <c r="S20" s="706"/>
      <c r="T20" s="705"/>
      <c r="U20" s="706"/>
      <c r="V20" s="705"/>
      <c r="W20" s="706"/>
      <c r="X20" s="1355"/>
      <c r="Y20" s="3678"/>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5"/>
      <c r="Q22" s="1352"/>
      <c r="R22" s="705"/>
      <c r="S22" s="706"/>
      <c r="T22" s="705"/>
      <c r="U22" s="706"/>
      <c r="V22" s="705"/>
      <c r="W22" s="706"/>
      <c r="X22" s="1355"/>
      <c r="Y22" s="3678"/>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5"/>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5"/>
      <c r="Q24" s="1352"/>
      <c r="R24" s="705"/>
      <c r="S24" s="706"/>
      <c r="T24" s="705"/>
      <c r="U24" s="706"/>
      <c r="V24" s="705"/>
      <c r="W24" s="706"/>
      <c r="X24" s="1355"/>
      <c r="Y24" s="3678"/>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5"/>
      <c r="Q25" s="1352" t="str">
        <f>B25</f>
        <v>毗邻道路的类型与等级</v>
      </c>
      <c r="R25" s="705" t="s">
        <v>14</v>
      </c>
      <c r="S25" s="706">
        <f>F25</f>
        <v>100</v>
      </c>
      <c r="T25" s="705" t="s">
        <v>14</v>
      </c>
      <c r="U25" s="706">
        <f>H25</f>
        <v>100</v>
      </c>
      <c r="V25" s="705" t="s">
        <v>14</v>
      </c>
      <c r="W25" s="706">
        <f>J25</f>
        <v>100</v>
      </c>
      <c r="X25" s="1355"/>
      <c r="Y25" s="367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5"/>
      <c r="Q26" s="1352"/>
      <c r="R26" s="705"/>
      <c r="S26" s="706"/>
      <c r="T26" s="705"/>
      <c r="U26" s="706"/>
      <c r="V26" s="705"/>
      <c r="W26" s="706"/>
      <c r="X26" s="1355"/>
      <c r="Y26" s="367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5"/>
      <c r="Q27" s="1352" t="str">
        <f t="shared" ref="Q27:Q47" si="11">B27</f>
        <v>楼层</v>
      </c>
      <c r="R27" s="705" t="s">
        <v>14</v>
      </c>
      <c r="S27" s="706">
        <f>F27</f>
        <v>100</v>
      </c>
      <c r="T27" s="705" t="s">
        <v>14</v>
      </c>
      <c r="U27" s="706">
        <f>H27</f>
        <v>100</v>
      </c>
      <c r="V27" s="705" t="s">
        <v>14</v>
      </c>
      <c r="W27" s="706">
        <f>J27</f>
        <v>100</v>
      </c>
      <c r="X27" s="1355"/>
      <c r="Y27" s="367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5"/>
      <c r="Q28" s="1343" t="str">
        <f t="shared" si="11"/>
        <v>朝向</v>
      </c>
      <c r="R28" s="701" t="s">
        <v>14</v>
      </c>
      <c r="S28" s="702">
        <f>F28</f>
        <v>100</v>
      </c>
      <c r="T28" s="701" t="s">
        <v>14</v>
      </c>
      <c r="U28" s="702">
        <f>H28</f>
        <v>100</v>
      </c>
      <c r="V28" s="701" t="s">
        <v>14</v>
      </c>
      <c r="W28" s="702">
        <f>J28</f>
        <v>100</v>
      </c>
      <c r="X28" s="703"/>
      <c r="Y28" s="367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7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5"/>
      <c r="Q32" s="1352">
        <f t="shared" si="11"/>
        <v>111</v>
      </c>
      <c r="R32" s="705" t="s">
        <v>14</v>
      </c>
      <c r="S32" s="706">
        <f t="shared" si="12"/>
        <v>100</v>
      </c>
      <c r="T32" s="705" t="s">
        <v>14</v>
      </c>
      <c r="U32" s="706">
        <f t="shared" si="13"/>
        <v>100</v>
      </c>
      <c r="V32" s="705" t="s">
        <v>14</v>
      </c>
      <c r="W32" s="706">
        <f t="shared" si="14"/>
        <v>100</v>
      </c>
      <c r="X32" s="1355"/>
      <c r="Y32" s="367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9"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0"/>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0"/>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0"/>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0"/>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0"/>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0"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0"/>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0"/>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0"/>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0"/>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0"/>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1"/>
      <c r="Q47" s="1352">
        <f t="shared" si="11"/>
        <v>111</v>
      </c>
      <c r="R47" s="705" t="s">
        <v>14</v>
      </c>
      <c r="S47" s="706">
        <f t="shared" si="12"/>
        <v>100</v>
      </c>
      <c r="T47" s="705" t="s">
        <v>14</v>
      </c>
      <c r="U47" s="706">
        <f t="shared" si="13"/>
        <v>100</v>
      </c>
      <c r="V47" s="705" t="s">
        <v>14</v>
      </c>
      <c r="W47" s="706">
        <f t="shared" si="14"/>
        <v>100</v>
      </c>
      <c r="X47" s="1355"/>
      <c r="Y47" s="368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6" t="str">
        <f>A48</f>
        <v>成交单价（元/平方米）</v>
      </c>
      <c r="Q48" s="3675"/>
      <c r="R48" s="3676">
        <f>E48</f>
        <v>0</v>
      </c>
      <c r="S48" s="3676"/>
      <c r="T48" s="3676">
        <f>G48</f>
        <v>0</v>
      </c>
      <c r="U48" s="3676"/>
      <c r="V48" s="3676">
        <f>I48</f>
        <v>0</v>
      </c>
      <c r="W48" s="3676"/>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2015-12</v>
      </c>
      <c r="D59" s="1185">
        <f>EDATE(C59,-1)</f>
        <v>42309</v>
      </c>
      <c r="E59" s="1185">
        <f>EDATE(D59,-1)</f>
        <v>42278</v>
      </c>
      <c r="F59" s="1185">
        <f t="shared" ref="F59:O59" si="16">EDATE(E59,-1)</f>
        <v>42248</v>
      </c>
      <c r="G59" s="1185">
        <f t="shared" si="16"/>
        <v>42217</v>
      </c>
      <c r="H59" s="1185">
        <f t="shared" si="16"/>
        <v>42186</v>
      </c>
      <c r="I59" s="1185">
        <f t="shared" si="16"/>
        <v>42156</v>
      </c>
      <c r="J59" s="1185">
        <f t="shared" si="16"/>
        <v>42125</v>
      </c>
      <c r="K59" s="1185">
        <f t="shared" si="16"/>
        <v>42095</v>
      </c>
      <c r="L59" s="1185">
        <f t="shared" si="16"/>
        <v>42064</v>
      </c>
      <c r="M59" s="1185">
        <f t="shared" si="16"/>
        <v>42036</v>
      </c>
      <c r="N59" s="1185">
        <f t="shared" si="16"/>
        <v>42005</v>
      </c>
      <c r="O59" s="1185">
        <f t="shared" si="16"/>
        <v>41974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219.26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c r="A5" s="358"/>
      <c r="B5" s="359"/>
      <c r="C5" s="3719" t="s">
        <v>1673</v>
      </c>
      <c r="D5" s="3710"/>
      <c r="E5" s="3721" t="s">
        <v>1674</v>
      </c>
      <c r="F5" s="3718"/>
      <c r="G5" s="3719" t="s">
        <v>1675</v>
      </c>
      <c r="H5" s="3710"/>
      <c r="I5" s="3719" t="s">
        <v>1676</v>
      </c>
      <c r="J5" s="3710"/>
      <c r="K5" s="559"/>
      <c r="L5" s="913"/>
      <c r="M5" s="914"/>
      <c r="N5" s="914"/>
      <c r="O5" s="914"/>
      <c r="P5" s="3696"/>
      <c r="Q5" s="3697"/>
      <c r="R5" s="3702"/>
      <c r="S5" s="3703"/>
      <c r="T5" s="3702"/>
      <c r="U5" s="3703"/>
      <c r="V5" s="3706"/>
      <c r="W5" s="3706"/>
      <c r="X5" s="1355"/>
      <c r="Y5" s="3702"/>
      <c r="Z5" s="3703"/>
      <c r="AA5" s="3688"/>
      <c r="AB5" s="3688"/>
      <c r="AC5" s="3688"/>
    </row>
    <row r="6" spans="1:29" ht="15" thickBot="1">
      <c r="A6" s="360"/>
      <c r="B6" s="361"/>
      <c r="C6" s="3707" t="s">
        <v>1677</v>
      </c>
      <c r="D6" s="3708"/>
      <c r="E6" s="3720" t="s">
        <v>1677</v>
      </c>
      <c r="F6" s="3716"/>
      <c r="G6" s="3707" t="s">
        <v>1677</v>
      </c>
      <c r="H6" s="3708"/>
      <c r="I6" s="3707" t="s">
        <v>1677</v>
      </c>
      <c r="J6" s="3708"/>
      <c r="K6" s="559" t="s">
        <v>1678</v>
      </c>
      <c r="L6" s="913"/>
      <c r="M6" s="914"/>
      <c r="N6" s="914"/>
      <c r="O6" s="914"/>
      <c r="P6" s="3698"/>
      <c r="Q6" s="3699"/>
      <c r="R6" s="3702"/>
      <c r="S6" s="3703"/>
      <c r="T6" s="3704"/>
      <c r="U6" s="3705"/>
      <c r="V6" s="3706"/>
      <c r="W6" s="3706"/>
      <c r="X6" s="1355"/>
      <c r="Y6" s="3704"/>
      <c r="Z6" s="3705"/>
      <c r="AA6" s="3689"/>
      <c r="AB6" s="3689"/>
      <c r="AC6" s="3689"/>
    </row>
    <row r="7" spans="1:29" s="108" customFormat="1" ht="15" thickBot="1">
      <c r="A7" s="362" t="s">
        <v>1679</v>
      </c>
      <c r="B7" s="363"/>
      <c r="C7" s="364">
        <f>'数据-取费表'!B2</f>
        <v>42339</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8"/>
      <c r="Q16" s="1352"/>
      <c r="R16" s="705"/>
      <c r="S16" s="706"/>
      <c r="T16" s="705"/>
      <c r="U16" s="706"/>
      <c r="V16" s="705"/>
      <c r="W16" s="706"/>
      <c r="X16" s="1355"/>
      <c r="Y16" s="367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8"/>
      <c r="Q18" s="1352"/>
      <c r="R18" s="705"/>
      <c r="S18" s="706"/>
      <c r="T18" s="705"/>
      <c r="U18" s="706"/>
      <c r="V18" s="705"/>
      <c r="W18" s="706"/>
      <c r="X18" s="1355"/>
      <c r="Y18" s="367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8"/>
      <c r="Q20" s="1352"/>
      <c r="R20" s="705"/>
      <c r="S20" s="706"/>
      <c r="T20" s="705"/>
      <c r="U20" s="706"/>
      <c r="V20" s="705"/>
      <c r="W20" s="706"/>
      <c r="X20" s="1355"/>
      <c r="Y20" s="367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8"/>
      <c r="Q22" s="1352"/>
      <c r="R22" s="705"/>
      <c r="S22" s="706"/>
      <c r="T22" s="705"/>
      <c r="U22" s="706"/>
      <c r="V22" s="705"/>
      <c r="W22" s="706"/>
      <c r="X22" s="1355"/>
      <c r="Y22" s="367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8"/>
      <c r="Q24" s="1352"/>
      <c r="R24" s="705"/>
      <c r="S24" s="706"/>
      <c r="T24" s="705"/>
      <c r="U24" s="706"/>
      <c r="V24" s="705"/>
      <c r="W24" s="706"/>
      <c r="X24" s="1355"/>
      <c r="Y24" s="36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2">
        <f>B25</f>
        <v>111</v>
      </c>
      <c r="R25" s="705" t="s">
        <v>14</v>
      </c>
      <c r="S25" s="706">
        <f>F25</f>
        <v>100</v>
      </c>
      <c r="T25" s="705" t="s">
        <v>14</v>
      </c>
      <c r="U25" s="706">
        <f>H25</f>
        <v>100</v>
      </c>
      <c r="V25" s="705" t="s">
        <v>14</v>
      </c>
      <c r="W25" s="706">
        <f>J25</f>
        <v>100</v>
      </c>
      <c r="X25" s="1355"/>
      <c r="Y25" s="36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2">
        <f t="shared" ref="Q26:Q40" si="11">B26</f>
        <v>111</v>
      </c>
      <c r="R26" s="705" t="s">
        <v>14</v>
      </c>
      <c r="S26" s="706">
        <f>F26</f>
        <v>100</v>
      </c>
      <c r="T26" s="705" t="s">
        <v>14</v>
      </c>
      <c r="U26" s="706">
        <f>H26</f>
        <v>100</v>
      </c>
      <c r="V26" s="705" t="s">
        <v>14</v>
      </c>
      <c r="W26" s="706">
        <f>J26</f>
        <v>100</v>
      </c>
      <c r="X26" s="1355"/>
      <c r="Y26" s="36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3">
        <f t="shared" si="11"/>
        <v>111</v>
      </c>
      <c r="R27" s="701" t="s">
        <v>14</v>
      </c>
      <c r="S27" s="702">
        <f>F27</f>
        <v>100</v>
      </c>
      <c r="T27" s="701" t="s">
        <v>14</v>
      </c>
      <c r="U27" s="702">
        <f>H27</f>
        <v>100</v>
      </c>
      <c r="V27" s="701" t="s">
        <v>14</v>
      </c>
      <c r="W27" s="702">
        <f>J27</f>
        <v>100</v>
      </c>
      <c r="X27" s="703"/>
      <c r="Y27" s="367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2">
        <f t="shared" si="11"/>
        <v>111</v>
      </c>
      <c r="R28" s="705" t="s">
        <v>14</v>
      </c>
      <c r="S28" s="706">
        <f t="shared" ref="S28:S40" si="12">F28</f>
        <v>100</v>
      </c>
      <c r="T28" s="705" t="s">
        <v>14</v>
      </c>
      <c r="U28" s="706">
        <f t="shared" ref="U28:U40" si="13">H28</f>
        <v>100</v>
      </c>
      <c r="V28" s="705" t="s">
        <v>14</v>
      </c>
      <c r="W28" s="706">
        <f t="shared" ref="W28:W40" si="14">J28</f>
        <v>100</v>
      </c>
      <c r="X28" s="1355"/>
      <c r="Y28" s="3678"/>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3"/>
      <c r="Q40" s="1352">
        <f t="shared" si="11"/>
        <v>111</v>
      </c>
      <c r="R40" s="705" t="s">
        <v>14</v>
      </c>
      <c r="S40" s="706">
        <f t="shared" si="12"/>
        <v>100</v>
      </c>
      <c r="T40" s="705" t="s">
        <v>14</v>
      </c>
      <c r="U40" s="706">
        <f t="shared" si="13"/>
        <v>100</v>
      </c>
      <c r="V40" s="705" t="s">
        <v>14</v>
      </c>
      <c r="W40" s="706">
        <f t="shared" si="14"/>
        <v>100</v>
      </c>
      <c r="X40" s="1355"/>
      <c r="Y40" s="368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2015-12</v>
      </c>
      <c r="D52" s="1185">
        <f>EDATE(C52,-1)</f>
        <v>42309</v>
      </c>
      <c r="E52" s="1185">
        <f t="shared" ref="E52:O52" si="16">EDATE(D52,-1)</f>
        <v>42278</v>
      </c>
      <c r="F52" s="1185">
        <f t="shared" si="16"/>
        <v>42248</v>
      </c>
      <c r="G52" s="1185">
        <f t="shared" si="16"/>
        <v>42217</v>
      </c>
      <c r="H52" s="1185">
        <f t="shared" si="16"/>
        <v>42186</v>
      </c>
      <c r="I52" s="1185">
        <f t="shared" si="16"/>
        <v>42156</v>
      </c>
      <c r="J52" s="1185">
        <f t="shared" si="16"/>
        <v>42125</v>
      </c>
      <c r="K52" s="1185">
        <f t="shared" si="16"/>
        <v>42095</v>
      </c>
      <c r="L52" s="1185">
        <f t="shared" si="16"/>
        <v>42064</v>
      </c>
      <c r="M52" s="1185">
        <f t="shared" si="16"/>
        <v>42036</v>
      </c>
      <c r="N52" s="1185">
        <f t="shared" si="16"/>
        <v>42005</v>
      </c>
      <c r="O52" s="1185">
        <f t="shared" si="16"/>
        <v>41974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c r="A5" s="358"/>
      <c r="B5" s="359"/>
      <c r="C5" s="3719" t="s">
        <v>1673</v>
      </c>
      <c r="D5" s="3710"/>
      <c r="E5" s="3721" t="s">
        <v>1674</v>
      </c>
      <c r="F5" s="3718"/>
      <c r="G5" s="3719" t="s">
        <v>1675</v>
      </c>
      <c r="H5" s="3710"/>
      <c r="I5" s="3719" t="s">
        <v>1676</v>
      </c>
      <c r="J5" s="3710"/>
      <c r="K5" s="559"/>
      <c r="L5" s="2715"/>
      <c r="M5" s="2716"/>
      <c r="N5" s="2716"/>
      <c r="O5" s="2716"/>
      <c r="P5" s="3696"/>
      <c r="Q5" s="3697"/>
      <c r="R5" s="3702"/>
      <c r="S5" s="3703"/>
      <c r="T5" s="3702"/>
      <c r="U5" s="3703"/>
      <c r="V5" s="3706"/>
      <c r="W5" s="3706"/>
      <c r="X5" s="1355"/>
      <c r="Y5" s="3702"/>
      <c r="Z5" s="3703"/>
      <c r="AA5" s="3688"/>
      <c r="AB5" s="3688"/>
      <c r="AC5" s="3688"/>
    </row>
    <row r="6" spans="1:29" ht="15" thickBot="1">
      <c r="A6" s="360"/>
      <c r="B6" s="361"/>
      <c r="C6" s="3707" t="s">
        <v>1677</v>
      </c>
      <c r="D6" s="3708"/>
      <c r="E6" s="3720" t="s">
        <v>1677</v>
      </c>
      <c r="F6" s="3716"/>
      <c r="G6" s="3707" t="s">
        <v>1677</v>
      </c>
      <c r="H6" s="3708"/>
      <c r="I6" s="3707" t="s">
        <v>1677</v>
      </c>
      <c r="J6" s="3708"/>
      <c r="K6" s="559" t="s">
        <v>1678</v>
      </c>
      <c r="L6" s="2715"/>
      <c r="M6" s="2716"/>
      <c r="N6" s="2716"/>
      <c r="O6" s="2716"/>
      <c r="P6" s="3698"/>
      <c r="Q6" s="3699"/>
      <c r="R6" s="3702"/>
      <c r="S6" s="3703"/>
      <c r="T6" s="3704"/>
      <c r="U6" s="3705"/>
      <c r="V6" s="3706"/>
      <c r="W6" s="3706"/>
      <c r="X6" s="1355"/>
      <c r="Y6" s="3704"/>
      <c r="Z6" s="3705"/>
      <c r="AA6" s="3689"/>
      <c r="AB6" s="3689"/>
      <c r="AC6" s="3689"/>
    </row>
    <row r="7" spans="1:29" s="108" customFormat="1" ht="15" thickBot="1">
      <c r="A7" s="362" t="s">
        <v>1679</v>
      </c>
      <c r="B7" s="363"/>
      <c r="C7" s="364">
        <f>'数据-取费表'!B2</f>
        <v>42339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8"/>
      <c r="Q15" s="1352"/>
      <c r="R15" s="705"/>
      <c r="S15" s="706"/>
      <c r="T15" s="705"/>
      <c r="U15" s="706"/>
      <c r="V15" s="705"/>
      <c r="W15" s="706"/>
      <c r="X15" s="1355"/>
      <c r="Y15" s="367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8"/>
      <c r="Q17" s="1352"/>
      <c r="R17" s="705"/>
      <c r="S17" s="706"/>
      <c r="T17" s="705"/>
      <c r="U17" s="706"/>
      <c r="V17" s="705"/>
      <c r="W17" s="706"/>
      <c r="X17" s="1355"/>
      <c r="Y17" s="367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8"/>
      <c r="Q19" s="1352"/>
      <c r="R19" s="705"/>
      <c r="S19" s="706"/>
      <c r="T19" s="705"/>
      <c r="U19" s="706"/>
      <c r="V19" s="705"/>
      <c r="W19" s="706"/>
      <c r="X19" s="1355"/>
      <c r="Y19" s="367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8"/>
      <c r="Q21" s="1352"/>
      <c r="R21" s="705"/>
      <c r="S21" s="706"/>
      <c r="T21" s="705"/>
      <c r="U21" s="706"/>
      <c r="V21" s="705"/>
      <c r="W21" s="706"/>
      <c r="X21" s="1355"/>
      <c r="Y21" s="367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8"/>
      <c r="Q24" s="1352">
        <f t="shared" ref="Q24:Q36"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2"/>
      <c r="Q29" s="1352" t="str">
        <f t="shared" si="11"/>
        <v>成新率</v>
      </c>
      <c r="R29" s="705" t="s">
        <v>14</v>
      </c>
      <c r="S29" s="706" t="e">
        <f t="shared" si="12"/>
        <v>#N/A</v>
      </c>
      <c r="T29" s="705" t="s">
        <v>14</v>
      </c>
      <c r="U29" s="706" t="e">
        <f t="shared" si="13"/>
        <v>#N/A</v>
      </c>
      <c r="V29" s="705" t="s">
        <v>14</v>
      </c>
      <c r="W29" s="706" t="e">
        <f t="shared" si="14"/>
        <v>#N/A</v>
      </c>
      <c r="X29" s="1355"/>
      <c r="Y29" s="368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2"/>
      <c r="Q31" s="1343"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75" t="str">
        <f>A37</f>
        <v>成交单价</v>
      </c>
      <c r="Q37" s="3675"/>
      <c r="R37" s="3676">
        <f>E37</f>
        <v>0</v>
      </c>
      <c r="S37" s="3676"/>
      <c r="T37" s="3676">
        <f>G37</f>
        <v>0</v>
      </c>
      <c r="U37" s="3676"/>
      <c r="V37" s="3676">
        <f>I37</f>
        <v>0</v>
      </c>
      <c r="W37" s="367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2" t="str">
        <f>A39</f>
        <v>估价对象XX用房的比较价值（楼面单价，元/平方米）</v>
      </c>
      <c r="Q39" s="3673"/>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2015-12</v>
      </c>
      <c r="D48" s="1185">
        <f>EDATE(C48,-1)</f>
        <v>42309</v>
      </c>
      <c r="E48" s="1185">
        <f t="shared" ref="E48:O48" si="16">EDATE(D48,-1)</f>
        <v>42278</v>
      </c>
      <c r="F48" s="1185">
        <f t="shared" si="16"/>
        <v>42248</v>
      </c>
      <c r="G48" s="1185">
        <f t="shared" si="16"/>
        <v>42217</v>
      </c>
      <c r="H48" s="1185">
        <f t="shared" si="16"/>
        <v>42186</v>
      </c>
      <c r="I48" s="1185">
        <f t="shared" si="16"/>
        <v>42156</v>
      </c>
      <c r="J48" s="1185">
        <f t="shared" si="16"/>
        <v>42125</v>
      </c>
      <c r="K48" s="1185">
        <f t="shared" si="16"/>
        <v>42095</v>
      </c>
      <c r="L48" s="1185">
        <f t="shared" si="16"/>
        <v>42064</v>
      </c>
      <c r="M48" s="1185">
        <f t="shared" si="16"/>
        <v>42036</v>
      </c>
      <c r="N48" s="1185">
        <f t="shared" si="16"/>
        <v>42005</v>
      </c>
      <c r="O48" s="1185">
        <f t="shared" si="16"/>
        <v>41974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c r="A5" s="358"/>
      <c r="B5" s="359"/>
      <c r="C5" s="3719" t="s">
        <v>1673</v>
      </c>
      <c r="D5" s="3710"/>
      <c r="E5" s="3721" t="s">
        <v>1674</v>
      </c>
      <c r="F5" s="3718"/>
      <c r="G5" s="3719" t="s">
        <v>1675</v>
      </c>
      <c r="H5" s="3710"/>
      <c r="I5" s="3719" t="s">
        <v>1676</v>
      </c>
      <c r="J5" s="3710"/>
      <c r="K5" s="559"/>
      <c r="L5" s="2715"/>
      <c r="M5" s="2716"/>
      <c r="N5" s="2716"/>
      <c r="O5" s="2716"/>
      <c r="P5" s="3696"/>
      <c r="Q5" s="3697"/>
      <c r="R5" s="3702"/>
      <c r="S5" s="3703"/>
      <c r="T5" s="3702"/>
      <c r="U5" s="3703"/>
      <c r="V5" s="3706"/>
      <c r="W5" s="3706"/>
      <c r="X5" s="1355"/>
      <c r="Y5" s="3702"/>
      <c r="Z5" s="3703"/>
      <c r="AA5" s="3688"/>
      <c r="AB5" s="3688"/>
      <c r="AC5" s="3688"/>
    </row>
    <row r="6" spans="1:29" ht="15" thickBot="1">
      <c r="A6" s="360"/>
      <c r="B6" s="361"/>
      <c r="C6" s="3707" t="s">
        <v>1677</v>
      </c>
      <c r="D6" s="3708"/>
      <c r="E6" s="3720" t="s">
        <v>1677</v>
      </c>
      <c r="F6" s="3716"/>
      <c r="G6" s="3707" t="s">
        <v>1677</v>
      </c>
      <c r="H6" s="3708"/>
      <c r="I6" s="3707" t="s">
        <v>1677</v>
      </c>
      <c r="J6" s="3708"/>
      <c r="K6" s="559" t="s">
        <v>1678</v>
      </c>
      <c r="L6" s="2715"/>
      <c r="M6" s="2716"/>
      <c r="N6" s="2716"/>
      <c r="O6" s="2716"/>
      <c r="P6" s="3698"/>
      <c r="Q6" s="3699"/>
      <c r="R6" s="3702"/>
      <c r="S6" s="3703"/>
      <c r="T6" s="3704"/>
      <c r="U6" s="3705"/>
      <c r="V6" s="3706"/>
      <c r="W6" s="3706"/>
      <c r="X6" s="1355"/>
      <c r="Y6" s="3704"/>
      <c r="Z6" s="3705"/>
      <c r="AA6" s="3689"/>
      <c r="AB6" s="3689"/>
      <c r="AC6" s="3689"/>
    </row>
    <row r="7" spans="1:29" s="108" customFormat="1" ht="15" thickBot="1">
      <c r="A7" s="362" t="s">
        <v>1679</v>
      </c>
      <c r="B7" s="363"/>
      <c r="C7" s="364">
        <f>'数据-取费表'!B2</f>
        <v>42339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8"/>
      <c r="Q15" s="1352"/>
      <c r="R15" s="705"/>
      <c r="S15" s="706"/>
      <c r="T15" s="705"/>
      <c r="U15" s="706"/>
      <c r="V15" s="705"/>
      <c r="W15" s="706"/>
      <c r="X15" s="1355"/>
      <c r="Y15" s="367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8"/>
      <c r="Q17" s="1352"/>
      <c r="R17" s="705"/>
      <c r="S17" s="706"/>
      <c r="T17" s="705"/>
      <c r="U17" s="706"/>
      <c r="V17" s="705"/>
      <c r="W17" s="706"/>
      <c r="X17" s="1355"/>
      <c r="Y17" s="367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8"/>
      <c r="Q19" s="1352"/>
      <c r="R19" s="705"/>
      <c r="S19" s="706"/>
      <c r="T19" s="705"/>
      <c r="U19" s="706"/>
      <c r="V19" s="705"/>
      <c r="W19" s="706"/>
      <c r="X19" s="1355"/>
      <c r="Y19" s="367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8"/>
      <c r="Q21" s="1352"/>
      <c r="R21" s="705"/>
      <c r="S21" s="706"/>
      <c r="T21" s="705"/>
      <c r="U21" s="706"/>
      <c r="V21" s="705"/>
      <c r="W21" s="706"/>
      <c r="X21" s="1355"/>
      <c r="Y21" s="367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8"/>
      <c r="Q24" s="1352">
        <f t="shared" ref="Q24:Q34"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2" t="str">
        <f>A37</f>
        <v>估价对象XX用房的比较价值（楼面单价，元/平方米）</v>
      </c>
      <c r="Q37" s="3673"/>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2015-12</v>
      </c>
      <c r="D46" s="1185">
        <f>EDATE(C46,-1)</f>
        <v>42309</v>
      </c>
      <c r="E46" s="1185">
        <f t="shared" ref="E46:O46" si="16">EDATE(D46,-1)</f>
        <v>42278</v>
      </c>
      <c r="F46" s="1185">
        <f t="shared" si="16"/>
        <v>42248</v>
      </c>
      <c r="G46" s="1185">
        <f t="shared" si="16"/>
        <v>42217</v>
      </c>
      <c r="H46" s="1185">
        <f t="shared" si="16"/>
        <v>42186</v>
      </c>
      <c r="I46" s="1185">
        <f t="shared" si="16"/>
        <v>42156</v>
      </c>
      <c r="J46" s="1185">
        <f t="shared" si="16"/>
        <v>42125</v>
      </c>
      <c r="K46" s="1185">
        <f t="shared" si="16"/>
        <v>42095</v>
      </c>
      <c r="L46" s="1185">
        <f t="shared" si="16"/>
        <v>42064</v>
      </c>
      <c r="M46" s="1185">
        <f t="shared" si="16"/>
        <v>42036</v>
      </c>
      <c r="N46" s="1185">
        <f t="shared" si="16"/>
        <v>42005</v>
      </c>
      <c r="O46" s="1185">
        <f t="shared" si="16"/>
        <v>41974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30">
      <c r="A5" s="358"/>
      <c r="B5" s="359"/>
      <c r="C5" s="3719" t="s">
        <v>1673</v>
      </c>
      <c r="D5" s="3710"/>
      <c r="E5" s="3721" t="s">
        <v>1674</v>
      </c>
      <c r="F5" s="3718"/>
      <c r="G5" s="3719" t="s">
        <v>1675</v>
      </c>
      <c r="H5" s="3710"/>
      <c r="I5" s="3719" t="s">
        <v>1676</v>
      </c>
      <c r="J5" s="3710"/>
      <c r="K5" s="559"/>
      <c r="L5" s="2715"/>
      <c r="M5" s="2716"/>
      <c r="N5" s="2716"/>
      <c r="O5" s="2716"/>
      <c r="P5" s="3696"/>
      <c r="Q5" s="3697"/>
      <c r="R5" s="3702"/>
      <c r="S5" s="3703"/>
      <c r="T5" s="3702"/>
      <c r="U5" s="3703"/>
      <c r="V5" s="3706"/>
      <c r="W5" s="3706"/>
      <c r="X5" s="1355"/>
      <c r="Y5" s="3702"/>
      <c r="Z5" s="3703"/>
      <c r="AA5" s="3688"/>
      <c r="AB5" s="3688"/>
      <c r="AC5" s="3688"/>
    </row>
    <row r="6" spans="1:30" ht="15" thickBot="1">
      <c r="A6" s="360"/>
      <c r="B6" s="361"/>
      <c r="C6" s="3707" t="s">
        <v>1677</v>
      </c>
      <c r="D6" s="3708"/>
      <c r="E6" s="3720" t="s">
        <v>1677</v>
      </c>
      <c r="F6" s="3716"/>
      <c r="G6" s="3707" t="s">
        <v>1677</v>
      </c>
      <c r="H6" s="3708"/>
      <c r="I6" s="3707" t="s">
        <v>1677</v>
      </c>
      <c r="J6" s="3708"/>
      <c r="K6" s="559" t="s">
        <v>1678</v>
      </c>
      <c r="L6" s="2715"/>
      <c r="M6" s="2716"/>
      <c r="N6" s="2716"/>
      <c r="O6" s="2716"/>
      <c r="P6" s="3698"/>
      <c r="Q6" s="3699"/>
      <c r="R6" s="3702"/>
      <c r="S6" s="3703"/>
      <c r="T6" s="3704"/>
      <c r="U6" s="3705"/>
      <c r="V6" s="3706"/>
      <c r="W6" s="3706"/>
      <c r="X6" s="1355"/>
      <c r="Y6" s="3704"/>
      <c r="Z6" s="3705"/>
      <c r="AA6" s="3689"/>
      <c r="AB6" s="3689"/>
      <c r="AC6" s="3689"/>
    </row>
    <row r="7" spans="1:30" s="108" customFormat="1" ht="15" thickBot="1">
      <c r="A7" s="362" t="s">
        <v>1679</v>
      </c>
      <c r="B7" s="363"/>
      <c r="C7" s="364">
        <f>'数据-取费表'!B2</f>
        <v>42339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5"/>
      <c r="Q10" s="1343" t="str">
        <f t="shared" si="6"/>
        <v>土地使用年限（年）</v>
      </c>
      <c r="R10" s="701" t="s">
        <v>14</v>
      </c>
      <c r="S10" s="702" t="e">
        <f t="shared" si="0"/>
        <v>#DIV/0!</v>
      </c>
      <c r="T10" s="701" t="s">
        <v>14</v>
      </c>
      <c r="U10" s="702" t="e">
        <f t="shared" si="1"/>
        <v>#DIV/0!</v>
      </c>
      <c r="V10" s="701" t="s">
        <v>14</v>
      </c>
      <c r="W10" s="702" t="e">
        <f t="shared" si="2"/>
        <v>#DIV/0!</v>
      </c>
      <c r="X10" s="703"/>
      <c r="Y10" s="355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5"/>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7" t="s">
        <v>1691</v>
      </c>
      <c r="Q15" s="1352" t="str">
        <f t="shared" si="6"/>
        <v>居住社区成熟度</v>
      </c>
      <c r="R15" s="705" t="s">
        <v>14</v>
      </c>
      <c r="S15" s="706">
        <f t="shared" si="0"/>
        <v>100</v>
      </c>
      <c r="T15" s="705" t="s">
        <v>14</v>
      </c>
      <c r="U15" s="706">
        <f t="shared" si="1"/>
        <v>100</v>
      </c>
      <c r="V15" s="705" t="s">
        <v>14</v>
      </c>
      <c r="W15" s="706">
        <f t="shared" si="2"/>
        <v>100</v>
      </c>
      <c r="X15" s="1355"/>
      <c r="Y15" s="367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8"/>
      <c r="Q16" s="1352"/>
      <c r="R16" s="705"/>
      <c r="S16" s="706"/>
      <c r="T16" s="705"/>
      <c r="U16" s="706"/>
      <c r="V16" s="705"/>
      <c r="W16" s="706"/>
      <c r="X16" s="1355"/>
      <c r="Y16" s="3678"/>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8"/>
      <c r="Q17" s="1352" t="str">
        <f>B17</f>
        <v>商业繁华度</v>
      </c>
      <c r="R17" s="705" t="s">
        <v>14</v>
      </c>
      <c r="S17" s="706">
        <f>F17</f>
        <v>100</v>
      </c>
      <c r="T17" s="705" t="s">
        <v>14</v>
      </c>
      <c r="U17" s="706">
        <f>H17</f>
        <v>100</v>
      </c>
      <c r="V17" s="705" t="s">
        <v>14</v>
      </c>
      <c r="W17" s="706">
        <f>J17</f>
        <v>100</v>
      </c>
      <c r="X17" s="1355"/>
      <c r="Y17" s="36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8"/>
      <c r="Q18" s="1352"/>
      <c r="R18" s="705"/>
      <c r="S18" s="706"/>
      <c r="T18" s="705"/>
      <c r="U18" s="706"/>
      <c r="V18" s="705"/>
      <c r="W18" s="706"/>
      <c r="X18" s="1355"/>
      <c r="Y18" s="3678"/>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8"/>
      <c r="Q19" s="1352" t="str">
        <f>B19</f>
        <v>办公集聚程度</v>
      </c>
      <c r="R19" s="705" t="s">
        <v>14</v>
      </c>
      <c r="S19" s="706">
        <f>F19</f>
        <v>100</v>
      </c>
      <c r="T19" s="705" t="s">
        <v>14</v>
      </c>
      <c r="U19" s="706">
        <f>H19</f>
        <v>100</v>
      </c>
      <c r="V19" s="705" t="s">
        <v>14</v>
      </c>
      <c r="W19" s="706">
        <f>J19</f>
        <v>100</v>
      </c>
      <c r="X19" s="1355"/>
      <c r="Y19" s="36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8"/>
      <c r="Q20" s="1352"/>
      <c r="R20" s="705"/>
      <c r="S20" s="706"/>
      <c r="T20" s="705"/>
      <c r="U20" s="706"/>
      <c r="V20" s="705"/>
      <c r="W20" s="706"/>
      <c r="X20" s="1355"/>
      <c r="Y20" s="367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8"/>
      <c r="Q21" s="1352" t="str">
        <f>B21</f>
        <v>交通便捷度</v>
      </c>
      <c r="R21" s="705" t="s">
        <v>14</v>
      </c>
      <c r="S21" s="706">
        <f>F21</f>
        <v>100</v>
      </c>
      <c r="T21" s="705" t="s">
        <v>14</v>
      </c>
      <c r="U21" s="706">
        <f>H21</f>
        <v>100</v>
      </c>
      <c r="V21" s="705" t="s">
        <v>14</v>
      </c>
      <c r="W21" s="706">
        <f>J21</f>
        <v>100</v>
      </c>
      <c r="X21" s="1355"/>
      <c r="Y21" s="36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8"/>
      <c r="Q22" s="1352"/>
      <c r="R22" s="705"/>
      <c r="S22" s="706"/>
      <c r="T22" s="705"/>
      <c r="U22" s="706"/>
      <c r="V22" s="705"/>
      <c r="W22" s="706"/>
      <c r="X22" s="1355"/>
      <c r="Y22" s="367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8"/>
      <c r="Q23" s="1352" t="str">
        <f t="shared" ref="Q23:Q37" si="8">B23</f>
        <v>区域土地利用方向</v>
      </c>
      <c r="R23" s="705" t="s">
        <v>14</v>
      </c>
      <c r="S23" s="706">
        <f>F23</f>
        <v>100</v>
      </c>
      <c r="T23" s="705" t="s">
        <v>14</v>
      </c>
      <c r="U23" s="706">
        <f>H23</f>
        <v>100</v>
      </c>
      <c r="V23" s="705" t="s">
        <v>14</v>
      </c>
      <c r="W23" s="706">
        <f>J23</f>
        <v>100</v>
      </c>
      <c r="X23" s="1355"/>
      <c r="Y23" s="36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8"/>
      <c r="Q24" s="1352"/>
      <c r="R24" s="705"/>
      <c r="S24" s="706"/>
      <c r="T24" s="705"/>
      <c r="U24" s="706"/>
      <c r="V24" s="705"/>
      <c r="W24" s="706"/>
      <c r="X24" s="1355"/>
      <c r="Y24" s="3678"/>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8"/>
      <c r="Q25" s="1352" t="str">
        <f t="shared" si="8"/>
        <v>自然及人文环境状况</v>
      </c>
      <c r="R25" s="705" t="s">
        <v>14</v>
      </c>
      <c r="S25" s="706">
        <f>F25</f>
        <v>100</v>
      </c>
      <c r="T25" s="705" t="s">
        <v>14</v>
      </c>
      <c r="U25" s="706">
        <f>H25</f>
        <v>100</v>
      </c>
      <c r="V25" s="705" t="s">
        <v>14</v>
      </c>
      <c r="W25" s="706">
        <f>J25</f>
        <v>100</v>
      </c>
      <c r="X25" s="1355"/>
      <c r="Y25" s="36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8"/>
      <c r="Q26" s="1352"/>
      <c r="R26" s="705"/>
      <c r="S26" s="706"/>
      <c r="T26" s="705"/>
      <c r="U26" s="706"/>
      <c r="V26" s="705"/>
      <c r="W26" s="706"/>
      <c r="X26" s="1355"/>
      <c r="Y26" s="367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8"/>
      <c r="Q27" s="1343" t="str">
        <f t="shared" si="8"/>
        <v>公共配套设施</v>
      </c>
      <c r="R27" s="701" t="s">
        <v>14</v>
      </c>
      <c r="S27" s="702">
        <f>F27</f>
        <v>100</v>
      </c>
      <c r="T27" s="701" t="s">
        <v>14</v>
      </c>
      <c r="U27" s="702">
        <f>H27</f>
        <v>100</v>
      </c>
      <c r="V27" s="701" t="s">
        <v>14</v>
      </c>
      <c r="W27" s="702">
        <f>J27</f>
        <v>100</v>
      </c>
      <c r="X27" s="703"/>
      <c r="Y27" s="367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8"/>
      <c r="Q28" s="1343"/>
      <c r="R28" s="701"/>
      <c r="S28" s="702"/>
      <c r="T28" s="701"/>
      <c r="U28" s="702"/>
      <c r="V28" s="701"/>
      <c r="W28" s="702"/>
      <c r="X28" s="703"/>
      <c r="Y28" s="367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8"/>
      <c r="Q29" s="1343"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8"/>
      <c r="Q30" s="1343"/>
      <c r="R30" s="701"/>
      <c r="S30" s="702"/>
      <c r="T30" s="701"/>
      <c r="U30" s="702"/>
      <c r="V30" s="701"/>
      <c r="W30" s="702"/>
      <c r="X30" s="703"/>
      <c r="Y30" s="367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8"/>
      <c r="Q32" s="1352" t="str">
        <f t="shared" si="8"/>
        <v>毗邻道路的类型与等级</v>
      </c>
      <c r="R32" s="705" t="s">
        <v>14</v>
      </c>
      <c r="S32" s="706">
        <f t="shared" si="10"/>
        <v>100</v>
      </c>
      <c r="T32" s="705" t="s">
        <v>14</v>
      </c>
      <c r="U32" s="706">
        <f t="shared" si="11"/>
        <v>100</v>
      </c>
      <c r="V32" s="705" t="s">
        <v>14</v>
      </c>
      <c r="W32" s="706">
        <f t="shared" si="12"/>
        <v>100</v>
      </c>
      <c r="X32" s="1355"/>
      <c r="Y32" s="36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8"/>
      <c r="Q33" s="1352"/>
      <c r="R33" s="705"/>
      <c r="S33" s="706"/>
      <c r="T33" s="705"/>
      <c r="U33" s="706"/>
      <c r="V33" s="705"/>
      <c r="W33" s="706"/>
      <c r="X33" s="1355"/>
      <c r="Y33" s="367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8"/>
      <c r="Q34" s="1352" t="str">
        <f t="shared" si="8"/>
        <v>土地级别</v>
      </c>
      <c r="R34" s="705" t="s">
        <v>14</v>
      </c>
      <c r="S34" s="706">
        <f t="shared" si="10"/>
        <v>100</v>
      </c>
      <c r="T34" s="705" t="s">
        <v>14</v>
      </c>
      <c r="U34" s="706">
        <f t="shared" si="11"/>
        <v>100</v>
      </c>
      <c r="V34" s="705" t="s">
        <v>14</v>
      </c>
      <c r="W34" s="706">
        <f t="shared" si="12"/>
        <v>100</v>
      </c>
      <c r="X34" s="1355"/>
      <c r="Y34" s="36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8"/>
      <c r="Q35" s="1352">
        <f t="shared" si="8"/>
        <v>111</v>
      </c>
      <c r="R35" s="705" t="s">
        <v>14</v>
      </c>
      <c r="S35" s="706">
        <f t="shared" si="10"/>
        <v>100</v>
      </c>
      <c r="T35" s="705" t="s">
        <v>14</v>
      </c>
      <c r="U35" s="706">
        <f t="shared" si="11"/>
        <v>100</v>
      </c>
      <c r="V35" s="705" t="s">
        <v>14</v>
      </c>
      <c r="W35" s="706">
        <f t="shared" si="12"/>
        <v>100</v>
      </c>
      <c r="X35" s="1355"/>
      <c r="Y35" s="36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7"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5" t="str">
        <f>A46</f>
        <v>成交单价</v>
      </c>
      <c r="Q46" s="3675"/>
      <c r="R46" s="3706">
        <f>E46</f>
        <v>0</v>
      </c>
      <c r="S46" s="3706"/>
      <c r="T46" s="3706">
        <f>G46</f>
        <v>0</v>
      </c>
      <c r="U46" s="3706"/>
      <c r="V46" s="3706">
        <f>I46</f>
        <v>0</v>
      </c>
      <c r="W46" s="3706"/>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5" t="str">
        <f>A47</f>
        <v>比较价值（元/平方米）</v>
      </c>
      <c r="Q47" s="3675"/>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2" t="str">
        <f>A48</f>
        <v>估价对象XX用房的比较价值（楼面单价，元/平方米）</v>
      </c>
      <c r="Q48" s="3673"/>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0" t="s">
        <v>1887</v>
      </c>
      <c r="H55" s="374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219.26</v>
      </c>
      <c r="F56" s="886" t="e">
        <f t="shared" ref="F56:F64" si="15">ROUND(B56*E56/10000,0)</f>
        <v>#DIV/0!</v>
      </c>
      <c r="G56" s="3686"/>
      <c r="H56" s="367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219.26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2015-12-1</v>
      </c>
      <c r="D67" s="692">
        <f>EDATE(C67,-3)</f>
        <v>42248</v>
      </c>
      <c r="E67" s="692">
        <f>EDATE(D67,-3)</f>
        <v>42156</v>
      </c>
      <c r="F67" s="692">
        <f t="shared" ref="F67:O67" si="18">EDATE(E67,-3)</f>
        <v>42064</v>
      </c>
      <c r="G67" s="692">
        <f t="shared" si="18"/>
        <v>41974</v>
      </c>
      <c r="H67" s="692">
        <f t="shared" si="18"/>
        <v>41883</v>
      </c>
      <c r="I67" s="692">
        <f t="shared" si="18"/>
        <v>41791</v>
      </c>
      <c r="J67" s="692">
        <f t="shared" si="18"/>
        <v>41699</v>
      </c>
      <c r="K67" s="692">
        <f t="shared" si="18"/>
        <v>41609</v>
      </c>
      <c r="L67" s="692">
        <f t="shared" si="18"/>
        <v>41518</v>
      </c>
      <c r="M67" s="692">
        <f t="shared" si="18"/>
        <v>41426</v>
      </c>
      <c r="N67" s="692">
        <f t="shared" si="18"/>
        <v>41334</v>
      </c>
      <c r="O67" s="692">
        <f t="shared" si="18"/>
        <v>41244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2015-4</v>
      </c>
      <c r="D69" s="1182" t="str">
        <f>YEAR(D67)&amp;"-"&amp;ROUNDUP(MONTH(D67)/3,0)</f>
        <v>2015-3</v>
      </c>
      <c r="E69" s="1182" t="str">
        <f t="shared" ref="E69:O69" si="19">YEAR(E67)&amp;"-"&amp;ROUNDUP(MONTH(E67)/3,0)</f>
        <v>2015-2</v>
      </c>
      <c r="F69" s="1182" t="str">
        <f t="shared" si="19"/>
        <v>2015-1</v>
      </c>
      <c r="G69" s="1182" t="str">
        <f t="shared" si="19"/>
        <v>2014-4</v>
      </c>
      <c r="H69" s="1182" t="str">
        <f t="shared" si="19"/>
        <v>2014-3</v>
      </c>
      <c r="I69" s="1182" t="str">
        <f t="shared" si="19"/>
        <v>2014-2</v>
      </c>
      <c r="J69" s="1182" t="str">
        <f t="shared" si="19"/>
        <v>2014-1</v>
      </c>
      <c r="K69" s="1182" t="str">
        <f t="shared" si="19"/>
        <v>2013-4</v>
      </c>
      <c r="L69" s="1182" t="str">
        <f t="shared" si="19"/>
        <v>2013-3</v>
      </c>
      <c r="M69" s="1182" t="str">
        <f t="shared" si="19"/>
        <v>2013-2</v>
      </c>
      <c r="N69" s="1182" t="str">
        <f t="shared" si="19"/>
        <v>2013-1</v>
      </c>
      <c r="O69" s="1182" t="str">
        <f t="shared" si="19"/>
        <v>2012-4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北京市平均增长率1.45%</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c r="A5" s="358"/>
      <c r="B5" s="359"/>
      <c r="C5" s="3719" t="s">
        <v>1673</v>
      </c>
      <c r="D5" s="3710"/>
      <c r="E5" s="3721" t="s">
        <v>1674</v>
      </c>
      <c r="F5" s="3718"/>
      <c r="G5" s="3719" t="s">
        <v>1675</v>
      </c>
      <c r="H5" s="3710"/>
      <c r="I5" s="3719" t="s">
        <v>1676</v>
      </c>
      <c r="J5" s="3710"/>
      <c r="K5" s="559"/>
      <c r="L5" s="2715"/>
      <c r="M5" s="2716"/>
      <c r="N5" s="2716"/>
      <c r="O5" s="2716"/>
      <c r="P5" s="3696"/>
      <c r="Q5" s="3697"/>
      <c r="R5" s="3702"/>
      <c r="S5" s="3703"/>
      <c r="T5" s="3702"/>
      <c r="U5" s="3703"/>
      <c r="V5" s="3706"/>
      <c r="W5" s="3706"/>
      <c r="X5" s="1355"/>
      <c r="Y5" s="3702"/>
      <c r="Z5" s="3703"/>
      <c r="AA5" s="3688"/>
      <c r="AB5" s="3688"/>
      <c r="AC5" s="3688"/>
    </row>
    <row r="6" spans="1:29" ht="15" thickBot="1">
      <c r="A6" s="360"/>
      <c r="B6" s="361"/>
      <c r="C6" s="3742" t="s">
        <v>1919</v>
      </c>
      <c r="D6" s="3743"/>
      <c r="E6" s="3744" t="s">
        <v>1919</v>
      </c>
      <c r="F6" s="3745"/>
      <c r="G6" s="3742" t="s">
        <v>1919</v>
      </c>
      <c r="H6" s="3743"/>
      <c r="I6" s="3742" t="s">
        <v>1919</v>
      </c>
      <c r="J6" s="3743"/>
      <c r="K6" s="559" t="s">
        <v>1678</v>
      </c>
      <c r="L6" s="2715"/>
      <c r="M6" s="2716"/>
      <c r="N6" s="2716"/>
      <c r="O6" s="2716"/>
      <c r="P6" s="3698"/>
      <c r="Q6" s="3699"/>
      <c r="R6" s="3702"/>
      <c r="S6" s="3703"/>
      <c r="T6" s="3704"/>
      <c r="U6" s="3705"/>
      <c r="V6" s="3706"/>
      <c r="W6" s="3706"/>
      <c r="X6" s="1355"/>
      <c r="Y6" s="3704"/>
      <c r="Z6" s="3705"/>
      <c r="AA6" s="3689"/>
      <c r="AB6" s="3689"/>
      <c r="AC6" s="3689"/>
    </row>
    <row r="7" spans="1:29" s="108" customFormat="1" ht="15" thickBot="1">
      <c r="A7" s="362" t="s">
        <v>1679</v>
      </c>
      <c r="B7" s="363"/>
      <c r="C7" s="364">
        <f>'数据-取费表'!B2</f>
        <v>42339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5"/>
      <c r="Q10" s="1343" t="str">
        <f t="shared" si="6"/>
        <v>土地使用年限（年）</v>
      </c>
      <c r="R10" s="701" t="s">
        <v>14</v>
      </c>
      <c r="S10" s="702" t="e">
        <f t="shared" si="0"/>
        <v>#DIV/0!</v>
      </c>
      <c r="T10" s="701" t="s">
        <v>14</v>
      </c>
      <c r="U10" s="702" t="e">
        <f t="shared" si="1"/>
        <v>#DIV/0!</v>
      </c>
      <c r="V10" s="701" t="s">
        <v>14</v>
      </c>
      <c r="W10" s="702" t="e">
        <f t="shared" si="2"/>
        <v>#DIV/0!</v>
      </c>
      <c r="X10" s="703"/>
      <c r="Y10" s="355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8"/>
      <c r="Q16" s="1352"/>
      <c r="R16" s="705"/>
      <c r="S16" s="706"/>
      <c r="T16" s="705"/>
      <c r="U16" s="706"/>
      <c r="V16" s="705"/>
      <c r="W16" s="706"/>
      <c r="X16" s="1355"/>
      <c r="Y16" s="367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8"/>
      <c r="Q18" s="1352"/>
      <c r="R18" s="705"/>
      <c r="S18" s="706"/>
      <c r="T18" s="705"/>
      <c r="U18" s="706"/>
      <c r="V18" s="705"/>
      <c r="W18" s="706"/>
      <c r="X18" s="1355"/>
      <c r="Y18" s="367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8"/>
      <c r="Q19" s="1352" t="str">
        <f t="shared" ref="Q19:Q33" si="8">B19</f>
        <v>区域土地利用方向</v>
      </c>
      <c r="R19" s="705" t="s">
        <v>14</v>
      </c>
      <c r="S19" s="706">
        <f>F19</f>
        <v>100</v>
      </c>
      <c r="T19" s="705" t="s">
        <v>14</v>
      </c>
      <c r="U19" s="706">
        <f>H19</f>
        <v>100</v>
      </c>
      <c r="V19" s="705" t="s">
        <v>14</v>
      </c>
      <c r="W19" s="706">
        <f>J19</f>
        <v>100</v>
      </c>
      <c r="X19" s="1355"/>
      <c r="Y19" s="367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8"/>
      <c r="Q20" s="1352"/>
      <c r="R20" s="705"/>
      <c r="S20" s="706"/>
      <c r="T20" s="705"/>
      <c r="U20" s="706"/>
      <c r="V20" s="705"/>
      <c r="W20" s="706"/>
      <c r="X20" s="1355"/>
      <c r="Y20" s="367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8"/>
      <c r="Q21" s="1352" t="str">
        <f t="shared" si="8"/>
        <v>环境状况</v>
      </c>
      <c r="R21" s="705" t="s">
        <v>14</v>
      </c>
      <c r="S21" s="706">
        <f>F21</f>
        <v>100</v>
      </c>
      <c r="T21" s="705" t="s">
        <v>14</v>
      </c>
      <c r="U21" s="706">
        <f>H21</f>
        <v>100</v>
      </c>
      <c r="V21" s="705" t="s">
        <v>14</v>
      </c>
      <c r="W21" s="706">
        <f>J21</f>
        <v>100</v>
      </c>
      <c r="X21" s="1355"/>
      <c r="Y21" s="367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8"/>
      <c r="Q22" s="1352"/>
      <c r="R22" s="705"/>
      <c r="S22" s="706"/>
      <c r="T22" s="705"/>
      <c r="U22" s="706"/>
      <c r="V22" s="705"/>
      <c r="W22" s="706"/>
      <c r="X22" s="1355"/>
      <c r="Y22" s="367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8"/>
      <c r="Q23" s="1343" t="str">
        <f t="shared" si="8"/>
        <v>公共配套设施</v>
      </c>
      <c r="R23" s="701" t="s">
        <v>14</v>
      </c>
      <c r="S23" s="702">
        <f>F23</f>
        <v>100</v>
      </c>
      <c r="T23" s="701" t="s">
        <v>14</v>
      </c>
      <c r="U23" s="702">
        <f>H23</f>
        <v>100</v>
      </c>
      <c r="V23" s="701" t="s">
        <v>14</v>
      </c>
      <c r="W23" s="702">
        <f>J23</f>
        <v>100</v>
      </c>
      <c r="X23" s="703"/>
      <c r="Y23" s="367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8"/>
      <c r="Q24" s="1343"/>
      <c r="R24" s="701"/>
      <c r="S24" s="702"/>
      <c r="T24" s="701"/>
      <c r="U24" s="702"/>
      <c r="V24" s="701"/>
      <c r="W24" s="702"/>
      <c r="X24" s="703"/>
      <c r="Y24" s="367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8"/>
      <c r="Q25" s="1343"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8"/>
      <c r="Q26" s="1343"/>
      <c r="R26" s="701"/>
      <c r="S26" s="702"/>
      <c r="T26" s="701"/>
      <c r="U26" s="702"/>
      <c r="V26" s="701"/>
      <c r="W26" s="702"/>
      <c r="X26" s="703"/>
      <c r="Y26" s="367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8"/>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8"/>
      <c r="Q28" s="1352" t="str">
        <f t="shared" si="8"/>
        <v>毗邻道路的类型与等级</v>
      </c>
      <c r="R28" s="705" t="s">
        <v>14</v>
      </c>
      <c r="S28" s="706">
        <f t="shared" si="10"/>
        <v>100</v>
      </c>
      <c r="T28" s="705" t="s">
        <v>14</v>
      </c>
      <c r="U28" s="706">
        <f t="shared" si="11"/>
        <v>100</v>
      </c>
      <c r="V28" s="705" t="s">
        <v>14</v>
      </c>
      <c r="W28" s="706">
        <f t="shared" si="12"/>
        <v>100</v>
      </c>
      <c r="X28" s="1355"/>
      <c r="Y28" s="367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8"/>
      <c r="Q29" s="1352"/>
      <c r="R29" s="705"/>
      <c r="S29" s="706"/>
      <c r="T29" s="705"/>
      <c r="U29" s="706"/>
      <c r="V29" s="705"/>
      <c r="W29" s="706"/>
      <c r="X29" s="1355"/>
      <c r="Y29" s="367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8"/>
      <c r="Q30" s="1352" t="str">
        <f t="shared" si="8"/>
        <v>土地级别</v>
      </c>
      <c r="R30" s="705" t="s">
        <v>14</v>
      </c>
      <c r="S30" s="706">
        <f t="shared" si="10"/>
        <v>100</v>
      </c>
      <c r="T30" s="705" t="s">
        <v>14</v>
      </c>
      <c r="U30" s="706">
        <f t="shared" si="11"/>
        <v>100</v>
      </c>
      <c r="V30" s="705" t="s">
        <v>14</v>
      </c>
      <c r="W30" s="706">
        <f t="shared" si="12"/>
        <v>100</v>
      </c>
      <c r="X30" s="1355"/>
      <c r="Y30" s="367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8"/>
      <c r="Q31" s="1352">
        <f t="shared" si="8"/>
        <v>111</v>
      </c>
      <c r="R31" s="705" t="s">
        <v>14</v>
      </c>
      <c r="S31" s="706">
        <f t="shared" si="10"/>
        <v>100</v>
      </c>
      <c r="T31" s="705" t="s">
        <v>14</v>
      </c>
      <c r="U31" s="706">
        <f t="shared" si="11"/>
        <v>100</v>
      </c>
      <c r="V31" s="705" t="s">
        <v>14</v>
      </c>
      <c r="W31" s="706">
        <f t="shared" si="12"/>
        <v>100</v>
      </c>
      <c r="X31" s="1355"/>
      <c r="Y31" s="367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7"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5" t="str">
        <f>A41</f>
        <v>成交单价</v>
      </c>
      <c r="Q41" s="3675"/>
      <c r="R41" s="3706">
        <f>E41</f>
        <v>0</v>
      </c>
      <c r="S41" s="3706"/>
      <c r="T41" s="3706">
        <f>G41</f>
        <v>0</v>
      </c>
      <c r="U41" s="3706"/>
      <c r="V41" s="3706">
        <f>I41</f>
        <v>0</v>
      </c>
      <c r="W41" s="3706"/>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5" t="str">
        <f>A42</f>
        <v>比较价值（元/平方米）</v>
      </c>
      <c r="Q42" s="3675"/>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2" t="str">
        <f>A43</f>
        <v>估价对象XX用房的比较价值（楼面单价，元/平方米）</v>
      </c>
      <c r="Q43" s="3673"/>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0" t="s">
        <v>1887</v>
      </c>
      <c r="H50" s="374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219.26</v>
      </c>
      <c r="F51" s="639" t="e">
        <f t="shared" ref="F51:F60" si="15">ROUND(B51*E51/10000,0)</f>
        <v>#DIV/0!</v>
      </c>
      <c r="G51" s="3686"/>
      <c r="H51" s="367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2015-12-1</v>
      </c>
      <c r="D63" s="692">
        <f>EDATE(C63,-3)</f>
        <v>42248</v>
      </c>
      <c r="E63" s="692">
        <f>EDATE(D63,-3)</f>
        <v>42156</v>
      </c>
      <c r="F63" s="692">
        <f t="shared" ref="F63:O63" si="18">EDATE(E63,-3)</f>
        <v>42064</v>
      </c>
      <c r="G63" s="692">
        <f t="shared" si="18"/>
        <v>41974</v>
      </c>
      <c r="H63" s="692">
        <f t="shared" si="18"/>
        <v>41883</v>
      </c>
      <c r="I63" s="692">
        <f t="shared" si="18"/>
        <v>41791</v>
      </c>
      <c r="J63" s="692">
        <f t="shared" si="18"/>
        <v>41699</v>
      </c>
      <c r="K63" s="692">
        <f t="shared" si="18"/>
        <v>41609</v>
      </c>
      <c r="L63" s="692">
        <f t="shared" si="18"/>
        <v>41518</v>
      </c>
      <c r="M63" s="692">
        <f t="shared" si="18"/>
        <v>41426</v>
      </c>
      <c r="N63" s="692">
        <f t="shared" si="18"/>
        <v>41334</v>
      </c>
      <c r="O63" s="692">
        <f t="shared" si="18"/>
        <v>41244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2015-4</v>
      </c>
      <c r="D65" s="1182" t="str">
        <f t="shared" ref="D65:O65" si="19">YEAR(D63)&amp;"-"&amp;ROUNDUP(MONTH(D63)/3,0)</f>
        <v>2015-3</v>
      </c>
      <c r="E65" s="1182" t="str">
        <f t="shared" si="19"/>
        <v>2015-2</v>
      </c>
      <c r="F65" s="1182" t="str">
        <f t="shared" si="19"/>
        <v>2015-1</v>
      </c>
      <c r="G65" s="1182" t="str">
        <f t="shared" si="19"/>
        <v>2014-4</v>
      </c>
      <c r="H65" s="1182" t="str">
        <f t="shared" si="19"/>
        <v>2014-3</v>
      </c>
      <c r="I65" s="1182" t="str">
        <f t="shared" si="19"/>
        <v>2014-2</v>
      </c>
      <c r="J65" s="1182" t="str">
        <f t="shared" si="19"/>
        <v>2014-1</v>
      </c>
      <c r="K65" s="1182" t="str">
        <f t="shared" si="19"/>
        <v>2013-4</v>
      </c>
      <c r="L65" s="1182" t="str">
        <f t="shared" si="19"/>
        <v>2013-3</v>
      </c>
      <c r="M65" s="1182" t="str">
        <f t="shared" si="19"/>
        <v>2013-2</v>
      </c>
      <c r="N65" s="1182" t="str">
        <f t="shared" si="19"/>
        <v>2013-1</v>
      </c>
      <c r="O65" s="1182" t="str">
        <f t="shared" si="19"/>
        <v>2012-4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8"/>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3" t="s">
        <v>3255</v>
      </c>
      <c r="B20" s="167" t="s">
        <v>1994</v>
      </c>
      <c r="C20" s="3325" t="e">
        <f>ROUND(IF(F21="与级别开发程度一致",0,(G21-E21)/C21),0)</f>
        <v>#DIV/0!</v>
      </c>
      <c r="D20" s="3341" t="s">
        <v>1998</v>
      </c>
      <c r="E20" s="3342"/>
      <c r="F20" s="3769" t="s">
        <v>1995</v>
      </c>
      <c r="G20" s="377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42339</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1.1900000000000001E-2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1.1900000000000001E-2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1.4500000000000001E-2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1.18E-2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1.37E-2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8"/>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5" t="s">
        <v>3295</v>
      </c>
      <c r="B103" s="3765"/>
      <c r="C103" s="3765"/>
      <c r="D103" s="3765"/>
      <c r="E103" s="3765"/>
      <c r="F103" s="3765"/>
      <c r="G103" s="3765"/>
      <c r="H103" s="3765"/>
      <c r="I103" s="3765"/>
      <c r="J103" s="3765"/>
      <c r="K103" s="3390"/>
      <c r="L103" s="3390"/>
      <c r="M103" s="3390"/>
      <c r="N103" s="3390"/>
    </row>
    <row r="104" spans="1:14">
      <c r="A104" s="3766" t="s">
        <v>3296</v>
      </c>
      <c r="B104" s="3766" t="s">
        <v>3297</v>
      </c>
      <c r="C104" s="3391" t="s">
        <v>3298</v>
      </c>
      <c r="D104" s="3392"/>
      <c r="E104" s="3392"/>
      <c r="F104" s="3392"/>
      <c r="G104" s="3392"/>
      <c r="H104" s="3392"/>
      <c r="I104" s="3392"/>
      <c r="J104" s="3393"/>
      <c r="K104" s="3394"/>
      <c r="L104" s="3394"/>
      <c r="M104" s="3394"/>
      <c r="N104" s="3394"/>
    </row>
    <row r="105" spans="1:14">
      <c r="A105" s="3766"/>
      <c r="B105" s="3766"/>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2"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3"/>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5" t="s">
        <v>3312</v>
      </c>
      <c r="B113" s="3755"/>
      <c r="C113" s="3755"/>
      <c r="D113" s="3755"/>
      <c r="E113" s="3755"/>
      <c r="F113" s="3755"/>
      <c r="G113" s="3755"/>
      <c r="H113" s="3755"/>
      <c r="I113" s="3755"/>
      <c r="J113" s="375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80" t="s">
        <v>2608</v>
      </c>
      <c r="B20" s="3775" t="s">
        <v>2629</v>
      </c>
      <c r="C20" s="3103" t="s">
        <v>2440</v>
      </c>
      <c r="D20" s="3104"/>
      <c r="E20" s="3105">
        <v>1</v>
      </c>
      <c r="F20" s="3106" t="s">
        <v>2441</v>
      </c>
      <c r="G20" s="3106"/>
    </row>
    <row r="21" spans="1:13" ht="19.5" customHeight="1">
      <c r="A21" s="3781"/>
      <c r="B21" s="3774"/>
      <c r="C21" s="3107" t="s">
        <v>2442</v>
      </c>
      <c r="D21" s="3108"/>
      <c r="E21" s="3109">
        <v>1</v>
      </c>
      <c r="F21" s="3106" t="s">
        <v>2443</v>
      </c>
      <c r="G21" s="3106"/>
    </row>
    <row r="22" spans="1:13" ht="19.5" customHeight="1">
      <c r="A22" s="3781"/>
      <c r="B22" s="3774"/>
      <c r="C22" s="3107" t="s">
        <v>2444</v>
      </c>
      <c r="D22" s="3108"/>
      <c r="E22" s="3109">
        <v>0.9</v>
      </c>
      <c r="F22" s="3106" t="s">
        <v>2445</v>
      </c>
      <c r="G22" s="3106"/>
    </row>
    <row r="23" spans="1:13" ht="19.5" customHeight="1">
      <c r="A23" s="3781"/>
      <c r="B23" s="3774"/>
      <c r="C23" s="3107" t="s">
        <v>2446</v>
      </c>
      <c r="D23" s="3108"/>
      <c r="E23" s="3109">
        <v>0.9</v>
      </c>
      <c r="F23" s="3106" t="s">
        <v>2447</v>
      </c>
      <c r="G23" s="3106"/>
    </row>
    <row r="24" spans="1:13" ht="19.5" customHeight="1">
      <c r="A24" s="3781"/>
      <c r="B24" s="3774"/>
      <c r="C24" s="3107" t="s">
        <v>2448</v>
      </c>
      <c r="D24" s="3108"/>
      <c r="E24" s="3109">
        <v>0.8</v>
      </c>
      <c r="F24" s="3106" t="s">
        <v>2449</v>
      </c>
      <c r="G24" s="3106"/>
    </row>
    <row r="25" spans="1:13" ht="19.5" customHeight="1" thickBot="1">
      <c r="A25" s="3782"/>
      <c r="B25" s="377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77" t="s">
        <v>2632</v>
      </c>
      <c r="B27" s="3775" t="s">
        <v>2613</v>
      </c>
      <c r="C27" s="3103" t="s">
        <v>2453</v>
      </c>
      <c r="D27" s="3104"/>
      <c r="E27" s="3105">
        <v>1</v>
      </c>
      <c r="F27" s="3106" t="s">
        <v>2454</v>
      </c>
      <c r="G27" s="3106"/>
    </row>
    <row r="28" spans="1:13" ht="19.5" customHeight="1">
      <c r="A28" s="3778"/>
      <c r="B28" s="3774"/>
      <c r="C28" s="3107" t="s">
        <v>2455</v>
      </c>
      <c r="D28" s="3108"/>
      <c r="E28" s="3109">
        <v>1</v>
      </c>
      <c r="F28" s="3106" t="s">
        <v>2456</v>
      </c>
      <c r="G28" s="3106"/>
    </row>
    <row r="29" spans="1:13" ht="19.5" customHeight="1">
      <c r="A29" s="3778"/>
      <c r="B29" s="3774"/>
      <c r="C29" s="3107" t="s">
        <v>2457</v>
      </c>
      <c r="D29" s="3108"/>
      <c r="E29" s="3109">
        <v>0.8</v>
      </c>
      <c r="F29" s="3106" t="s">
        <v>2458</v>
      </c>
      <c r="G29" s="3106"/>
    </row>
    <row r="30" spans="1:13" ht="19.5" customHeight="1">
      <c r="A30" s="3778"/>
      <c r="B30" s="3774"/>
      <c r="C30" s="3107" t="s">
        <v>2459</v>
      </c>
      <c r="D30" s="3108"/>
      <c r="E30" s="3109">
        <v>0.8</v>
      </c>
      <c r="F30" s="3106" t="s">
        <v>2460</v>
      </c>
      <c r="G30" s="3106"/>
    </row>
    <row r="31" spans="1:13" ht="19.5" customHeight="1">
      <c r="A31" s="3778"/>
      <c r="B31" s="3774"/>
      <c r="C31" s="3107" t="s">
        <v>2461</v>
      </c>
      <c r="D31" s="3108"/>
      <c r="E31" s="3109">
        <v>0.8</v>
      </c>
      <c r="F31" s="3106" t="s">
        <v>2462</v>
      </c>
      <c r="G31" s="3106"/>
    </row>
    <row r="32" spans="1:13" ht="19.5" customHeight="1">
      <c r="A32" s="3778"/>
      <c r="B32" s="3774"/>
      <c r="C32" s="3107" t="s">
        <v>2463</v>
      </c>
      <c r="D32" s="3108"/>
      <c r="E32" s="3109">
        <v>0.7</v>
      </c>
      <c r="F32" s="3106" t="s">
        <v>2464</v>
      </c>
      <c r="G32" s="3106"/>
    </row>
    <row r="33" spans="1:7" ht="19.5" customHeight="1">
      <c r="A33" s="3778"/>
      <c r="B33" s="3774"/>
      <c r="C33" s="3107" t="s">
        <v>2465</v>
      </c>
      <c r="D33" s="3108"/>
      <c r="E33" s="3109">
        <v>0.8</v>
      </c>
      <c r="F33" s="3106" t="s">
        <v>2466</v>
      </c>
      <c r="G33" s="3106"/>
    </row>
    <row r="34" spans="1:7" ht="19.5" customHeight="1">
      <c r="A34" s="3778"/>
      <c r="B34" s="3774"/>
      <c r="C34" s="3107" t="s">
        <v>2467</v>
      </c>
      <c r="D34" s="3108"/>
      <c r="E34" s="3109">
        <v>0.6</v>
      </c>
      <c r="F34" s="3106" t="s">
        <v>2468</v>
      </c>
      <c r="G34" s="3106"/>
    </row>
    <row r="35" spans="1:7" ht="19.5" customHeight="1">
      <c r="A35" s="3778"/>
      <c r="B35" s="3774"/>
      <c r="C35" s="3107" t="s">
        <v>2469</v>
      </c>
      <c r="D35" s="3108"/>
      <c r="E35" s="3109">
        <v>0.2</v>
      </c>
      <c r="F35" s="3106" t="s">
        <v>2470</v>
      </c>
      <c r="G35" s="3106"/>
    </row>
    <row r="36" spans="1:7" ht="19.5" customHeight="1">
      <c r="A36" s="3778"/>
      <c r="B36" s="3774"/>
      <c r="C36" s="3107" t="s">
        <v>2471</v>
      </c>
      <c r="D36" s="3108"/>
      <c r="E36" s="3109">
        <v>0.2</v>
      </c>
      <c r="F36" s="3106" t="s">
        <v>2472</v>
      </c>
      <c r="G36" s="3106"/>
    </row>
    <row r="37" spans="1:7" ht="19.5" customHeight="1">
      <c r="A37" s="3778"/>
      <c r="B37" s="3772" t="s">
        <v>2633</v>
      </c>
      <c r="C37" s="3107" t="s">
        <v>2473</v>
      </c>
      <c r="D37" s="3108"/>
      <c r="E37" s="3109">
        <v>0.6</v>
      </c>
      <c r="F37" s="3106" t="s">
        <v>2474</v>
      </c>
      <c r="G37" s="3106"/>
    </row>
    <row r="38" spans="1:7" ht="19.5" customHeight="1">
      <c r="A38" s="3778"/>
      <c r="B38" s="3774"/>
      <c r="C38" s="3107" t="s">
        <v>2475</v>
      </c>
      <c r="D38" s="3108"/>
      <c r="E38" s="3109">
        <v>0.6</v>
      </c>
      <c r="F38" s="3106" t="s">
        <v>2476</v>
      </c>
      <c r="G38" s="3106"/>
    </row>
    <row r="39" spans="1:7" ht="19.5" customHeight="1" thickBot="1">
      <c r="A39" s="3779"/>
      <c r="B39" s="377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80" t="s">
        <v>2611</v>
      </c>
      <c r="B41" s="3775" t="s">
        <v>2635</v>
      </c>
      <c r="C41" s="3103" t="s">
        <v>2480</v>
      </c>
      <c r="D41" s="3104"/>
      <c r="E41" s="3105">
        <v>1</v>
      </c>
      <c r="F41" s="3106" t="s">
        <v>2481</v>
      </c>
      <c r="G41" s="3106"/>
    </row>
    <row r="42" spans="1:7" ht="19.5" customHeight="1">
      <c r="A42" s="3781"/>
      <c r="B42" s="3774"/>
      <c r="C42" s="3107" t="s">
        <v>2482</v>
      </c>
      <c r="D42" s="3108"/>
      <c r="E42" s="3109">
        <v>1</v>
      </c>
      <c r="F42" s="3106" t="s">
        <v>2483</v>
      </c>
      <c r="G42" s="3106"/>
    </row>
    <row r="43" spans="1:7" ht="19.5" customHeight="1">
      <c r="A43" s="3781"/>
      <c r="B43" s="3773"/>
      <c r="C43" s="3107" t="s">
        <v>2484</v>
      </c>
      <c r="D43" s="3108"/>
      <c r="E43" s="3109">
        <v>1.5</v>
      </c>
      <c r="F43" s="3106" t="s">
        <v>2485</v>
      </c>
      <c r="G43" s="3106"/>
    </row>
    <row r="44" spans="1:7" ht="19.5" customHeight="1">
      <c r="A44" s="3781"/>
      <c r="B44" s="3118" t="s">
        <v>2636</v>
      </c>
      <c r="C44" s="3107" t="s">
        <v>2637</v>
      </c>
      <c r="D44" s="3108"/>
      <c r="E44" s="3109">
        <v>2</v>
      </c>
      <c r="F44" s="3106" t="s">
        <v>2486</v>
      </c>
      <c r="G44" s="3106"/>
    </row>
    <row r="45" spans="1:7" ht="19.5" customHeight="1">
      <c r="A45" s="3781"/>
      <c r="B45" s="3772" t="s">
        <v>2638</v>
      </c>
      <c r="C45" s="3107" t="s">
        <v>2487</v>
      </c>
      <c r="D45" s="3108"/>
      <c r="E45" s="3109">
        <v>1</v>
      </c>
      <c r="F45" s="3106" t="s">
        <v>2488</v>
      </c>
      <c r="G45" s="3106"/>
    </row>
    <row r="46" spans="1:7" ht="19.5" customHeight="1">
      <c r="A46" s="3781"/>
      <c r="B46" s="3774"/>
      <c r="C46" s="3107" t="s">
        <v>2489</v>
      </c>
      <c r="D46" s="3108"/>
      <c r="E46" s="3109">
        <v>1</v>
      </c>
      <c r="F46" s="3106" t="s">
        <v>2490</v>
      </c>
      <c r="G46" s="3106"/>
    </row>
    <row r="47" spans="1:7" ht="19.5" customHeight="1">
      <c r="A47" s="3781"/>
      <c r="B47" s="3774"/>
      <c r="C47" s="3107" t="s">
        <v>2491</v>
      </c>
      <c r="D47" s="3108"/>
      <c r="E47" s="3109">
        <v>1</v>
      </c>
      <c r="F47" s="3106" t="s">
        <v>2492</v>
      </c>
      <c r="G47" s="3106"/>
    </row>
    <row r="48" spans="1:7" ht="19.5" customHeight="1">
      <c r="A48" s="3781"/>
      <c r="B48" s="3774"/>
      <c r="C48" s="3107" t="s">
        <v>2493</v>
      </c>
      <c r="D48" s="3108"/>
      <c r="E48" s="3109">
        <v>1</v>
      </c>
      <c r="F48" s="3106" t="s">
        <v>2494</v>
      </c>
      <c r="G48" s="3106"/>
    </row>
    <row r="49" spans="1:7" ht="19.5" customHeight="1">
      <c r="A49" s="3781"/>
      <c r="B49" s="3774"/>
      <c r="C49" s="3107" t="s">
        <v>2495</v>
      </c>
      <c r="D49" s="3108"/>
      <c r="E49" s="3109">
        <v>1</v>
      </c>
      <c r="F49" s="3106" t="s">
        <v>2496</v>
      </c>
      <c r="G49" s="3106"/>
    </row>
    <row r="50" spans="1:7" ht="19.5" customHeight="1">
      <c r="A50" s="3781"/>
      <c r="B50" s="3774"/>
      <c r="C50" s="3107" t="s">
        <v>2497</v>
      </c>
      <c r="D50" s="3108"/>
      <c r="E50" s="3109">
        <v>1</v>
      </c>
      <c r="F50" s="3106" t="s">
        <v>2498</v>
      </c>
      <c r="G50" s="3106"/>
    </row>
    <row r="51" spans="1:7" ht="19.5" customHeight="1" thickBot="1">
      <c r="A51" s="3782"/>
      <c r="B51" s="377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72" t="s">
        <v>2652</v>
      </c>
      <c r="C73" s="3092" t="s">
        <v>2653</v>
      </c>
      <c r="D73" s="3092" t="s">
        <v>2654</v>
      </c>
      <c r="E73" s="3118">
        <v>0.2</v>
      </c>
      <c r="F73" s="3118">
        <v>25</v>
      </c>
    </row>
    <row r="74" spans="1:7" ht="24">
      <c r="A74" s="3118">
        <v>2</v>
      </c>
      <c r="B74" s="3774"/>
      <c r="C74" s="3092" t="s">
        <v>2655</v>
      </c>
      <c r="D74" s="3092" t="s">
        <v>2656</v>
      </c>
      <c r="E74" s="3118">
        <v>0.2</v>
      </c>
      <c r="F74" s="3118">
        <v>25</v>
      </c>
    </row>
    <row r="75" spans="1:7" ht="24">
      <c r="A75" s="3118">
        <v>3</v>
      </c>
      <c r="B75" s="3774"/>
      <c r="C75" s="3092" t="s">
        <v>2657</v>
      </c>
      <c r="D75" s="3092" t="s">
        <v>2658</v>
      </c>
      <c r="E75" s="3118">
        <v>0.2</v>
      </c>
      <c r="F75" s="3118">
        <v>25</v>
      </c>
    </row>
    <row r="76" spans="1:7" ht="14.4">
      <c r="A76" s="3118">
        <v>4</v>
      </c>
      <c r="B76" s="3774"/>
      <c r="C76" s="3092" t="s">
        <v>2659</v>
      </c>
      <c r="D76" s="3092" t="s">
        <v>2660</v>
      </c>
      <c r="E76" s="3118">
        <v>0.15</v>
      </c>
      <c r="F76" s="3118">
        <v>20</v>
      </c>
    </row>
    <row r="77" spans="1:7" ht="24">
      <c r="A77" s="3118">
        <v>5</v>
      </c>
      <c r="B77" s="3774"/>
      <c r="C77" s="3092" t="s">
        <v>2661</v>
      </c>
      <c r="D77" s="3092" t="s">
        <v>2662</v>
      </c>
      <c r="E77" s="3118">
        <v>0.15</v>
      </c>
      <c r="F77" s="3118">
        <v>20</v>
      </c>
    </row>
    <row r="78" spans="1:7" ht="24">
      <c r="A78" s="3118">
        <v>6</v>
      </c>
      <c r="B78" s="3774"/>
      <c r="C78" s="3092" t="s">
        <v>2663</v>
      </c>
      <c r="D78" s="3092" t="s">
        <v>2664</v>
      </c>
      <c r="E78" s="3118">
        <v>0.15</v>
      </c>
      <c r="F78" s="3118">
        <v>20</v>
      </c>
    </row>
    <row r="79" spans="1:7" ht="24">
      <c r="A79" s="3118">
        <v>7</v>
      </c>
      <c r="B79" s="3774"/>
      <c r="C79" s="3092" t="s">
        <v>2665</v>
      </c>
      <c r="D79" s="3092" t="s">
        <v>2666</v>
      </c>
      <c r="E79" s="3118">
        <v>0.15</v>
      </c>
      <c r="F79" s="3118">
        <v>20</v>
      </c>
    </row>
    <row r="80" spans="1:7" ht="24">
      <c r="A80" s="3118">
        <v>8</v>
      </c>
      <c r="B80" s="3774"/>
      <c r="C80" s="3092" t="s">
        <v>2667</v>
      </c>
      <c r="D80" s="3092" t="s">
        <v>2668</v>
      </c>
      <c r="E80" s="3118">
        <v>0.1</v>
      </c>
      <c r="F80" s="3118">
        <v>15</v>
      </c>
    </row>
    <row r="81" spans="1:6" ht="24">
      <c r="A81" s="3118">
        <v>9</v>
      </c>
      <c r="B81" s="3774"/>
      <c r="C81" s="3092" t="s">
        <v>2669</v>
      </c>
      <c r="D81" s="3092" t="s">
        <v>2670</v>
      </c>
      <c r="E81" s="3118">
        <v>0.1</v>
      </c>
      <c r="F81" s="3118">
        <v>15</v>
      </c>
    </row>
    <row r="82" spans="1:6" ht="24">
      <c r="A82" s="3118">
        <v>10</v>
      </c>
      <c r="B82" s="3774"/>
      <c r="C82" s="3092" t="s">
        <v>2671</v>
      </c>
      <c r="D82" s="3092" t="s">
        <v>2672</v>
      </c>
      <c r="E82" s="3118">
        <v>0.1</v>
      </c>
      <c r="F82" s="3118">
        <v>15</v>
      </c>
    </row>
    <row r="83" spans="1:6" ht="24">
      <c r="A83" s="3118">
        <v>11</v>
      </c>
      <c r="B83" s="3774"/>
      <c r="C83" s="3092" t="s">
        <v>2673</v>
      </c>
      <c r="D83" s="3092" t="s">
        <v>2674</v>
      </c>
      <c r="E83" s="3118">
        <v>0.1</v>
      </c>
      <c r="F83" s="3118">
        <v>15</v>
      </c>
    </row>
    <row r="84" spans="1:6" ht="24">
      <c r="A84" s="3118">
        <v>12</v>
      </c>
      <c r="B84" s="3774"/>
      <c r="C84" s="3092" t="s">
        <v>2675</v>
      </c>
      <c r="D84" s="3092" t="s">
        <v>2676</v>
      </c>
      <c r="E84" s="3118">
        <v>0.1</v>
      </c>
      <c r="F84" s="3118">
        <v>15</v>
      </c>
    </row>
    <row r="85" spans="1:6" ht="24">
      <c r="A85" s="3118">
        <v>13</v>
      </c>
      <c r="B85" s="3774"/>
      <c r="C85" s="3092" t="s">
        <v>2677</v>
      </c>
      <c r="D85" s="3092" t="s">
        <v>2678</v>
      </c>
      <c r="E85" s="3118">
        <v>0.1</v>
      </c>
      <c r="F85" s="3118">
        <v>15</v>
      </c>
    </row>
    <row r="86" spans="1:6" ht="24">
      <c r="A86" s="3118">
        <v>14</v>
      </c>
      <c r="B86" s="3774"/>
      <c r="C86" s="3092" t="s">
        <v>2679</v>
      </c>
      <c r="D86" s="3092" t="s">
        <v>2680</v>
      </c>
      <c r="E86" s="3118">
        <v>0.1</v>
      </c>
      <c r="F86" s="3118">
        <v>15</v>
      </c>
    </row>
    <row r="87" spans="1:6" ht="24">
      <c r="A87" s="3118">
        <v>15</v>
      </c>
      <c r="B87" s="3774"/>
      <c r="C87" s="3092" t="s">
        <v>2681</v>
      </c>
      <c r="D87" s="3092" t="s">
        <v>2682</v>
      </c>
      <c r="E87" s="3118">
        <v>0.1</v>
      </c>
      <c r="F87" s="3118">
        <v>15</v>
      </c>
    </row>
    <row r="88" spans="1:6" ht="24">
      <c r="A88" s="3118">
        <v>16</v>
      </c>
      <c r="B88" s="3774"/>
      <c r="C88" s="3092" t="s">
        <v>2683</v>
      </c>
      <c r="D88" s="3092" t="s">
        <v>2684</v>
      </c>
      <c r="E88" s="3118">
        <v>0.1</v>
      </c>
      <c r="F88" s="3118">
        <v>15</v>
      </c>
    </row>
    <row r="89" spans="1:6" ht="24">
      <c r="A89" s="3118">
        <v>17</v>
      </c>
      <c r="B89" s="3773"/>
      <c r="C89" s="3092" t="s">
        <v>2685</v>
      </c>
      <c r="D89" s="3092" t="s">
        <v>2686</v>
      </c>
      <c r="E89" s="3118">
        <v>0.1</v>
      </c>
      <c r="F89" s="3118">
        <v>15</v>
      </c>
    </row>
    <row r="90" spans="1:6" ht="14.4">
      <c r="A90" s="3118">
        <v>18</v>
      </c>
      <c r="B90" s="3772" t="s">
        <v>2687</v>
      </c>
      <c r="C90" s="3092" t="s">
        <v>2688</v>
      </c>
      <c r="D90" s="3092" t="s">
        <v>2689</v>
      </c>
      <c r="E90" s="3118">
        <v>0.2</v>
      </c>
      <c r="F90" s="3118">
        <v>25</v>
      </c>
    </row>
    <row r="91" spans="1:6" ht="24">
      <c r="A91" s="3118">
        <v>19</v>
      </c>
      <c r="B91" s="3774"/>
      <c r="C91" s="3092" t="s">
        <v>2690</v>
      </c>
      <c r="D91" s="3092" t="s">
        <v>2691</v>
      </c>
      <c r="E91" s="3118">
        <v>0.2</v>
      </c>
      <c r="F91" s="3118">
        <v>25</v>
      </c>
    </row>
    <row r="92" spans="1:6" ht="14.4">
      <c r="A92" s="3118">
        <v>20</v>
      </c>
      <c r="B92" s="3774"/>
      <c r="C92" s="3092" t="s">
        <v>2692</v>
      </c>
      <c r="D92" s="3092" t="s">
        <v>2693</v>
      </c>
      <c r="E92" s="3118">
        <v>0.15</v>
      </c>
      <c r="F92" s="3118">
        <v>20</v>
      </c>
    </row>
    <row r="93" spans="1:6" ht="24">
      <c r="A93" s="3118">
        <v>21</v>
      </c>
      <c r="B93" s="3774"/>
      <c r="C93" s="3092" t="s">
        <v>2694</v>
      </c>
      <c r="D93" s="3092" t="s">
        <v>2695</v>
      </c>
      <c r="E93" s="3118">
        <v>0.15</v>
      </c>
      <c r="F93" s="3118">
        <v>20</v>
      </c>
    </row>
    <row r="94" spans="1:6" ht="24">
      <c r="A94" s="3118">
        <v>22</v>
      </c>
      <c r="B94" s="3774"/>
      <c r="C94" s="3092" t="s">
        <v>2696</v>
      </c>
      <c r="D94" s="3092" t="s">
        <v>2697</v>
      </c>
      <c r="E94" s="3118">
        <v>0.15</v>
      </c>
      <c r="F94" s="3118">
        <v>20</v>
      </c>
    </row>
    <row r="95" spans="1:6" ht="36">
      <c r="A95" s="3118">
        <v>23</v>
      </c>
      <c r="B95" s="3774"/>
      <c r="C95" s="3092" t="s">
        <v>2698</v>
      </c>
      <c r="D95" s="3092" t="s">
        <v>2699</v>
      </c>
      <c r="E95" s="3118">
        <v>0.15</v>
      </c>
      <c r="F95" s="3118">
        <v>20</v>
      </c>
    </row>
    <row r="96" spans="1:6" ht="24">
      <c r="A96" s="3118">
        <v>24</v>
      </c>
      <c r="B96" s="3774"/>
      <c r="C96" s="3092" t="s">
        <v>2700</v>
      </c>
      <c r="D96" s="3092" t="s">
        <v>2701</v>
      </c>
      <c r="E96" s="3118">
        <v>0.1</v>
      </c>
      <c r="F96" s="3118">
        <v>15</v>
      </c>
    </row>
    <row r="97" spans="1:6" ht="24">
      <c r="A97" s="3118">
        <v>25</v>
      </c>
      <c r="B97" s="3774"/>
      <c r="C97" s="3092" t="s">
        <v>2702</v>
      </c>
      <c r="D97" s="3092" t="s">
        <v>2703</v>
      </c>
      <c r="E97" s="3118">
        <v>0.1</v>
      </c>
      <c r="F97" s="3118">
        <v>15</v>
      </c>
    </row>
    <row r="98" spans="1:6" ht="24">
      <c r="A98" s="3118">
        <v>26</v>
      </c>
      <c r="B98" s="3774"/>
      <c r="C98" s="3092" t="s">
        <v>2704</v>
      </c>
      <c r="D98" s="3092" t="s">
        <v>2705</v>
      </c>
      <c r="E98" s="3118">
        <v>0.1</v>
      </c>
      <c r="F98" s="3118">
        <v>15</v>
      </c>
    </row>
    <row r="99" spans="1:6" ht="24">
      <c r="A99" s="3118">
        <v>27</v>
      </c>
      <c r="B99" s="3774"/>
      <c r="C99" s="3092" t="s">
        <v>2706</v>
      </c>
      <c r="D99" s="3092" t="s">
        <v>2707</v>
      </c>
      <c r="E99" s="3118">
        <v>0.1</v>
      </c>
      <c r="F99" s="3118">
        <v>15</v>
      </c>
    </row>
    <row r="100" spans="1:6" ht="24">
      <c r="A100" s="3118">
        <v>28</v>
      </c>
      <c r="B100" s="3774"/>
      <c r="C100" s="3092" t="s">
        <v>2708</v>
      </c>
      <c r="D100" s="3092" t="s">
        <v>2709</v>
      </c>
      <c r="E100" s="3118">
        <v>0.1</v>
      </c>
      <c r="F100" s="3118">
        <v>15</v>
      </c>
    </row>
    <row r="101" spans="1:6" ht="24">
      <c r="A101" s="3118">
        <v>29</v>
      </c>
      <c r="B101" s="3774"/>
      <c r="C101" s="3092" t="s">
        <v>2710</v>
      </c>
      <c r="D101" s="3092" t="s">
        <v>2711</v>
      </c>
      <c r="E101" s="3118">
        <v>0.1</v>
      </c>
      <c r="F101" s="3118">
        <v>15</v>
      </c>
    </row>
    <row r="102" spans="1:6" ht="24">
      <c r="A102" s="3118">
        <v>30</v>
      </c>
      <c r="B102" s="3774"/>
      <c r="C102" s="3092" t="s">
        <v>2712</v>
      </c>
      <c r="D102" s="3092" t="s">
        <v>2713</v>
      </c>
      <c r="E102" s="3118">
        <v>0.1</v>
      </c>
      <c r="F102" s="3118">
        <v>15</v>
      </c>
    </row>
    <row r="103" spans="1:6" ht="24">
      <c r="A103" s="3118">
        <v>31</v>
      </c>
      <c r="B103" s="3774"/>
      <c r="C103" s="3092" t="s">
        <v>2714</v>
      </c>
      <c r="D103" s="3092" t="s">
        <v>2715</v>
      </c>
      <c r="E103" s="3118">
        <v>0.1</v>
      </c>
      <c r="F103" s="3118">
        <v>15</v>
      </c>
    </row>
    <row r="104" spans="1:6" ht="24">
      <c r="A104" s="3118">
        <v>32</v>
      </c>
      <c r="B104" s="3774"/>
      <c r="C104" s="3092" t="s">
        <v>2716</v>
      </c>
      <c r="D104" s="3092" t="s">
        <v>2717</v>
      </c>
      <c r="E104" s="3118">
        <v>0.1</v>
      </c>
      <c r="F104" s="3118">
        <v>15</v>
      </c>
    </row>
    <row r="105" spans="1:6" ht="24">
      <c r="A105" s="3118">
        <v>33</v>
      </c>
      <c r="B105" s="3774"/>
      <c r="C105" s="3092" t="s">
        <v>2718</v>
      </c>
      <c r="D105" s="3092" t="s">
        <v>2719</v>
      </c>
      <c r="E105" s="3118">
        <v>0.1</v>
      </c>
      <c r="F105" s="3118">
        <v>15</v>
      </c>
    </row>
    <row r="106" spans="1:6" ht="24">
      <c r="A106" s="3118">
        <v>34</v>
      </c>
      <c r="B106" s="3773"/>
      <c r="C106" s="3092" t="s">
        <v>2720</v>
      </c>
      <c r="D106" s="3092" t="s">
        <v>2721</v>
      </c>
      <c r="E106" s="3118">
        <v>0.1</v>
      </c>
      <c r="F106" s="3118">
        <v>15</v>
      </c>
    </row>
    <row r="107" spans="1:6" ht="36">
      <c r="A107" s="3118">
        <v>35</v>
      </c>
      <c r="B107" s="3772" t="s">
        <v>2722</v>
      </c>
      <c r="C107" s="3118" t="s">
        <v>2723</v>
      </c>
      <c r="D107" s="3092" t="s">
        <v>2724</v>
      </c>
      <c r="E107" s="3118">
        <v>0.15</v>
      </c>
      <c r="F107" s="3118">
        <v>20</v>
      </c>
    </row>
    <row r="108" spans="1:6" ht="24">
      <c r="A108" s="3118">
        <v>36</v>
      </c>
      <c r="B108" s="3774"/>
      <c r="C108" s="3118" t="s">
        <v>2725</v>
      </c>
      <c r="D108" s="3092" t="s">
        <v>2726</v>
      </c>
      <c r="E108" s="3118">
        <v>0.15</v>
      </c>
      <c r="F108" s="3118">
        <v>20</v>
      </c>
    </row>
    <row r="109" spans="1:6" ht="24">
      <c r="A109" s="3118">
        <v>37</v>
      </c>
      <c r="B109" s="3774"/>
      <c r="C109" s="3118" t="s">
        <v>2727</v>
      </c>
      <c r="D109" s="3092" t="s">
        <v>2728</v>
      </c>
      <c r="E109" s="3118">
        <v>0.15</v>
      </c>
      <c r="F109" s="3118">
        <v>20</v>
      </c>
    </row>
    <row r="110" spans="1:6" ht="24">
      <c r="A110" s="3118">
        <v>38</v>
      </c>
      <c r="B110" s="3774"/>
      <c r="C110" s="3118" t="s">
        <v>2729</v>
      </c>
      <c r="D110" s="3092" t="s">
        <v>2730</v>
      </c>
      <c r="E110" s="3118">
        <v>0.1</v>
      </c>
      <c r="F110" s="3118">
        <v>15</v>
      </c>
    </row>
    <row r="111" spans="1:6" ht="24">
      <c r="A111" s="3118">
        <v>39</v>
      </c>
      <c r="B111" s="3774"/>
      <c r="C111" s="3118" t="s">
        <v>2731</v>
      </c>
      <c r="D111" s="3092" t="s">
        <v>2732</v>
      </c>
      <c r="E111" s="3118">
        <v>0.1</v>
      </c>
      <c r="F111" s="3118">
        <v>15</v>
      </c>
    </row>
    <row r="112" spans="1:6" ht="24">
      <c r="A112" s="3118">
        <v>40</v>
      </c>
      <c r="B112" s="3773"/>
      <c r="C112" s="3118" t="s">
        <v>2733</v>
      </c>
      <c r="D112" s="3092" t="s">
        <v>2734</v>
      </c>
      <c r="E112" s="3118">
        <v>0.1</v>
      </c>
      <c r="F112" s="3118">
        <v>15</v>
      </c>
    </row>
    <row r="113" spans="1:6" ht="24">
      <c r="A113" s="3118">
        <v>41</v>
      </c>
      <c r="B113" s="3771" t="s">
        <v>2735</v>
      </c>
      <c r="C113" s="3118" t="s">
        <v>2736</v>
      </c>
      <c r="D113" s="3092" t="s">
        <v>2737</v>
      </c>
      <c r="E113" s="3118">
        <v>0.1</v>
      </c>
      <c r="F113" s="3118">
        <v>15</v>
      </c>
    </row>
    <row r="114" spans="1:6" ht="24">
      <c r="A114" s="3118">
        <v>42</v>
      </c>
      <c r="B114" s="3771"/>
      <c r="C114" s="3118" t="s">
        <v>2738</v>
      </c>
      <c r="D114" s="3092" t="s">
        <v>2739</v>
      </c>
      <c r="E114" s="3118">
        <v>0.1</v>
      </c>
      <c r="F114" s="3118">
        <v>15</v>
      </c>
    </row>
    <row r="115" spans="1:6" ht="24">
      <c r="A115" s="3118">
        <v>43</v>
      </c>
      <c r="B115" s="3771"/>
      <c r="C115" s="3118" t="s">
        <v>2740</v>
      </c>
      <c r="D115" s="3092" t="s">
        <v>2741</v>
      </c>
      <c r="E115" s="3118">
        <v>0.1</v>
      </c>
      <c r="F115" s="3118">
        <v>15</v>
      </c>
    </row>
    <row r="116" spans="1:6" ht="24">
      <c r="A116" s="3118">
        <v>44</v>
      </c>
      <c r="B116" s="3772" t="s">
        <v>2742</v>
      </c>
      <c r="C116" s="3118" t="s">
        <v>2743</v>
      </c>
      <c r="D116" s="3092" t="s">
        <v>2744</v>
      </c>
      <c r="E116" s="3118">
        <v>0.1</v>
      </c>
      <c r="F116" s="3118">
        <v>15</v>
      </c>
    </row>
    <row r="117" spans="1:6" ht="24">
      <c r="A117" s="3118">
        <v>45</v>
      </c>
      <c r="B117" s="3773"/>
      <c r="C117" s="3092" t="s">
        <v>2745</v>
      </c>
      <c r="D117" s="3092" t="s">
        <v>2746</v>
      </c>
      <c r="E117" s="3118">
        <v>0.1</v>
      </c>
      <c r="F117" s="3118">
        <v>15</v>
      </c>
    </row>
    <row r="118" spans="1:6" ht="24">
      <c r="A118" s="3118">
        <v>46</v>
      </c>
      <c r="B118" s="3772" t="s">
        <v>2747</v>
      </c>
      <c r="C118" s="3118" t="s">
        <v>2748</v>
      </c>
      <c r="D118" s="3092" t="s">
        <v>2749</v>
      </c>
      <c r="E118" s="3118">
        <v>0.1</v>
      </c>
      <c r="F118" s="3118">
        <v>15</v>
      </c>
    </row>
    <row r="119" spans="1:6" ht="24">
      <c r="A119" s="3118">
        <v>47</v>
      </c>
      <c r="B119" s="3773"/>
      <c r="C119" s="3118" t="s">
        <v>2750</v>
      </c>
      <c r="D119" s="3092" t="s">
        <v>2751</v>
      </c>
      <c r="E119" s="3118">
        <v>0.1</v>
      </c>
      <c r="F119" s="3118">
        <v>15</v>
      </c>
    </row>
    <row r="120" spans="1:6" ht="24">
      <c r="A120" s="3118">
        <v>48</v>
      </c>
      <c r="B120" s="3772" t="s">
        <v>2752</v>
      </c>
      <c r="C120" s="3118" t="s">
        <v>2753</v>
      </c>
      <c r="D120" s="3092" t="s">
        <v>2754</v>
      </c>
      <c r="E120" s="3118">
        <v>0.1</v>
      </c>
      <c r="F120" s="3118">
        <v>15</v>
      </c>
    </row>
    <row r="121" spans="1:6" ht="24">
      <c r="A121" s="3118">
        <v>49</v>
      </c>
      <c r="B121" s="3773"/>
      <c r="C121" s="3118" t="s">
        <v>2755</v>
      </c>
      <c r="D121" s="3092" t="s">
        <v>2756</v>
      </c>
      <c r="E121" s="3118">
        <v>0.1</v>
      </c>
      <c r="F121" s="3118">
        <v>15</v>
      </c>
    </row>
    <row r="122" spans="1:6" ht="24">
      <c r="A122" s="3118">
        <v>50</v>
      </c>
      <c r="B122" s="3771" t="s">
        <v>2757</v>
      </c>
      <c r="C122" s="3118" t="s">
        <v>2758</v>
      </c>
      <c r="D122" s="3092" t="s">
        <v>2759</v>
      </c>
      <c r="E122" s="3118">
        <v>0.1</v>
      </c>
      <c r="F122" s="3118">
        <v>15</v>
      </c>
    </row>
    <row r="123" spans="1:6" ht="24">
      <c r="A123" s="3118">
        <v>51</v>
      </c>
      <c r="B123" s="3771"/>
      <c r="C123" s="3118" t="s">
        <v>2760</v>
      </c>
      <c r="D123" s="3092" t="s">
        <v>2761</v>
      </c>
      <c r="E123" s="3118">
        <v>0.1</v>
      </c>
      <c r="F123" s="3118">
        <v>15</v>
      </c>
    </row>
    <row r="124" spans="1:6" ht="24">
      <c r="A124" s="3118">
        <v>52</v>
      </c>
      <c r="B124" s="3771" t="s">
        <v>2762</v>
      </c>
      <c r="C124" s="3118" t="s">
        <v>2763</v>
      </c>
      <c r="D124" s="3092" t="s">
        <v>2764</v>
      </c>
      <c r="E124" s="3118">
        <v>0.1</v>
      </c>
      <c r="F124" s="3118">
        <v>15</v>
      </c>
    </row>
    <row r="125" spans="1:6" ht="24">
      <c r="A125" s="3118">
        <v>53</v>
      </c>
      <c r="B125" s="3771"/>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71" t="s">
        <v>2770</v>
      </c>
      <c r="C127" s="3118" t="s">
        <v>2771</v>
      </c>
      <c r="D127" s="3092" t="s">
        <v>2772</v>
      </c>
      <c r="E127" s="3118">
        <v>0.1</v>
      </c>
      <c r="F127" s="3118">
        <v>15</v>
      </c>
    </row>
    <row r="128" spans="1:6" ht="24">
      <c r="A128" s="3118">
        <v>56</v>
      </c>
      <c r="B128" s="3771"/>
      <c r="C128" s="3118" t="s">
        <v>2773</v>
      </c>
      <c r="D128" s="3092" t="s">
        <v>2774</v>
      </c>
      <c r="E128" s="3118">
        <v>0.1</v>
      </c>
      <c r="F128" s="3118">
        <v>15</v>
      </c>
    </row>
    <row r="129" spans="1:6" ht="24">
      <c r="A129" s="3118">
        <v>57</v>
      </c>
      <c r="B129" s="3771"/>
      <c r="C129" s="3118" t="s">
        <v>2775</v>
      </c>
      <c r="D129" s="3092" t="s">
        <v>2776</v>
      </c>
      <c r="E129" s="3118">
        <v>0.1</v>
      </c>
      <c r="F129" s="3118">
        <v>15</v>
      </c>
    </row>
    <row r="130" spans="1:6" ht="24">
      <c r="A130" s="3118">
        <v>58</v>
      </c>
      <c r="B130" s="3771" t="s">
        <v>2777</v>
      </c>
      <c r="C130" s="3118" t="s">
        <v>2778</v>
      </c>
      <c r="D130" s="3092" t="s">
        <v>2779</v>
      </c>
      <c r="E130" s="3118">
        <v>0.1</v>
      </c>
      <c r="F130" s="3118">
        <v>15</v>
      </c>
    </row>
    <row r="131" spans="1:6" ht="24">
      <c r="A131" s="3118">
        <v>59</v>
      </c>
      <c r="B131" s="3771"/>
      <c r="C131" s="3118" t="s">
        <v>2780</v>
      </c>
      <c r="D131" s="3092" t="s">
        <v>2781</v>
      </c>
      <c r="E131" s="3118">
        <v>0.1</v>
      </c>
      <c r="F131" s="3118">
        <v>15</v>
      </c>
    </row>
    <row r="132" spans="1:6" ht="24">
      <c r="A132" s="3118">
        <v>60</v>
      </c>
      <c r="B132" s="3772" t="s">
        <v>2782</v>
      </c>
      <c r="C132" s="3118" t="s">
        <v>2783</v>
      </c>
      <c r="D132" s="3092" t="s">
        <v>2784</v>
      </c>
      <c r="E132" s="3118">
        <v>0.1</v>
      </c>
      <c r="F132" s="3118">
        <v>15</v>
      </c>
    </row>
    <row r="133" spans="1:6" ht="24">
      <c r="A133" s="3118">
        <v>61</v>
      </c>
      <c r="B133" s="3773"/>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71" t="s">
        <v>2790</v>
      </c>
      <c r="C135" s="3118" t="s">
        <v>2791</v>
      </c>
      <c r="D135" s="3092" t="s">
        <v>2792</v>
      </c>
      <c r="E135" s="3118">
        <v>0.1</v>
      </c>
      <c r="F135" s="3118">
        <v>15</v>
      </c>
    </row>
    <row r="136" spans="1:6" ht="24">
      <c r="A136" s="3118">
        <v>64</v>
      </c>
      <c r="B136" s="3771"/>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7.399999999999999">
      <c r="A3" s="3466" t="str">
        <f>IF(项目基本情况!B9="房地产市场价值","估价结果一览表（市场价值不需“结果表-1”）","估价结果一览表")</f>
        <v>估价结果一览表（市场价值不需“结果表-1”）</v>
      </c>
      <c r="B3" s="3466"/>
      <c r="C3" s="3466"/>
      <c r="D3" s="3466"/>
      <c r="E3" s="3466"/>
    </row>
    <row r="4" spans="1:5" ht="18" thickBot="1">
      <c r="A4" s="1493"/>
      <c r="B4" s="3464" t="s">
        <v>917</v>
      </c>
      <c r="C4" s="3464"/>
      <c r="D4" s="3464"/>
      <c r="E4" s="1493"/>
    </row>
    <row r="5" spans="1:5" ht="16.2" thickTop="1">
      <c r="A5" s="1491"/>
      <c r="B5" s="3462" t="s">
        <v>909</v>
      </c>
      <c r="C5" s="1494" t="s">
        <v>910</v>
      </c>
      <c r="D5" s="850" t="e">
        <f ca="1">结果表!H101</f>
        <v>#REF!</v>
      </c>
      <c r="E5" s="1491"/>
    </row>
    <row r="6" spans="1:5" ht="15.6">
      <c r="A6" s="1491"/>
      <c r="B6" s="3462"/>
      <c r="C6" s="1494" t="s">
        <v>911</v>
      </c>
      <c r="D6" s="850" t="e">
        <f ca="1">NUMBERSTRING(INT(D5*10000),2)&amp;"元整"</f>
        <v>#REF!</v>
      </c>
      <c r="E6" s="1491"/>
    </row>
    <row r="7" spans="1:5" ht="15.6">
      <c r="A7" s="1491"/>
      <c r="B7" s="3467"/>
      <c r="C7" s="1495" t="s">
        <v>912</v>
      </c>
      <c r="D7" s="851" t="e">
        <f ca="1">结果表!H102</f>
        <v>#REF!</v>
      </c>
      <c r="E7" s="1491"/>
    </row>
    <row r="8" spans="1:5" ht="15.6">
      <c r="A8" s="1491"/>
      <c r="B8" s="3468" t="str">
        <f>结果表!E103</f>
        <v>2.估价师知悉的法定优先受偿款</v>
      </c>
      <c r="C8" s="1496" t="s">
        <v>913</v>
      </c>
      <c r="D8" s="851">
        <f>结果表!H103</f>
        <v>0</v>
      </c>
      <c r="E8" s="1491"/>
    </row>
    <row r="9" spans="1:5" ht="15.6">
      <c r="A9" s="1491"/>
      <c r="B9" s="347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1" t="str">
        <f>结果表!E107</f>
        <v>3.房地产抵押价值</v>
      </c>
      <c r="C13" s="1499" t="s">
        <v>910</v>
      </c>
      <c r="D13" s="853" t="e">
        <f ca="1">结果表!H107</f>
        <v>#REF!</v>
      </c>
      <c r="E13" s="1491"/>
    </row>
    <row r="14" spans="1:5" ht="15.6">
      <c r="A14" s="1491"/>
      <c r="B14" s="3462"/>
      <c r="C14" s="1494" t="s">
        <v>911</v>
      </c>
      <c r="D14" s="850" t="e">
        <f ca="1">NUMBERSTRING(INT(D13*10000),2)&amp;"元整"</f>
        <v>#REF!</v>
      </c>
      <c r="E14" s="1491"/>
    </row>
    <row r="15" spans="1:5" ht="15.6">
      <c r="A15" s="1491"/>
      <c r="B15" s="3467"/>
      <c r="C15" s="1495" t="s">
        <v>921</v>
      </c>
      <c r="D15" s="859" t="e">
        <f ca="1">结果表!H108</f>
        <v>#REF!</v>
      </c>
      <c r="E15" s="1491"/>
    </row>
    <row r="16" spans="1:5" ht="15.6">
      <c r="A16" s="1491"/>
      <c r="B16" s="3468" t="str">
        <f>结果表!E109</f>
        <v>——</v>
      </c>
      <c r="C16" s="1499" t="s">
        <v>922</v>
      </c>
      <c r="D16" s="1500" t="str">
        <f>结果表!H109</f>
        <v>——</v>
      </c>
      <c r="E16" s="1491"/>
    </row>
    <row r="17" spans="1:5" ht="15.6">
      <c r="A17" s="1491"/>
      <c r="B17" s="3469"/>
      <c r="C17" s="1494" t="s">
        <v>923</v>
      </c>
      <c r="D17" s="850" t="e">
        <f>NUMBERSTRING(INT(D16*10000),2)&amp;"元整"</f>
        <v>#VALUE!</v>
      </c>
      <c r="E17" s="1491"/>
    </row>
    <row r="18" spans="1:5" ht="15.6">
      <c r="A18" s="1491"/>
      <c r="B18" s="3470"/>
      <c r="C18" s="1495" t="s">
        <v>912</v>
      </c>
      <c r="D18" s="859" t="str">
        <f>结果表!H110</f>
        <v>——</v>
      </c>
      <c r="E18" s="1491"/>
    </row>
    <row r="19" spans="1:5" ht="15.6">
      <c r="A19" s="1491"/>
      <c r="B19" s="3461" t="str">
        <f>结果表!E111</f>
        <v>——</v>
      </c>
      <c r="C19" s="1499" t="s">
        <v>910</v>
      </c>
      <c r="D19" s="851" t="str">
        <f>结果表!H111</f>
        <v>——</v>
      </c>
      <c r="E19" s="1491"/>
    </row>
    <row r="20" spans="1:5" ht="15.6">
      <c r="A20" s="1491"/>
      <c r="B20" s="3462"/>
      <c r="C20" s="1494" t="s">
        <v>923</v>
      </c>
      <c r="D20" s="850" t="e">
        <f>NUMBERSTRING(INT(D19*10000),2)&amp;"元整"</f>
        <v>#VALUE!</v>
      </c>
      <c r="E20" s="1491"/>
    </row>
    <row r="21" spans="1:5" ht="16.2" thickBot="1">
      <c r="A21" s="1491"/>
      <c r="B21" s="346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29710</v>
      </c>
      <c r="C2" s="2" t="s">
        <v>106</v>
      </c>
      <c r="D2" s="199"/>
      <c r="E2" s="199"/>
      <c r="F2" s="199"/>
      <c r="G2" s="199"/>
    </row>
    <row r="3" spans="1:7" s="200" customFormat="1" ht="18" customHeight="1" thickBot="1">
      <c r="A3" s="203" t="s">
        <v>58</v>
      </c>
      <c r="B3" s="204">
        <f ca="1">ROUND(B2*10000/'数据-汇总表'!E3,0)</f>
        <v>1355012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219.26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219.26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219.26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22</v>
      </c>
      <c r="D45" s="235">
        <f>C47</f>
        <v>4.0000000000000001E-3</v>
      </c>
      <c r="E45" s="236" t="s">
        <v>102</v>
      </c>
      <c r="F45" s="246"/>
      <c r="G45" s="247" t="s">
        <v>434</v>
      </c>
    </row>
    <row r="46" spans="1:7" s="214" customFormat="1" ht="13.5" customHeight="1">
      <c r="A46" s="780" t="s">
        <v>349</v>
      </c>
      <c r="B46" s="248" t="s">
        <v>427</v>
      </c>
      <c r="C46" s="249">
        <f>ROUND((C33+C39)*F27,0)</f>
        <v>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139</v>
      </c>
      <c r="D51" s="232"/>
      <c r="E51" s="232"/>
      <c r="F51" s="264"/>
      <c r="G51" s="234" t="s">
        <v>37</v>
      </c>
    </row>
    <row r="52" spans="1:7" s="208" customFormat="1" ht="16.8" thickBot="1">
      <c r="A52" s="265" t="s">
        <v>38</v>
      </c>
      <c r="B52" s="266"/>
      <c r="C52" s="267">
        <f ca="1">C31+C51</f>
        <v>29710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5" t="s">
        <v>2840</v>
      </c>
      <c r="B1" s="3785"/>
      <c r="C1" s="3785"/>
      <c r="D1" s="3785"/>
      <c r="E1" s="3785"/>
      <c r="F1" s="3785"/>
      <c r="G1" s="3786"/>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3"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84"/>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7" t="s">
        <v>3182</v>
      </c>
      <c r="B1" s="3787"/>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8" t="s">
        <v>3233</v>
      </c>
      <c r="B1" s="3788"/>
      <c r="C1" s="3788"/>
      <c r="D1" s="3788"/>
      <c r="E1" s="3788"/>
      <c r="F1" s="3789"/>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42339</v>
      </c>
      <c r="B1" s="3210" t="s">
        <v>3372</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0" t="s">
        <v>2828</v>
      </c>
      <c r="S24" s="3791"/>
      <c r="T24" s="3791"/>
      <c r="U24" s="3791"/>
      <c r="V24" s="3791"/>
      <c r="W24" s="3791"/>
      <c r="X24" s="3165"/>
      <c r="Y24" s="3790" t="s">
        <v>2829</v>
      </c>
      <c r="Z24" s="3791"/>
      <c r="AA24" s="3791"/>
      <c r="AB24" s="3791"/>
      <c r="AC24" s="3791"/>
      <c r="AD24" s="3791"/>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42339</v>
      </c>
      <c r="D1" s="1302" t="s">
        <v>603</v>
      </c>
      <c r="E1" s="1297">
        <f>'数据-取费表'!B22</f>
        <v>2</v>
      </c>
      <c r="F1" s="1302" t="s">
        <v>604</v>
      </c>
      <c r="G1" s="1298">
        <f ca="1">INDIRECT("d"&amp;$K$1)/100</f>
        <v>4.7500000000000001E-2</v>
      </c>
      <c r="H1" s="1302" t="s">
        <v>634</v>
      </c>
      <c r="I1" s="1298">
        <f ca="1">F4/100</f>
        <v>1.4999999999999999E-2</v>
      </c>
      <c r="J1" s="1303">
        <f>IF(C1&gt;C13,0,MATCH(C1,C$13:C$113,-1))+IF(SUMIF(C13:C113,C1,D13:D113)=0,13,12)</f>
        <v>26</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6">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219.26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6">
      <c r="A6" s="3473" t="str">
        <f>结果表!A120</f>
        <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6">
      <c r="A8" s="3473" t="str">
        <f>结果表!A122</f>
        <v/>
      </c>
      <c r="B8" s="3473"/>
      <c r="C8" s="3473"/>
      <c r="D8" s="3473" t="e">
        <f ca="1">结果表!D122</f>
        <v>#REF!</v>
      </c>
      <c r="E8" s="3473"/>
      <c r="F8" s="3473"/>
      <c r="G8" s="3473"/>
      <c r="H8" s="3473"/>
      <c r="I8" s="3473"/>
    </row>
    <row r="9" spans="1:9" ht="15">
      <c r="A9" s="3474" t="s">
        <v>927</v>
      </c>
      <c r="B9" s="3474"/>
      <c r="C9" s="3474"/>
      <c r="D9" s="3474" t="e">
        <f ca="1">结果表!D123</f>
        <v>#REF!</v>
      </c>
      <c r="E9" s="3474"/>
      <c r="F9" s="3474"/>
      <c r="G9" s="3474"/>
      <c r="H9" s="3474"/>
      <c r="I9" s="3474"/>
    </row>
    <row r="10" spans="1:9" ht="15.6">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6">
      <c r="A12" s="3473" t="str">
        <f>结果表!A126</f>
        <v/>
      </c>
      <c r="B12" s="3473"/>
      <c r="C12" s="3473"/>
      <c r="D12" s="3473" t="str">
        <f>结果表!D126</f>
        <v>——</v>
      </c>
      <c r="E12" s="3473"/>
      <c r="F12" s="3473"/>
      <c r="G12" s="3473"/>
      <c r="H12" s="3473"/>
      <c r="I12" s="3473"/>
    </row>
    <row r="13" spans="1:9" ht="15.6" thickBot="1">
      <c r="A13" s="3471" t="s">
        <v>927</v>
      </c>
      <c r="B13" s="3471"/>
      <c r="C13" s="3471"/>
      <c r="D13" s="3471" t="e">
        <f>结果表!D127</f>
        <v>#VALUE!</v>
      </c>
      <c r="E13" s="3471"/>
      <c r="F13" s="3471"/>
      <c r="G13" s="3471"/>
      <c r="H13" s="3471"/>
      <c r="I13" s="3471"/>
    </row>
    <row r="14" spans="1:9" ht="14.4" thickTop="1">
      <c r="A14" s="3472" t="s">
        <v>932</v>
      </c>
      <c r="B14" s="3472"/>
      <c r="C14" s="3472"/>
      <c r="D14" s="3472"/>
      <c r="E14" s="3472"/>
      <c r="F14" s="3472"/>
      <c r="G14" s="3472"/>
      <c r="H14" s="3472"/>
      <c r="I14" s="347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6" t="s">
        <v>949</v>
      </c>
      <c r="B1" s="3486"/>
      <c r="C1" s="3486"/>
      <c r="D1" s="3486"/>
    </row>
    <row r="2" spans="1:4" ht="17.399999999999999">
      <c r="A2" s="3487" t="s">
        <v>933</v>
      </c>
      <c r="B2" s="3487"/>
      <c r="C2" s="3487"/>
      <c r="D2" s="348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7" t="s">
        <v>939</v>
      </c>
      <c r="B6" s="3487"/>
      <c r="C6" s="3487"/>
      <c r="D6" s="348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8" t="s">
        <v>942</v>
      </c>
      <c r="B11" s="3480"/>
      <c r="C11" s="3480"/>
      <c r="D11" s="3480"/>
    </row>
    <row r="12" spans="1:4" ht="15.6">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4" t="s">
        <v>956</v>
      </c>
      <c r="B15" s="3489" t="s">
        <v>109</v>
      </c>
      <c r="C15" s="3490"/>
    </row>
    <row r="16" spans="1:7" ht="14.4">
      <c r="A16" s="3495"/>
      <c r="B16" s="3489" t="s">
        <v>42</v>
      </c>
      <c r="C16" s="3490"/>
    </row>
    <row r="17" spans="1:3" ht="14.4">
      <c r="A17" s="3495"/>
      <c r="B17" s="3492" t="s">
        <v>957</v>
      </c>
      <c r="C17" s="1532" t="s">
        <v>956</v>
      </c>
    </row>
    <row r="18" spans="1:3" ht="14.4">
      <c r="A18" s="3495"/>
      <c r="B18" s="3492"/>
      <c r="C18" s="1532" t="s">
        <v>958</v>
      </c>
    </row>
    <row r="19" spans="1:3" ht="14.4">
      <c r="A19" s="3495"/>
      <c r="B19" s="3492"/>
      <c r="C19" s="1532" t="s">
        <v>959</v>
      </c>
    </row>
    <row r="20" spans="1:3" ht="14.4">
      <c r="A20" s="3496"/>
      <c r="B20" s="3491" t="s">
        <v>960</v>
      </c>
      <c r="C20" s="3490"/>
    </row>
    <row r="21" spans="1:3" ht="14.4">
      <c r="A21" s="1533" t="s">
        <v>961</v>
      </c>
      <c r="B21" s="1534"/>
      <c r="C21" s="1535"/>
    </row>
    <row r="22" spans="1:3" ht="14.4">
      <c r="A22" s="3493" t="s">
        <v>962</v>
      </c>
      <c r="B22" s="3491" t="s">
        <v>963</v>
      </c>
      <c r="C22" s="3490"/>
    </row>
    <row r="23" spans="1:3" ht="14.4">
      <c r="A23" s="3493"/>
      <c r="B23" s="3491" t="s">
        <v>964</v>
      </c>
      <c r="C23" s="3490"/>
    </row>
    <row r="24" spans="1:3" ht="14.4">
      <c r="A24" s="3493"/>
      <c r="B24" s="3491" t="s">
        <v>965</v>
      </c>
      <c r="C24" s="3490"/>
    </row>
    <row r="25" spans="1:3" ht="14.4">
      <c r="A25" s="3493"/>
      <c r="B25" s="3492" t="s">
        <v>966</v>
      </c>
      <c r="C25" s="1532" t="s">
        <v>967</v>
      </c>
    </row>
    <row r="26" spans="1:3" ht="14.4">
      <c r="A26" s="3493"/>
      <c r="B26" s="3492"/>
      <c r="C26" s="1532" t="s">
        <v>968</v>
      </c>
    </row>
    <row r="27" spans="1:3" ht="14.4">
      <c r="A27" s="3493"/>
      <c r="B27" s="3492"/>
      <c r="C27" s="1532" t="s">
        <v>969</v>
      </c>
    </row>
    <row r="28" spans="1:3" ht="14.4">
      <c r="A28" s="3493"/>
      <c r="B28" s="3492"/>
      <c r="C28" s="1532" t="s">
        <v>970</v>
      </c>
    </row>
    <row r="29" spans="1:3" ht="14.4">
      <c r="A29" s="3493"/>
      <c r="B29" s="3492"/>
      <c r="C29" s="1532" t="s">
        <v>971</v>
      </c>
    </row>
    <row r="30" spans="1:3" ht="14.4">
      <c r="A30" s="3493"/>
      <c r="B30" s="3492"/>
      <c r="C30" s="1532" t="s">
        <v>972</v>
      </c>
    </row>
    <row r="31" spans="1:3" ht="14.4">
      <c r="A31" s="3493"/>
      <c r="B31" s="3492"/>
      <c r="C31" s="1532" t="s">
        <v>973</v>
      </c>
    </row>
    <row r="32" spans="1:3" ht="14.4">
      <c r="A32" s="3493"/>
      <c r="B32" s="3492"/>
      <c r="C32" s="1532" t="s">
        <v>974</v>
      </c>
    </row>
    <row r="33" spans="1:3" ht="14.4">
      <c r="A33" s="3493"/>
      <c r="B33" s="349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2024-08-29T10:09:10Z</dcterms:modified>
</cp:coreProperties>
</file>