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3-1-0457北京市顺义区大孙各庄段240号院\"/>
    </mc:Choice>
  </mc:AlternateContent>
  <xr:revisionPtr revIDLastSave="0" documentId="13_ncr:1_{DA2C753D-02BF-4CA7-9F2D-2015ADD32A1F}" xr6:coauthVersionLast="45" xr6:coauthVersionMax="45" xr10:uidLastSave="{00000000-0000-0000-0000-000000000000}"/>
  <bookViews>
    <workbookView xWindow="10785" yWindow="2700" windowWidth="11805" windowHeight="7410" tabRatio="875" firstSheet="15"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成本逼近法" sheetId="11" r:id="rId22"/>
    <sheet name="比较法-工业" sheetId="40"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Sheet1" sheetId="72" r:id="rId42"/>
    <sheet name="案例" sheetId="73" r:id="rId43"/>
    <sheet name="存贷款利率" sheetId="65"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2">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9" i="72" l="1"/>
  <c r="C71" i="72"/>
  <c r="C66" i="72"/>
  <c r="B29" i="1"/>
  <c r="D8" i="11"/>
  <c r="E8" i="11"/>
  <c r="I36" i="40"/>
  <c r="G36" i="40"/>
  <c r="E36" i="40"/>
  <c r="C36" i="40"/>
  <c r="I43" i="40"/>
  <c r="G43" i="40"/>
  <c r="E43" i="40"/>
  <c r="I12" i="40"/>
  <c r="G12" i="40"/>
  <c r="E12" i="40"/>
  <c r="I7" i="40"/>
  <c r="G7" i="40"/>
  <c r="E7" i="40"/>
  <c r="W13" i="73"/>
  <c r="X13" i="73"/>
  <c r="W12" i="73"/>
  <c r="X12" i="73"/>
  <c r="W11" i="73"/>
  <c r="X11" i="73"/>
  <c r="W10" i="73"/>
  <c r="X10" i="73"/>
  <c r="W9" i="73"/>
  <c r="X9" i="73"/>
  <c r="W8" i="73"/>
  <c r="X8" i="73"/>
  <c r="W7" i="73"/>
  <c r="X7" i="73"/>
  <c r="W6" i="73"/>
  <c r="X6" i="73"/>
  <c r="W5" i="73"/>
  <c r="X5" i="73"/>
  <c r="F1" i="46"/>
  <c r="D33" i="46"/>
  <c r="F19" i="6"/>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I32" i="70"/>
  <c r="I33" i="70"/>
  <c r="I34" i="70"/>
  <c r="I35" i="70"/>
  <c r="I36" i="70"/>
  <c r="AD28" i="70"/>
  <c r="I6" i="70"/>
  <c r="I7" i="70"/>
  <c r="I8" i="70"/>
  <c r="P28" i="70"/>
  <c r="I2" i="46"/>
  <c r="M5" i="46"/>
  <c r="M2" i="46"/>
  <c r="B3" i="69"/>
  <c r="C7" i="69"/>
  <c r="C5" i="69"/>
  <c r="C6" i="69"/>
  <c r="C20" i="20"/>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C22" i="20"/>
  <c r="B100" i="46"/>
  <c r="C21" i="20"/>
  <c r="B99" i="46"/>
  <c r="B97" i="46"/>
  <c r="B95" i="46"/>
  <c r="G16" i="20"/>
  <c r="B94" i="46"/>
  <c r="B84" i="46"/>
  <c r="Y10" i="46"/>
  <c r="J24" i="46"/>
  <c r="G24" i="46"/>
  <c r="E24" i="46"/>
  <c r="Q32" i="46"/>
  <c r="I23" i="46"/>
  <c r="C22" i="46"/>
  <c r="G17" i="46"/>
  <c r="M1" i="46"/>
  <c r="G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AD36" i="70"/>
  <c r="N35" i="70"/>
  <c r="U35" i="70"/>
  <c r="M35" i="70"/>
  <c r="P35" i="70"/>
  <c r="L35" i="70"/>
  <c r="S35" i="70"/>
  <c r="AD35" i="70"/>
  <c r="N34" i="70"/>
  <c r="U34" i="70"/>
  <c r="M34" i="70"/>
  <c r="P34" i="70"/>
  <c r="L34" i="70"/>
  <c r="S34" i="70"/>
  <c r="AD34" i="70"/>
  <c r="N33" i="70"/>
  <c r="U33" i="70"/>
  <c r="M33" i="70"/>
  <c r="P33" i="70"/>
  <c r="L33" i="70"/>
  <c r="S33" i="70"/>
  <c r="AD33" i="70"/>
  <c r="N32" i="70"/>
  <c r="U32" i="70"/>
  <c r="M32" i="70"/>
  <c r="P32" i="70"/>
  <c r="L32" i="70"/>
  <c r="S32" i="70"/>
  <c r="AD32" i="70"/>
  <c r="N31" i="70"/>
  <c r="U31" i="70"/>
  <c r="M31" i="70"/>
  <c r="P31" i="70"/>
  <c r="L31" i="70"/>
  <c r="S31" i="70"/>
  <c r="AD31" i="70"/>
  <c r="N30" i="70"/>
  <c r="M30" i="70"/>
  <c r="P30" i="70"/>
  <c r="L30" i="70"/>
  <c r="S30" i="70"/>
  <c r="AD30" i="70"/>
  <c r="N29" i="70"/>
  <c r="M29" i="70"/>
  <c r="L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A13" i="1"/>
  <c r="B13" i="1"/>
  <c r="E13" i="1"/>
  <c r="D13" i="1"/>
  <c r="D12" i="1"/>
  <c r="D11" i="1"/>
  <c r="D10" i="1"/>
  <c r="D9" i="1"/>
  <c r="D8" i="1"/>
  <c r="D7" i="1"/>
  <c r="D6" i="1"/>
  <c r="C19" i="4"/>
  <c r="F6" i="1"/>
  <c r="D19" i="4"/>
  <c r="F7" i="1"/>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AB7" i="59"/>
  <c r="Q6" i="59"/>
  <c r="AB6" i="59"/>
  <c r="Q5" i="59"/>
  <c r="AB5" i="59"/>
  <c r="P7" i="59"/>
  <c r="P8" i="59"/>
  <c r="P26" i="59"/>
  <c r="P27" i="59"/>
  <c r="P28" i="59"/>
  <c r="P29" i="59"/>
  <c r="P30" i="59"/>
  <c r="P31" i="59"/>
  <c r="P32" i="59"/>
  <c r="P33" i="59"/>
  <c r="P34" i="59"/>
  <c r="P35" i="59"/>
  <c r="P36" i="59"/>
  <c r="P37" i="59"/>
  <c r="P38" i="59"/>
  <c r="P39" i="59"/>
  <c r="P40" i="59"/>
  <c r="AA7" i="59"/>
  <c r="P6" i="59"/>
  <c r="AA6" i="59"/>
  <c r="P5" i="59"/>
  <c r="AA5" i="59"/>
  <c r="O7" i="59"/>
  <c r="O8" i="59"/>
  <c r="O26" i="59"/>
  <c r="O27" i="59"/>
  <c r="O28" i="59"/>
  <c r="O29" i="59"/>
  <c r="O30" i="59"/>
  <c r="O31" i="59"/>
  <c r="O32" i="59"/>
  <c r="O33" i="59"/>
  <c r="O34" i="59"/>
  <c r="O35" i="59"/>
  <c r="O36" i="59"/>
  <c r="O37" i="59"/>
  <c r="O38" i="59"/>
  <c r="O39" i="59"/>
  <c r="O40"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F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2" i="68"/>
  <c r="B3" i="68"/>
  <c r="C41" i="68"/>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F25" i="12"/>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J50" i="15"/>
  <c r="J51" i="15"/>
  <c r="D26" i="59"/>
  <c r="AH24" i="59"/>
  <c r="AG24" i="59"/>
  <c r="AE24" i="59"/>
  <c r="AF24" i="59"/>
  <c r="AD24" i="59"/>
  <c r="AE25" i="59"/>
  <c r="AF25" i="59"/>
  <c r="AG25" i="59"/>
  <c r="AH25" i="59"/>
  <c r="AD25" i="59"/>
  <c r="AB24" i="59"/>
  <c r="AA24" i="59"/>
  <c r="Y24" i="59"/>
  <c r="Z24" i="59"/>
  <c r="X24"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AB40" i="59"/>
  <c r="Y40" i="59"/>
  <c r="Z40" i="59"/>
  <c r="X40" i="59"/>
  <c r="F39" i="59"/>
  <c r="E39" i="59"/>
  <c r="E40" i="59"/>
  <c r="E41" i="59"/>
  <c r="U41" i="59"/>
  <c r="C39"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B205" i="3"/>
  <c r="BC205" i="3"/>
  <c r="BD205" i="3"/>
  <c r="BE205" i="3"/>
  <c r="BF205" i="3"/>
  <c r="BG205" i="3"/>
  <c r="BH205" i="3"/>
  <c r="BI205" i="3"/>
  <c r="BJ205" i="3"/>
  <c r="BK205" i="3"/>
  <c r="BA205" i="3"/>
  <c r="AZ205" i="3"/>
  <c r="AX205" i="3"/>
  <c r="AW205" i="3"/>
  <c r="AV205" i="3"/>
  <c r="AC205" i="3"/>
  <c r="H205" i="3"/>
  <c r="G205" i="3"/>
  <c r="BT388" i="3"/>
  <c r="BS388" i="3"/>
  <c r="BR388" i="3"/>
  <c r="BQ388" i="3"/>
  <c r="BP388" i="3"/>
  <c r="BO388" i="3"/>
  <c r="BN388" i="3"/>
  <c r="BM388" i="3"/>
  <c r="BL388" i="3"/>
  <c r="BB388" i="3"/>
  <c r="BC388" i="3"/>
  <c r="BD388" i="3"/>
  <c r="BE388" i="3"/>
  <c r="BF388" i="3"/>
  <c r="BG388" i="3"/>
  <c r="BH388" i="3"/>
  <c r="BI388" i="3"/>
  <c r="BJ388" i="3"/>
  <c r="BK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B385" i="3"/>
  <c r="BC385" i="3"/>
  <c r="BD385" i="3"/>
  <c r="BE385" i="3"/>
  <c r="BF385" i="3"/>
  <c r="BG385" i="3"/>
  <c r="BH385" i="3"/>
  <c r="BI385" i="3"/>
  <c r="BJ385" i="3"/>
  <c r="BK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B376" i="3"/>
  <c r="BC376" i="3"/>
  <c r="BD376" i="3"/>
  <c r="BE376" i="3"/>
  <c r="BF376" i="3"/>
  <c r="BG376" i="3"/>
  <c r="BH376" i="3"/>
  <c r="BI376" i="3"/>
  <c r="BJ376" i="3"/>
  <c r="BK376" i="3"/>
  <c r="BA376" i="3"/>
  <c r="AZ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BL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BL371" i="3"/>
  <c r="AZ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B369" i="3"/>
  <c r="BC369" i="3"/>
  <c r="BD369" i="3"/>
  <c r="BE369" i="3"/>
  <c r="BF369" i="3"/>
  <c r="BG369" i="3"/>
  <c r="BH369" i="3"/>
  <c r="BI369" i="3"/>
  <c r="BJ369" i="3"/>
  <c r="BK369" i="3"/>
  <c r="BA369" i="3"/>
  <c r="AZ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B364" i="3"/>
  <c r="BC364" i="3"/>
  <c r="BD364" i="3"/>
  <c r="BE364" i="3"/>
  <c r="BF364" i="3"/>
  <c r="BG364" i="3"/>
  <c r="BH364" i="3"/>
  <c r="BI364" i="3"/>
  <c r="BJ364" i="3"/>
  <c r="BK364" i="3"/>
  <c r="BA364" i="3"/>
  <c r="AZ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B360" i="3"/>
  <c r="BC360" i="3"/>
  <c r="BD360" i="3"/>
  <c r="BE360" i="3"/>
  <c r="BF360" i="3"/>
  <c r="BG360" i="3"/>
  <c r="BH360" i="3"/>
  <c r="BI360" i="3"/>
  <c r="BJ360" i="3"/>
  <c r="BK360" i="3"/>
  <c r="BA360" i="3"/>
  <c r="AZ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BL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BL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BL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BL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BL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BL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B479" i="3"/>
  <c r="BC479" i="3"/>
  <c r="BD479" i="3"/>
  <c r="BE479" i="3"/>
  <c r="BF479" i="3"/>
  <c r="BG479" i="3"/>
  <c r="BH479" i="3"/>
  <c r="BI479" i="3"/>
  <c r="BJ479" i="3"/>
  <c r="BK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B475" i="3"/>
  <c r="BC475" i="3"/>
  <c r="BD475" i="3"/>
  <c r="BE475" i="3"/>
  <c r="BF475" i="3"/>
  <c r="BG475" i="3"/>
  <c r="BH475" i="3"/>
  <c r="BI475" i="3"/>
  <c r="BJ475" i="3"/>
  <c r="BK475" i="3"/>
  <c r="BA475" i="3"/>
  <c r="AZ475" i="3"/>
  <c r="AX475" i="3"/>
  <c r="AW475" i="3"/>
  <c r="AV475" i="3"/>
  <c r="AC475" i="3"/>
  <c r="H475" i="3"/>
  <c r="G475" i="3"/>
  <c r="BT474" i="3"/>
  <c r="BS474" i="3"/>
  <c r="BR474" i="3"/>
  <c r="BQ474" i="3"/>
  <c r="BP474" i="3"/>
  <c r="BO474" i="3"/>
  <c r="BN474" i="3"/>
  <c r="BM474" i="3"/>
  <c r="BL474" i="3"/>
  <c r="BB474" i="3"/>
  <c r="BC474" i="3"/>
  <c r="BD474" i="3"/>
  <c r="BE474" i="3"/>
  <c r="BF474" i="3"/>
  <c r="BG474" i="3"/>
  <c r="BH474" i="3"/>
  <c r="BI474" i="3"/>
  <c r="BJ474" i="3"/>
  <c r="BK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B471" i="3"/>
  <c r="BC471" i="3"/>
  <c r="BD471" i="3"/>
  <c r="BE471" i="3"/>
  <c r="BF471" i="3"/>
  <c r="BG471" i="3"/>
  <c r="BH471" i="3"/>
  <c r="BI471" i="3"/>
  <c r="BJ471" i="3"/>
  <c r="BK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B467" i="3"/>
  <c r="BC467" i="3"/>
  <c r="BD467" i="3"/>
  <c r="BE467" i="3"/>
  <c r="BF467" i="3"/>
  <c r="BG467" i="3"/>
  <c r="BH467" i="3"/>
  <c r="BI467" i="3"/>
  <c r="BJ467" i="3"/>
  <c r="BK467" i="3"/>
  <c r="BA467" i="3"/>
  <c r="AZ467" i="3"/>
  <c r="AX467" i="3"/>
  <c r="AW467" i="3"/>
  <c r="AV467" i="3"/>
  <c r="AC467" i="3"/>
  <c r="H467" i="3"/>
  <c r="G467" i="3"/>
  <c r="BT466" i="3"/>
  <c r="BS466" i="3"/>
  <c r="BR466" i="3"/>
  <c r="BQ466" i="3"/>
  <c r="BP466" i="3"/>
  <c r="BO466" i="3"/>
  <c r="BN466" i="3"/>
  <c r="BM466" i="3"/>
  <c r="BL466" i="3"/>
  <c r="BB466" i="3"/>
  <c r="BC466" i="3"/>
  <c r="BD466" i="3"/>
  <c r="BE466" i="3"/>
  <c r="BF466" i="3"/>
  <c r="BG466" i="3"/>
  <c r="BH466" i="3"/>
  <c r="BI466" i="3"/>
  <c r="BJ466" i="3"/>
  <c r="BK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B463" i="3"/>
  <c r="BC463" i="3"/>
  <c r="BD463" i="3"/>
  <c r="BE463" i="3"/>
  <c r="BF463" i="3"/>
  <c r="BG463" i="3"/>
  <c r="BH463" i="3"/>
  <c r="BI463" i="3"/>
  <c r="BJ463" i="3"/>
  <c r="BK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B452" i="3"/>
  <c r="BC452" i="3"/>
  <c r="BD452" i="3"/>
  <c r="BE452" i="3"/>
  <c r="BF452" i="3"/>
  <c r="BG452" i="3"/>
  <c r="BH452" i="3"/>
  <c r="BI452" i="3"/>
  <c r="BJ452" i="3"/>
  <c r="BK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B444" i="3"/>
  <c r="BC444" i="3"/>
  <c r="BD444" i="3"/>
  <c r="BE444" i="3"/>
  <c r="BF444" i="3"/>
  <c r="BG444" i="3"/>
  <c r="BH444" i="3"/>
  <c r="BI444" i="3"/>
  <c r="BJ444" i="3"/>
  <c r="BK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B439" i="3"/>
  <c r="BC439" i="3"/>
  <c r="BD439" i="3"/>
  <c r="BE439" i="3"/>
  <c r="BF439" i="3"/>
  <c r="BG439" i="3"/>
  <c r="BH439" i="3"/>
  <c r="BI439" i="3"/>
  <c r="BJ439" i="3"/>
  <c r="BK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B433" i="3"/>
  <c r="BC433" i="3"/>
  <c r="BD433" i="3"/>
  <c r="BE433" i="3"/>
  <c r="BF433" i="3"/>
  <c r="BG433" i="3"/>
  <c r="BH433" i="3"/>
  <c r="BI433" i="3"/>
  <c r="BJ433" i="3"/>
  <c r="BK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B428" i="3"/>
  <c r="BC428" i="3"/>
  <c r="BD428" i="3"/>
  <c r="BE428" i="3"/>
  <c r="BF428" i="3"/>
  <c r="BG428" i="3"/>
  <c r="BH428" i="3"/>
  <c r="BI428" i="3"/>
  <c r="BJ428" i="3"/>
  <c r="BK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B415" i="3"/>
  <c r="BC415" i="3"/>
  <c r="BD415" i="3"/>
  <c r="BE415" i="3"/>
  <c r="BF415" i="3"/>
  <c r="BG415" i="3"/>
  <c r="BH415" i="3"/>
  <c r="BI415" i="3"/>
  <c r="BJ415" i="3"/>
  <c r="BK415" i="3"/>
  <c r="BA415" i="3"/>
  <c r="AZ415" i="3"/>
  <c r="AX415" i="3"/>
  <c r="AW415" i="3"/>
  <c r="AV415" i="3"/>
  <c r="AC415" i="3"/>
  <c r="H415" i="3"/>
  <c r="G415" i="3"/>
  <c r="BT414" i="3"/>
  <c r="BS414" i="3"/>
  <c r="BR414" i="3"/>
  <c r="BQ414" i="3"/>
  <c r="BP414" i="3"/>
  <c r="BO414" i="3"/>
  <c r="BN414" i="3"/>
  <c r="BM414" i="3"/>
  <c r="BL414" i="3"/>
  <c r="BB414" i="3"/>
  <c r="BC414" i="3"/>
  <c r="BD414" i="3"/>
  <c r="BE414" i="3"/>
  <c r="BF414" i="3"/>
  <c r="BG414" i="3"/>
  <c r="BH414" i="3"/>
  <c r="BI414" i="3"/>
  <c r="BJ414" i="3"/>
  <c r="BK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B399" i="3"/>
  <c r="BC399" i="3"/>
  <c r="BD399" i="3"/>
  <c r="BE399" i="3"/>
  <c r="BF399" i="3"/>
  <c r="BG399" i="3"/>
  <c r="BH399" i="3"/>
  <c r="BI399" i="3"/>
  <c r="BJ399" i="3"/>
  <c r="BK399" i="3"/>
  <c r="BA399" i="3"/>
  <c r="AZ399" i="3"/>
  <c r="AX399" i="3"/>
  <c r="AW399" i="3"/>
  <c r="AV399" i="3"/>
  <c r="AC399" i="3"/>
  <c r="H399" i="3"/>
  <c r="G399" i="3"/>
  <c r="BT398" i="3"/>
  <c r="BS398" i="3"/>
  <c r="BR398" i="3"/>
  <c r="BQ398" i="3"/>
  <c r="BP398" i="3"/>
  <c r="BO398" i="3"/>
  <c r="BN398" i="3"/>
  <c r="BM398" i="3"/>
  <c r="BL398" i="3"/>
  <c r="BB398" i="3"/>
  <c r="BC398" i="3"/>
  <c r="BD398" i="3"/>
  <c r="BE398" i="3"/>
  <c r="BF398" i="3"/>
  <c r="BG398" i="3"/>
  <c r="BH398" i="3"/>
  <c r="BI398" i="3"/>
  <c r="BJ398" i="3"/>
  <c r="BK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0" i="1"/>
  <c r="I24" i="46"/>
  <c r="H19" i="4"/>
  <c r="F9" i="1"/>
  <c r="AP9" i="1"/>
  <c r="G19" i="4"/>
  <c r="F12" i="1"/>
  <c r="AP12" i="1"/>
  <c r="F19" i="4"/>
  <c r="F11" i="1"/>
  <c r="AP11" i="1"/>
  <c r="E19" i="4"/>
  <c r="F8" i="1"/>
  <c r="AP8" i="1"/>
  <c r="G7" i="1"/>
  <c r="B2" i="52"/>
  <c r="B4"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5" i="20"/>
  <c r="B83" i="46"/>
  <c r="C24" i="20"/>
  <c r="B75" i="46"/>
  <c r="B76" i="46"/>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E570" i="3"/>
  <c r="BE571" i="3"/>
  <c r="BE572" i="3"/>
  <c r="BE5" i="3"/>
  <c r="BF13" i="3"/>
  <c r="BF570" i="3"/>
  <c r="BF571" i="3"/>
  <c r="BF572" i="3"/>
  <c r="BF5" i="3"/>
  <c r="BG13" i="3"/>
  <c r="BH13" i="3"/>
  <c r="BI13" i="3"/>
  <c r="BJ13" i="3"/>
  <c r="BK13" i="3"/>
  <c r="BM13" i="3"/>
  <c r="BN13" i="3"/>
  <c r="BO13" i="3"/>
  <c r="BP13" i="3"/>
  <c r="BS13" i="3"/>
  <c r="BT13" i="3"/>
  <c r="BB570" i="3"/>
  <c r="BC570" i="3"/>
  <c r="BD570" i="3"/>
  <c r="BG570" i="3"/>
  <c r="BH570" i="3"/>
  <c r="BI570" i="3"/>
  <c r="BJ570" i="3"/>
  <c r="BK570" i="3"/>
  <c r="BA570" i="3"/>
  <c r="BM570" i="3"/>
  <c r="BN570" i="3"/>
  <c r="BO570" i="3"/>
  <c r="BP570" i="3"/>
  <c r="BQ570" i="3"/>
  <c r="BR570" i="3"/>
  <c r="BS570" i="3"/>
  <c r="BT570" i="3"/>
  <c r="BL570" i="3"/>
  <c r="AZ570" i="3"/>
  <c r="BB571" i="3"/>
  <c r="BC571" i="3"/>
  <c r="BD571" i="3"/>
  <c r="BG571" i="3"/>
  <c r="BH571" i="3"/>
  <c r="BI571" i="3"/>
  <c r="BJ571" i="3"/>
  <c r="BK571" i="3"/>
  <c r="BM571" i="3"/>
  <c r="BN571" i="3"/>
  <c r="BO571" i="3"/>
  <c r="BP571" i="3"/>
  <c r="BQ571" i="3"/>
  <c r="BR571" i="3"/>
  <c r="BS571" i="3"/>
  <c r="BT571" i="3"/>
  <c r="BB572" i="3"/>
  <c r="BC572" i="3"/>
  <c r="BD572" i="3"/>
  <c r="BG572" i="3"/>
  <c r="BH572" i="3"/>
  <c r="BI572" i="3"/>
  <c r="BJ572" i="3"/>
  <c r="BK572" i="3"/>
  <c r="BA572" i="3"/>
  <c r="BM572" i="3"/>
  <c r="BN572" i="3"/>
  <c r="BO572" i="3"/>
  <c r="BP572" i="3"/>
  <c r="BQ572" i="3"/>
  <c r="BR572" i="3"/>
  <c r="BS572" i="3"/>
  <c r="BT572" i="3"/>
  <c r="BL572" i="3"/>
  <c r="AZ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B11" i="3"/>
  <c r="BE11" i="3"/>
  <c r="E5" i="6"/>
  <c r="D12" i="11"/>
  <c r="C12" i="11"/>
  <c r="BF10" i="3"/>
  <c r="BD10" i="3"/>
  <c r="BC10" i="3"/>
  <c r="H13" i="3"/>
  <c r="H570"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BA493" i="3"/>
  <c r="BL493" i="3"/>
  <c r="AZ493" i="3"/>
  <c r="BA487" i="3"/>
  <c r="BA19" i="3"/>
  <c r="BA566" i="3"/>
  <c r="BA562" i="3"/>
  <c r="BA560" i="3"/>
  <c r="BA558" i="3"/>
  <c r="BA556" i="3"/>
  <c r="BQ556" i="3"/>
  <c r="BL556" i="3"/>
  <c r="AZ556" i="3"/>
  <c r="BA554" i="3"/>
  <c r="BA550" i="3"/>
  <c r="BQ550" i="3"/>
  <c r="BL550" i="3"/>
  <c r="AZ550" i="3"/>
  <c r="BA546" i="3"/>
  <c r="BA544" i="3"/>
  <c r="BA540" i="3"/>
  <c r="BA536" i="3"/>
  <c r="BA532" i="3"/>
  <c r="BA528" i="3"/>
  <c r="BA524" i="3"/>
  <c r="BA520" i="3"/>
  <c r="BA516" i="3"/>
  <c r="BA512" i="3"/>
  <c r="BA508" i="3"/>
  <c r="BA502" i="3"/>
  <c r="BQ502" i="3"/>
  <c r="BL502" i="3"/>
  <c r="AZ502" i="3"/>
  <c r="BA498" i="3"/>
  <c r="BA492" i="3"/>
  <c r="BA488" i="3"/>
  <c r="BA484" i="3"/>
  <c r="BA20" i="3"/>
  <c r="G566" i="3"/>
  <c r="G562" i="3"/>
  <c r="G560" i="3"/>
  <c r="G558" i="3"/>
  <c r="G556" i="3"/>
  <c r="G554" i="3"/>
  <c r="G550" i="3"/>
  <c r="G546" i="3"/>
  <c r="BL543" i="3"/>
  <c r="AZ543" i="3"/>
  <c r="BA542" i="3"/>
  <c r="BQ542" i="3"/>
  <c r="BL542" i="3"/>
  <c r="AZ542" i="3"/>
  <c r="AC542" i="3"/>
  <c r="G542" i="3"/>
  <c r="BQ568" i="3"/>
  <c r="BQ566" i="3"/>
  <c r="BQ564" i="3"/>
  <c r="BL564" i="3"/>
  <c r="BQ562" i="3"/>
  <c r="BL562" i="3"/>
  <c r="AZ562" i="3"/>
  <c r="BQ560" i="3"/>
  <c r="BL560" i="3"/>
  <c r="BQ558" i="3"/>
  <c r="BL558" i="3"/>
  <c r="BQ554" i="3"/>
  <c r="BQ552" i="3"/>
  <c r="BL552" i="3"/>
  <c r="BQ548" i="3"/>
  <c r="BQ546" i="3"/>
  <c r="BL546" i="3"/>
  <c r="AZ546" i="3"/>
  <c r="BQ544" i="3"/>
  <c r="BL544" i="3"/>
  <c r="AZ544" i="3"/>
  <c r="G544" i="3"/>
  <c r="G538" i="3"/>
  <c r="G534" i="3"/>
  <c r="G530" i="3"/>
  <c r="G526" i="3"/>
  <c r="G522" i="3"/>
  <c r="BQ540" i="3"/>
  <c r="BL540" i="3"/>
  <c r="BQ538" i="3"/>
  <c r="BL538" i="3"/>
  <c r="BQ536" i="3"/>
  <c r="BQ534" i="3"/>
  <c r="BL534" i="3"/>
  <c r="BA534" i="3"/>
  <c r="AZ534" i="3"/>
  <c r="BQ532" i="3"/>
  <c r="BL532" i="3"/>
  <c r="AZ532" i="3"/>
  <c r="BQ530" i="3"/>
  <c r="BQ528" i="3"/>
  <c r="BQ526" i="3"/>
  <c r="BL526" i="3"/>
  <c r="BA526" i="3"/>
  <c r="AZ526" i="3"/>
  <c r="BQ524" i="3"/>
  <c r="BL524" i="3"/>
  <c r="AZ524" i="3"/>
  <c r="BQ522" i="3"/>
  <c r="BQ520" i="3"/>
  <c r="BL520" i="3"/>
  <c r="AZ520" i="3"/>
  <c r="BQ518" i="3"/>
  <c r="BQ516" i="3"/>
  <c r="BL516" i="3"/>
  <c r="AZ516" i="3"/>
  <c r="BQ514" i="3"/>
  <c r="BL514" i="3"/>
  <c r="BA514" i="3"/>
  <c r="AZ514" i="3"/>
  <c r="BQ512" i="3"/>
  <c r="BQ510" i="3"/>
  <c r="BL510" i="3"/>
  <c r="BQ508" i="3"/>
  <c r="BL508" i="3"/>
  <c r="AC506" i="3"/>
  <c r="G506" i="3"/>
  <c r="BQ506" i="3"/>
  <c r="G502" i="3"/>
  <c r="G498" i="3"/>
  <c r="BQ504" i="3"/>
  <c r="BQ500" i="3"/>
  <c r="BL500" i="3"/>
  <c r="BQ498" i="3"/>
  <c r="BQ496" i="3"/>
  <c r="AC494" i="3"/>
  <c r="BQ494"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1" i="3"/>
  <c r="BL361" i="3"/>
  <c r="G362" i="3"/>
  <c r="BA363" i="3"/>
  <c r="G371" i="3"/>
  <c r="BL372" i="3"/>
  <c r="G373" i="3"/>
  <c r="BL374"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8" i="3"/>
  <c r="AZ358" i="3"/>
  <c r="BA359" i="3"/>
  <c r="BL359" i="3"/>
  <c r="AZ359" i="3"/>
  <c r="G360" i="3"/>
  <c r="G361" i="3"/>
  <c r="BL362"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G310" i="3"/>
  <c r="BA310" i="3"/>
  <c r="AZ310" i="3"/>
  <c r="BL311" i="3"/>
  <c r="G312" i="3"/>
  <c r="BA312" i="3"/>
  <c r="AZ312" i="3"/>
  <c r="G314" i="3"/>
  <c r="BA314" i="3"/>
  <c r="AZ314" i="3"/>
  <c r="BL315" i="3"/>
  <c r="G316" i="3"/>
  <c r="BA316" i="3"/>
  <c r="AZ316" i="3"/>
  <c r="G318" i="3"/>
  <c r="BA320" i="3"/>
  <c r="AZ320" i="3"/>
  <c r="BL321" i="3"/>
  <c r="G322" i="3"/>
  <c r="BA324" i="3"/>
  <c r="AZ324" i="3"/>
  <c r="BL325" i="3"/>
  <c r="AZ325" i="3"/>
  <c r="G326" i="3"/>
  <c r="BA328" i="3"/>
  <c r="AZ328" i="3"/>
  <c r="BL329" i="3"/>
  <c r="AZ329" i="3"/>
  <c r="G330" i="3"/>
  <c r="BA332" i="3"/>
  <c r="AZ332" i="3"/>
  <c r="G334" i="3"/>
  <c r="BA336" i="3"/>
  <c r="AZ336" i="3"/>
  <c r="BL337" i="3"/>
  <c r="AZ337" i="3"/>
  <c r="G338" i="3"/>
  <c r="BA340" i="3"/>
  <c r="AZ340" i="3"/>
  <c r="BL341" i="3"/>
  <c r="G342" i="3"/>
  <c r="BA344" i="3"/>
  <c r="AZ344" i="3"/>
  <c r="BL345" i="3"/>
  <c r="AZ345" i="3"/>
  <c r="G346" i="3"/>
  <c r="BA348" i="3"/>
  <c r="AZ348" i="3"/>
  <c r="G350" i="3"/>
  <c r="BA352" i="3"/>
  <c r="AZ352" i="3"/>
  <c r="BL353" i="3"/>
  <c r="G354" i="3"/>
  <c r="BA356" i="3"/>
  <c r="AZ356" i="3"/>
  <c r="G358" i="3"/>
  <c r="BA362" i="3"/>
  <c r="AZ362" i="3"/>
  <c r="BL363" i="3"/>
  <c r="G364" i="3"/>
  <c r="BA366" i="3"/>
  <c r="AZ366" i="3"/>
  <c r="BL367" i="3"/>
  <c r="AZ367" i="3"/>
  <c r="AZ209" i="3"/>
  <c r="AZ213" i="3"/>
  <c r="AZ217" i="3"/>
  <c r="AZ221" i="3"/>
  <c r="AZ225" i="3"/>
  <c r="AZ229" i="3"/>
  <c r="AZ233" i="3"/>
  <c r="AZ237" i="3"/>
  <c r="AZ241" i="3"/>
  <c r="AZ245" i="3"/>
  <c r="AZ321" i="3"/>
  <c r="AZ341" i="3"/>
  <c r="AZ353" i="3"/>
  <c r="AZ363" i="3"/>
  <c r="G368" i="3"/>
  <c r="BA370" i="3"/>
  <c r="AZ370" i="3"/>
  <c r="G372" i="3"/>
  <c r="BA374" i="3"/>
  <c r="AZ374" i="3"/>
  <c r="G376" i="3"/>
  <c r="BA378" i="3"/>
  <c r="AZ378" i="3"/>
  <c r="BL379" i="3"/>
  <c r="AZ379" i="3"/>
  <c r="G380" i="3"/>
  <c r="BA382" i="3"/>
  <c r="AZ382" i="3"/>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AZ539" i="3"/>
  <c r="BA538" i="3"/>
  <c r="AZ538" i="3"/>
  <c r="BL537" i="3"/>
  <c r="BA537" i="3"/>
  <c r="AZ537" i="3"/>
  <c r="BL536" i="3"/>
  <c r="AZ536" i="3"/>
  <c r="BA535" i="3"/>
  <c r="AZ535" i="3"/>
  <c r="BA533" i="3"/>
  <c r="AZ533" i="3"/>
  <c r="BL531" i="3"/>
  <c r="AZ531" i="3"/>
  <c r="BL530" i="3"/>
  <c r="BA530" i="3"/>
  <c r="BL529" i="3"/>
  <c r="BA529" i="3"/>
  <c r="AZ529" i="3"/>
  <c r="BL528" i="3"/>
  <c r="AZ528" i="3"/>
  <c r="BA527" i="3"/>
  <c r="AZ527" i="3"/>
  <c r="BA525" i="3"/>
  <c r="AZ525" i="3"/>
  <c r="BL523" i="3"/>
  <c r="BA523" i="3"/>
  <c r="AZ523" i="3"/>
  <c r="BL522" i="3"/>
  <c r="BA522" i="3"/>
  <c r="AZ522" i="3"/>
  <c r="BL521" i="3"/>
  <c r="AZ521" i="3"/>
  <c r="BA519" i="3"/>
  <c r="AZ519" i="3"/>
  <c r="BL518" i="3"/>
  <c r="BA518" i="3"/>
  <c r="AZ518" i="3"/>
  <c r="BL517" i="3"/>
  <c r="BA517" i="3"/>
  <c r="AZ517" i="3"/>
  <c r="BL515" i="3"/>
  <c r="BA515" i="3"/>
  <c r="BL513" i="3"/>
  <c r="BA513" i="3"/>
  <c r="AZ513" i="3"/>
  <c r="BL512" i="3"/>
  <c r="AZ512" i="3"/>
  <c r="BA511" i="3"/>
  <c r="AZ511" i="3"/>
  <c r="BA510" i="3"/>
  <c r="AZ510" i="3"/>
  <c r="BL509" i="3"/>
  <c r="AZ509" i="3"/>
  <c r="BL507" i="3"/>
  <c r="BA507" i="3"/>
  <c r="AZ507" i="3"/>
  <c r="BL506" i="3"/>
  <c r="BA506" i="3"/>
  <c r="AZ506" i="3"/>
  <c r="BL505" i="3"/>
  <c r="AZ505" i="3"/>
  <c r="BL504" i="3"/>
  <c r="BA504" i="3"/>
  <c r="AZ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S17" i="34"/>
  <c r="AC36" i="33"/>
  <c r="F25" i="40"/>
  <c r="AA25" i="40"/>
  <c r="J11" i="33"/>
  <c r="W11" i="33"/>
  <c r="H33" i="37"/>
  <c r="AB33" i="37"/>
  <c r="W15" i="34"/>
  <c r="AC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F50" i="46"/>
  <c r="H52" i="46"/>
  <c r="C6" i="46"/>
  <c r="I5" i="48"/>
  <c r="K21" i="46"/>
  <c r="F42" i="46"/>
  <c r="D74" i="46"/>
  <c r="D87" i="46"/>
  <c r="D72" i="46"/>
  <c r="A4" i="64"/>
  <c r="A4" i="51"/>
  <c r="C51" i="10"/>
  <c r="A9" i="64"/>
  <c r="H83" i="46"/>
  <c r="H87" i="46"/>
  <c r="AA12" i="36"/>
  <c r="U12" i="35"/>
  <c r="AB12" i="35"/>
  <c r="W11" i="35"/>
  <c r="AA11" i="35"/>
  <c r="S14" i="37"/>
  <c r="U13" i="37"/>
  <c r="S13" i="21"/>
  <c r="C24" i="9"/>
  <c r="C25" i="9"/>
  <c r="B6" i="63"/>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G66" i="36"/>
  <c r="J18" i="36"/>
  <c r="W18" i="36"/>
  <c r="AC18" i="36"/>
  <c r="L20" i="6"/>
  <c r="B21" i="55"/>
  <c r="B72" i="63"/>
  <c r="B20" i="55"/>
  <c r="B70" i="63"/>
  <c r="C45" i="9"/>
  <c r="B7" i="66"/>
  <c r="C44" i="9"/>
  <c r="B6" i="66"/>
  <c r="O40" i="9"/>
  <c r="K31" i="9"/>
  <c r="K32" i="9"/>
  <c r="K29" i="9"/>
  <c r="K30" i="9"/>
  <c r="N76" i="9"/>
  <c r="C46" i="9"/>
  <c r="K33" i="9"/>
  <c r="O41" i="9"/>
  <c r="K34" i="9"/>
  <c r="B8" i="66"/>
  <c r="R8" i="54"/>
  <c r="B54" i="63"/>
  <c r="H61" i="46"/>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T21" i="59"/>
  <c r="S21" i="59"/>
  <c r="D22" i="59"/>
  <c r="V21" i="59"/>
  <c r="D21" i="59"/>
  <c r="D20" i="59"/>
  <c r="D19" i="59"/>
  <c r="C24" i="46"/>
  <c r="C18" i="11"/>
  <c r="AP16" i="1"/>
  <c r="F22" i="11"/>
  <c r="C20" i="46"/>
  <c r="C5" i="46"/>
  <c r="C33" i="46"/>
  <c r="E33" i="46"/>
  <c r="D5" i="46"/>
  <c r="C37" i="46"/>
  <c r="E37" i="46"/>
  <c r="C38" i="46"/>
  <c r="E38" i="46"/>
  <c r="C39" i="46"/>
  <c r="E39" i="46"/>
  <c r="C40" i="46"/>
  <c r="E40" i="46"/>
  <c r="C41" i="46"/>
  <c r="E41" i="46"/>
  <c r="C42" i="46"/>
  <c r="E42" i="46"/>
  <c r="C30" i="46"/>
  <c r="B2" i="46"/>
  <c r="B4" i="46"/>
  <c r="B3" i="46"/>
  <c r="D65" i="46"/>
  <c r="D50" i="46"/>
  <c r="F36" i="44"/>
  <c r="M22" i="44"/>
  <c r="M20" i="15"/>
  <c r="C6" i="12"/>
  <c r="C24" i="12"/>
  <c r="E29" i="6"/>
  <c r="BL13" i="3"/>
  <c r="L19" i="6"/>
  <c r="L27" i="6"/>
  <c r="F30" i="6"/>
  <c r="C7" i="21"/>
  <c r="C58" i="21"/>
  <c r="D58" i="21"/>
  <c r="E58" i="21"/>
  <c r="C7" i="33"/>
  <c r="C58" i="33"/>
  <c r="D58" i="33"/>
  <c r="E58" i="33"/>
  <c r="F58" i="33"/>
  <c r="C7" i="34"/>
  <c r="C59" i="34"/>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H16" i="1"/>
  <c r="G28" i="6"/>
  <c r="G30" i="6"/>
  <c r="G31" i="6"/>
  <c r="G27" i="12"/>
  <c r="G13" i="3"/>
  <c r="Q16" i="1"/>
  <c r="F34" i="44"/>
  <c r="F24" i="43"/>
  <c r="C24" i="43"/>
  <c r="C25" i="43"/>
  <c r="C2" i="65"/>
  <c r="I1" i="65"/>
  <c r="G20" i="43"/>
  <c r="G26" i="12"/>
  <c r="F70" i="9"/>
  <c r="F66" i="9"/>
  <c r="P72" i="9"/>
  <c r="F28" i="15"/>
  <c r="F30" i="44"/>
  <c r="C30" i="44"/>
  <c r="D86" i="9"/>
  <c r="F29" i="12"/>
  <c r="F32" i="15"/>
  <c r="F59" i="15"/>
  <c r="F71" i="9"/>
  <c r="K15" i="1"/>
  <c r="O11" i="1"/>
  <c r="P11" i="1"/>
  <c r="D21" i="12"/>
  <c r="C21" i="12" s="1"/>
  <c r="O6" i="1"/>
  <c r="P6" i="1"/>
  <c r="C15" i="12"/>
  <c r="O7" i="1"/>
  <c r="P7" i="1"/>
  <c r="O12" i="1"/>
  <c r="P12" i="1"/>
  <c r="O10" i="1"/>
  <c r="P10" i="1"/>
  <c r="O9" i="1"/>
  <c r="P9" i="1"/>
  <c r="O13" i="1"/>
  <c r="P13" i="1"/>
  <c r="G6" i="1"/>
  <c r="K17" i="4"/>
  <c r="A22" i="51"/>
  <c r="B16" i="63"/>
  <c r="A25" i="51"/>
  <c r="B18" i="63"/>
  <c r="G10" i="1"/>
  <c r="G13" i="1"/>
  <c r="V13" i="59"/>
  <c r="C95" i="9"/>
  <c r="C92" i="9"/>
  <c r="C25" i="12"/>
  <c r="C15"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K77" i="9"/>
  <c r="K79" i="9"/>
  <c r="K81" i="9"/>
  <c r="D16" i="59"/>
  <c r="X16" i="59"/>
  <c r="Y16" i="59"/>
  <c r="Z16" i="59"/>
  <c r="E7" i="52"/>
  <c r="B5" i="52"/>
  <c r="Y3" i="59"/>
  <c r="Z3" i="59"/>
  <c r="AB17" i="59"/>
  <c r="AA17" i="59"/>
  <c r="D17" i="59"/>
  <c r="Y17" i="59"/>
  <c r="Z17" i="59"/>
  <c r="P26" i="46"/>
  <c r="P28" i="46"/>
  <c r="B67" i="40"/>
  <c r="P27" i="46"/>
  <c r="P29" i="46"/>
  <c r="B72" i="39"/>
  <c r="P25" i="46"/>
  <c r="I54" i="15"/>
  <c r="E83" i="46"/>
  <c r="B81" i="46"/>
  <c r="D26" i="46"/>
  <c r="C25" i="46"/>
  <c r="C29" i="12"/>
  <c r="BA5" i="3"/>
  <c r="E12" i="6"/>
  <c r="J7"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s="1"/>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F33" i="12"/>
  <c r="C34" i="12" s="1"/>
  <c r="D33" i="12" s="1"/>
  <c r="E63" i="39"/>
  <c r="E58" i="40"/>
  <c r="E66" i="39"/>
  <c r="E61" i="40"/>
  <c r="K14" i="1"/>
  <c r="H7" i="34"/>
  <c r="F7" i="34"/>
  <c r="AA7" i="34"/>
  <c r="R49" i="34"/>
  <c r="J7" i="34"/>
  <c r="W7" i="34"/>
  <c r="G16" i="1"/>
  <c r="F7" i="21"/>
  <c r="AA7" i="21"/>
  <c r="R48" i="21"/>
  <c r="H7" i="21"/>
  <c r="AB7" i="21"/>
  <c r="T48" i="21"/>
  <c r="G48" i="21"/>
  <c r="S13" i="59"/>
  <c r="U13" i="59"/>
  <c r="H7" i="35"/>
  <c r="U7" i="35"/>
  <c r="E64" i="40"/>
  <c r="D66" i="40"/>
  <c r="AC7" i="33"/>
  <c r="V48" i="33"/>
  <c r="I48" i="33"/>
  <c r="W7" i="33"/>
  <c r="S7" i="34"/>
  <c r="J7" i="37"/>
  <c r="W7" i="21"/>
  <c r="AC7" i="21"/>
  <c r="V48" i="21"/>
  <c r="I48" i="21"/>
  <c r="D71" i="39"/>
  <c r="E69" i="39"/>
  <c r="AB7" i="34"/>
  <c r="T49" i="34"/>
  <c r="G49" i="34"/>
  <c r="U7" i="34"/>
  <c r="H7" i="33"/>
  <c r="F7" i="33"/>
  <c r="J46" i="36"/>
  <c r="J7" i="35"/>
  <c r="F7" i="35"/>
  <c r="H7" i="37"/>
  <c r="F7" i="37"/>
  <c r="D15" i="59"/>
  <c r="M32" i="46"/>
  <c r="P32" i="46"/>
  <c r="O32" i="46"/>
  <c r="N32" i="46"/>
  <c r="AE12" i="1"/>
  <c r="AE7" i="1"/>
  <c r="AE8" i="1"/>
  <c r="AE9" i="1"/>
  <c r="AE10" i="1"/>
  <c r="AE11" i="1"/>
  <c r="D46" i="9"/>
  <c r="C21" i="4"/>
  <c r="O5" i="54"/>
  <c r="B45" i="63"/>
  <c r="E6" i="6"/>
  <c r="D13" i="11"/>
  <c r="C13" i="11"/>
  <c r="D44" i="9"/>
  <c r="AC7" i="34"/>
  <c r="V49" i="34"/>
  <c r="I49" i="34"/>
  <c r="AG8" i="1"/>
  <c r="AG9" i="1"/>
  <c r="AG11" i="1"/>
  <c r="AG12" i="1"/>
  <c r="AG10" i="1"/>
  <c r="AG7" i="1"/>
  <c r="AG6" i="1"/>
  <c r="D16" i="12"/>
  <c r="L38" i="9"/>
  <c r="B1" i="66"/>
  <c r="C7" i="66"/>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AC12" i="40"/>
  <c r="F12" i="3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D14" i="59"/>
  <c r="C6" i="66"/>
  <c r="C8" i="66"/>
  <c r="E31" i="6"/>
  <c r="K21" i="6"/>
  <c r="S8" i="1"/>
  <c r="G43" i="35"/>
  <c r="H43" i="35"/>
  <c r="K26" i="6"/>
  <c r="M26" i="6"/>
  <c r="I26" i="6"/>
  <c r="S26" i="6"/>
  <c r="K20" i="6"/>
  <c r="M20" i="6"/>
  <c r="I20" i="6"/>
  <c r="S20" i="6"/>
  <c r="M21" i="6"/>
  <c r="I21" i="6"/>
  <c r="S21" i="6"/>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C8" i="59"/>
  <c r="T13"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D13" i="59"/>
  <c r="S7" i="1"/>
  <c r="M25" i="6"/>
  <c r="I25" i="6"/>
  <c r="S25" i="6"/>
  <c r="S12" i="1"/>
  <c r="M22" i="6"/>
  <c r="I22" i="6"/>
  <c r="S22" i="6"/>
  <c r="S9" i="1"/>
  <c r="M24" i="6"/>
  <c r="I24" i="6"/>
  <c r="S24" i="6"/>
  <c r="S11" i="1"/>
  <c r="M23" i="6"/>
  <c r="I23" i="6"/>
  <c r="S23" i="6"/>
  <c r="S10" i="1"/>
  <c r="S16" i="1"/>
  <c r="M27" i="6"/>
  <c r="I19" i="6"/>
  <c r="E6" i="3"/>
  <c r="F8" i="59"/>
  <c r="C7" i="59"/>
  <c r="D8" i="59"/>
  <c r="D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7" i="12" s="1"/>
  <c r="O16" i="1"/>
  <c r="L16" i="1"/>
  <c r="C13" i="43"/>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D66" i="9"/>
  <c r="N72" i="9"/>
  <c r="B5" i="66"/>
  <c r="E14" i="66"/>
  <c r="F14" i="66"/>
  <c r="T11" i="1"/>
  <c r="T9" i="1"/>
  <c r="T10" i="1"/>
  <c r="T13" i="1"/>
  <c r="T6" i="1"/>
  <c r="T8" i="1"/>
  <c r="T12" i="1"/>
  <c r="T7" i="1"/>
  <c r="I27" i="6"/>
  <c r="S19" i="6"/>
  <c r="S27" i="6"/>
  <c r="H19" i="6"/>
  <c r="R19" i="6"/>
  <c r="R24" i="6"/>
  <c r="R11" i="1"/>
  <c r="R26" i="6"/>
  <c r="C6" i="59"/>
  <c r="D7" i="59"/>
  <c r="F7" i="59"/>
  <c r="B8" i="59"/>
  <c r="E8" i="59"/>
  <c r="R25" i="6"/>
  <c r="R12" i="1"/>
  <c r="R21" i="6"/>
  <c r="R8" i="1"/>
  <c r="D27" i="6"/>
  <c r="D31" i="6"/>
  <c r="A20" i="64"/>
  <c r="A6" i="64"/>
  <c r="A20" i="51"/>
  <c r="B15" i="63"/>
  <c r="N5" i="54"/>
  <c r="B43" i="63"/>
  <c r="A6" i="51"/>
  <c r="B7" i="63"/>
  <c r="D6" i="66"/>
  <c r="D8" i="66"/>
  <c r="D7" i="66"/>
  <c r="D16" i="6"/>
  <c r="R23" i="6"/>
  <c r="R10" i="1"/>
  <c r="R20" i="6"/>
  <c r="R7" i="1"/>
  <c r="R6" i="1"/>
  <c r="C14" i="43"/>
  <c r="C14" i="12"/>
  <c r="I64" i="40"/>
  <c r="H66" i="40"/>
  <c r="H71" i="39"/>
  <c r="I69" i="39"/>
  <c r="N46" i="36"/>
  <c r="D5" i="66"/>
  <c r="C5" i="66"/>
  <c r="R27" i="6"/>
  <c r="H27" i="6"/>
  <c r="T16" i="1"/>
  <c r="E7" i="59"/>
  <c r="B7" i="59"/>
  <c r="F6" i="59"/>
  <c r="D6" i="59"/>
  <c r="C5" i="59"/>
  <c r="I6" i="6"/>
  <c r="I5" i="6"/>
  <c r="R16" i="1"/>
  <c r="O46" i="36"/>
  <c r="J7" i="36"/>
  <c r="F7" i="36"/>
  <c r="H7" i="36"/>
  <c r="J64" i="40"/>
  <c r="I66" i="40"/>
  <c r="J69" i="39"/>
  <c r="I71" i="39"/>
  <c r="D5" i="59"/>
  <c r="T5" i="59"/>
  <c r="F5" i="59"/>
  <c r="V5" i="59"/>
  <c r="B6" i="59"/>
  <c r="E6" i="59"/>
  <c r="K69" i="39"/>
  <c r="J71" i="39"/>
  <c r="U7" i="36"/>
  <c r="AB7" i="36"/>
  <c r="T36" i="36"/>
  <c r="G36" i="36"/>
  <c r="AC7" i="36"/>
  <c r="V36" i="36"/>
  <c r="I36" i="36"/>
  <c r="W7" i="36"/>
  <c r="J66" i="40"/>
  <c r="K64" i="40"/>
  <c r="S7" i="36"/>
  <c r="AA7" i="36"/>
  <c r="R36" i="36"/>
  <c r="E5" i="59"/>
  <c r="U5" i="59"/>
  <c r="B5" i="59"/>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L46" i="15"/>
  <c r="E21" i="46"/>
  <c r="D4" i="46"/>
  <c r="C34" i="46"/>
  <c r="E34" i="46"/>
  <c r="G37" i="46"/>
  <c r="I37" i="46"/>
  <c r="G38" i="46"/>
  <c r="I38" i="46"/>
  <c r="G39" i="46"/>
  <c r="I39" i="46"/>
  <c r="G40" i="46"/>
  <c r="I40" i="46"/>
  <c r="G41" i="46"/>
  <c r="I41" i="46"/>
  <c r="G42" i="46"/>
  <c r="I42" i="46"/>
  <c r="C31"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C21" i="9"/>
  <c r="J3" i="65"/>
  <c r="F42" i="15"/>
  <c r="F43" i="15"/>
  <c r="M10" i="44"/>
  <c r="F7" i="15"/>
  <c r="M11" i="44"/>
  <c r="E14" i="67"/>
  <c r="F10" i="44"/>
  <c r="F9" i="67"/>
  <c r="J17" i="44"/>
  <c r="B11" i="67"/>
  <c r="F14" i="67"/>
  <c r="M26" i="44"/>
  <c r="M8" i="44"/>
  <c r="J6" i="65"/>
  <c r="L48" i="44"/>
  <c r="F39" i="44"/>
  <c r="M31" i="44"/>
  <c r="B10" i="67"/>
  <c r="J15" i="15"/>
  <c r="N5" i="65"/>
  <c r="M29" i="15"/>
  <c r="E11" i="67"/>
  <c r="F8" i="44"/>
  <c r="M25" i="44"/>
  <c r="N3" i="65"/>
  <c r="M24" i="44"/>
  <c r="M8" i="15"/>
  <c r="B13" i="67"/>
  <c r="J36" i="15"/>
  <c r="E10" i="67"/>
  <c r="C19" i="9"/>
  <c r="C20" i="9"/>
  <c r="F11" i="44"/>
  <c r="F38" i="44"/>
  <c r="F38" i="15"/>
  <c r="F13" i="67"/>
  <c r="M22" i="15"/>
  <c r="M28" i="44"/>
  <c r="N6" i="65"/>
  <c r="L49" i="44"/>
  <c r="L47" i="15"/>
  <c r="F10" i="67"/>
  <c r="J5" i="65"/>
  <c r="I3" i="65"/>
  <c r="B9" i="67"/>
  <c r="J7" i="65"/>
  <c r="M28" i="15"/>
  <c r="F37" i="15"/>
  <c r="F18" i="44"/>
  <c r="F8" i="15"/>
  <c r="F16" i="15"/>
  <c r="B14" i="67"/>
  <c r="I4" i="65"/>
  <c r="F11" i="67"/>
  <c r="F9" i="15"/>
  <c r="F13" i="15"/>
  <c r="F43" i="44"/>
  <c r="E9" i="67"/>
  <c r="I6" i="65"/>
  <c r="F36" i="15"/>
  <c r="F6" i="15"/>
  <c r="E12" i="67"/>
  <c r="F28" i="44"/>
  <c r="F8" i="67"/>
  <c r="AE6" i="1"/>
  <c r="F46" i="44"/>
  <c r="M29" i="44"/>
  <c r="C19" i="44"/>
  <c r="B7" i="67"/>
  <c r="M23" i="44"/>
  <c r="M21" i="15"/>
  <c r="F35" i="15"/>
  <c r="J4" i="65"/>
  <c r="B8" i="67"/>
  <c r="N7" i="65"/>
  <c r="M26" i="15"/>
  <c r="E13" i="67"/>
  <c r="M6" i="15"/>
  <c r="I7" i="65"/>
  <c r="M9" i="15"/>
  <c r="F9" i="44"/>
  <c r="F40" i="15"/>
  <c r="F26" i="15"/>
  <c r="F15" i="44"/>
  <c r="M27" i="15"/>
  <c r="C16" i="44"/>
  <c r="C14" i="15"/>
  <c r="B12" i="67"/>
  <c r="M24" i="15"/>
  <c r="N4" i="65"/>
  <c r="F40" i="44"/>
  <c r="M30" i="44"/>
  <c r="M23" i="15"/>
  <c r="E8" i="67"/>
  <c r="L48" i="15"/>
  <c r="I5" i="65"/>
  <c r="E2" i="65" s="1"/>
  <c r="F12" i="67"/>
  <c r="F45" i="44"/>
  <c r="F41" i="15"/>
  <c r="F7" i="67"/>
  <c r="E7" i="67"/>
  <c r="F37" i="44"/>
  <c r="B14" i="52" l="1"/>
  <c r="B8" i="52"/>
  <c r="E14" i="52"/>
  <c r="B12" i="52"/>
  <c r="B10" i="52"/>
  <c r="E4" i="52"/>
  <c r="E11" i="52"/>
  <c r="C36" i="44"/>
  <c r="E3" i="67"/>
  <c r="E4" i="67"/>
  <c r="F68" i="15"/>
  <c r="B40" i="1"/>
  <c r="J53" i="15"/>
  <c r="L56" i="15"/>
  <c r="J57" i="15"/>
  <c r="J55" i="15" s="1"/>
  <c r="J58" i="15" s="1"/>
  <c r="Q51" i="15" s="1"/>
  <c r="J59" i="15"/>
  <c r="L60" i="15"/>
  <c r="L57" i="15"/>
  <c r="J60" i="15"/>
  <c r="Q49" i="15" s="1"/>
  <c r="C4" i="65"/>
  <c r="B39" i="1" s="1"/>
  <c r="C15" i="15"/>
  <c r="C19" i="15"/>
  <c r="C18" i="15"/>
  <c r="C17" i="44"/>
  <c r="C20" i="44"/>
  <c r="C27" i="15"/>
  <c r="F67" i="15"/>
  <c r="M9" i="44"/>
  <c r="J8" i="44" s="1"/>
  <c r="F48" i="15"/>
  <c r="C34" i="15"/>
  <c r="F62" i="15"/>
  <c r="C61" i="15" s="1"/>
  <c r="J20" i="15"/>
  <c r="J22" i="44"/>
  <c r="B2" i="67"/>
  <c r="C29" i="44"/>
  <c r="F31" i="15"/>
  <c r="C6" i="15"/>
  <c r="F63" i="15"/>
  <c r="Q73" i="44"/>
  <c r="F50" i="15"/>
  <c r="F64" i="15"/>
  <c r="J1" i="65"/>
  <c r="L59" i="15"/>
  <c r="L58" i="15"/>
  <c r="I55" i="44"/>
  <c r="L57" i="44"/>
  <c r="J58" i="44"/>
  <c r="J56" i="44" s="1"/>
  <c r="J59" i="44" s="1"/>
  <c r="Q52" i="44" s="1"/>
  <c r="J54" i="44"/>
  <c r="F65" i="15"/>
  <c r="L43" i="9"/>
  <c r="Q72" i="15"/>
  <c r="F33" i="44"/>
  <c r="C8" i="44"/>
  <c r="L60" i="44"/>
  <c r="L59" i="44"/>
  <c r="M19" i="44"/>
  <c r="M7" i="15"/>
  <c r="J6" i="15" s="1"/>
  <c r="F49" i="15"/>
  <c r="F70" i="15"/>
  <c r="C17" i="43"/>
  <c r="C18" i="43" s="1"/>
  <c r="D19" i="12"/>
  <c r="C19" i="12" s="1"/>
  <c r="C16" i="12"/>
  <c r="C18" i="12" s="1"/>
  <c r="C20" i="12"/>
  <c r="B15" i="52"/>
  <c r="E12" i="52"/>
  <c r="B7" i="52"/>
  <c r="E6" i="52"/>
  <c r="E9" i="52"/>
  <c r="B9" i="52"/>
  <c r="E13" i="52"/>
  <c r="E10" i="52"/>
  <c r="B6" i="52"/>
  <c r="B11" i="52"/>
  <c r="E8" i="52"/>
  <c r="E5" i="52"/>
  <c r="C16" i="15"/>
  <c r="C18" i="44"/>
  <c r="E3" i="65"/>
  <c r="C17" i="15"/>
  <c r="F17" i="11" l="1"/>
  <c r="C17" i="11" s="1"/>
  <c r="C19" i="11" s="1"/>
  <c r="C21" i="44"/>
  <c r="J18" i="15"/>
  <c r="J19" i="15"/>
  <c r="J20" i="44"/>
  <c r="J21" i="44"/>
  <c r="Q75" i="44"/>
  <c r="Q62" i="44"/>
  <c r="C34" i="44"/>
  <c r="C35" i="44"/>
  <c r="Q54" i="44"/>
  <c r="F1" i="44"/>
  <c r="J60" i="44"/>
  <c r="J61" i="44" s="1"/>
  <c r="Q62" i="15"/>
  <c r="Q75" i="15"/>
  <c r="C32" i="15"/>
  <c r="C33" i="15"/>
  <c r="F58" i="15"/>
  <c r="C48" i="15"/>
  <c r="M17" i="15"/>
  <c r="C20" i="15"/>
  <c r="C26" i="15" s="1"/>
  <c r="M13" i="44"/>
  <c r="J12" i="44" s="1"/>
  <c r="J7" i="44" s="1"/>
  <c r="F11" i="15"/>
  <c r="F13" i="44"/>
  <c r="C12" i="44" s="1"/>
  <c r="C7" i="44" s="1"/>
  <c r="M11" i="15"/>
  <c r="J10" i="15" s="1"/>
  <c r="J5" i="15" s="1"/>
  <c r="L36" i="46"/>
  <c r="F20" i="43"/>
  <c r="D20" i="43" s="1"/>
  <c r="F26" i="12"/>
  <c r="C27" i="12" s="1"/>
  <c r="D26" i="12" s="1"/>
  <c r="C32" i="12" s="1"/>
  <c r="D30" i="12" s="1"/>
  <c r="F24" i="15"/>
  <c r="C24" i="15" s="1"/>
  <c r="F26" i="44"/>
  <c r="C26" i="44" s="1"/>
  <c r="C23" i="12"/>
  <c r="C19" i="43"/>
  <c r="C21" i="43" s="1"/>
  <c r="Q63" i="44"/>
  <c r="Q76" i="44"/>
  <c r="Q61" i="15"/>
  <c r="Q74" i="15"/>
  <c r="B3" i="67"/>
  <c r="B4" i="67"/>
  <c r="Q58" i="15"/>
  <c r="Q67" i="15"/>
  <c r="F1" i="15"/>
  <c r="Q53" i="15"/>
  <c r="C20" i="43" l="1"/>
  <c r="C23" i="43" s="1"/>
  <c r="C27" i="43" s="1"/>
  <c r="B2" i="43" s="1"/>
  <c r="C28" i="12"/>
  <c r="C26" i="12" s="1"/>
  <c r="C31" i="12" s="1"/>
  <c r="C30" i="12" s="1"/>
  <c r="J19" i="44"/>
  <c r="C35" i="12"/>
  <c r="C33" i="12" s="1"/>
  <c r="C36" i="12" s="1"/>
  <c r="B2" i="12" s="1"/>
  <c r="B4" i="12" s="1"/>
  <c r="C40" i="44"/>
  <c r="J26" i="44"/>
  <c r="J28" i="44"/>
  <c r="J31" i="44" s="1"/>
  <c r="J24" i="15"/>
  <c r="J26" i="15"/>
  <c r="J29" i="15" s="1"/>
  <c r="O36" i="46"/>
  <c r="L37" i="46"/>
  <c r="N36" i="46"/>
  <c r="Q36" i="46"/>
  <c r="P36" i="46"/>
  <c r="M36" i="46"/>
  <c r="C10" i="15"/>
  <c r="C5" i="15" s="1"/>
  <c r="C52" i="15"/>
  <c r="C47" i="15" s="1"/>
  <c r="C23" i="15"/>
  <c r="C29" i="15" s="1"/>
  <c r="Q50" i="44"/>
  <c r="L47" i="44"/>
  <c r="C22" i="44"/>
  <c r="C28" i="44"/>
  <c r="C25" i="44"/>
  <c r="C60" i="15"/>
  <c r="C31" i="15"/>
  <c r="C33" i="44"/>
  <c r="J17" i="15"/>
  <c r="C20" i="11"/>
  <c r="C21" i="11" s="1"/>
  <c r="C22" i="11" s="1"/>
  <c r="C23" i="11" s="1"/>
  <c r="B2" i="11" s="1"/>
  <c r="D19" i="9"/>
  <c r="B4" i="43" l="1"/>
  <c r="B3" i="43"/>
  <c r="B5" i="43"/>
  <c r="B3" i="12"/>
  <c r="B5" i="12"/>
  <c r="C31" i="44"/>
  <c r="L44" i="9"/>
  <c r="G19" i="9"/>
  <c r="D22" i="9"/>
  <c r="C38" i="44"/>
  <c r="J16" i="44"/>
  <c r="Q51" i="44"/>
  <c r="C15" i="44"/>
  <c r="C65" i="15"/>
  <c r="C59" i="15"/>
  <c r="C58" i="15" s="1"/>
  <c r="B3" i="11"/>
  <c r="B4" i="11"/>
  <c r="B5" i="11"/>
  <c r="C36" i="15"/>
  <c r="C56" i="15"/>
  <c r="C63" i="15" s="1"/>
  <c r="Q50" i="15"/>
  <c r="C13" i="15"/>
  <c r="J14" i="15"/>
  <c r="P37" i="46"/>
  <c r="M37" i="46"/>
  <c r="N37" i="46"/>
  <c r="O37" i="46"/>
  <c r="Q37" i="46"/>
  <c r="C38" i="15"/>
  <c r="Q49" i="44"/>
  <c r="Q55" i="44" s="1"/>
  <c r="Q67" i="44"/>
  <c r="Q58" i="44"/>
  <c r="D20" i="9"/>
  <c r="D21" i="9"/>
  <c r="G21" i="9" l="1"/>
  <c r="C65" i="72" s="1"/>
  <c r="C72" i="72" s="1"/>
  <c r="C73" i="72" s="1"/>
  <c r="C74" i="72" s="1"/>
  <c r="G20" i="9"/>
  <c r="C32" i="9"/>
  <c r="N43" i="9"/>
  <c r="G22" i="9"/>
  <c r="J22" i="15"/>
  <c r="J13" i="15"/>
  <c r="J23" i="15" s="1"/>
  <c r="C37" i="15"/>
  <c r="C30" i="15" s="1"/>
  <c r="C39" i="15" s="1"/>
  <c r="Q71" i="15"/>
  <c r="J35" i="15"/>
  <c r="J39" i="15" s="1"/>
  <c r="J40" i="15" s="1"/>
  <c r="C55" i="15"/>
  <c r="C64" i="15" s="1"/>
  <c r="C57" i="15" s="1"/>
  <c r="C66" i="15" s="1"/>
  <c r="C67" i="15" s="1"/>
  <c r="C39" i="44"/>
  <c r="C32" i="44" s="1"/>
  <c r="C42" i="44" s="1"/>
  <c r="Q72" i="44"/>
  <c r="C43" i="44"/>
  <c r="J24" i="44"/>
  <c r="J15" i="44"/>
  <c r="J25" i="44" s="1"/>
  <c r="J18" i="44" l="1"/>
  <c r="J27" i="44" s="1"/>
  <c r="C44" i="44"/>
  <c r="C45" i="44" s="1"/>
  <c r="Q71" i="44"/>
  <c r="Q70" i="44" s="1"/>
  <c r="C70" i="15"/>
  <c r="Q70" i="15"/>
  <c r="Q69" i="15" s="1"/>
  <c r="C40" i="15"/>
  <c r="C46" i="15" s="1"/>
  <c r="C42" i="9"/>
  <c r="C33" i="9"/>
  <c r="C35" i="9"/>
  <c r="F42" i="9" s="1"/>
  <c r="O38" i="9"/>
  <c r="C34" i="9"/>
  <c r="O43" i="9"/>
  <c r="J16" i="15"/>
  <c r="J25" i="15" s="1"/>
  <c r="L51" i="15"/>
  <c r="Q68" i="15" l="1"/>
  <c r="E42" i="9"/>
  <c r="P5" i="54" s="1"/>
  <c r="B46" i="63" s="1"/>
  <c r="M38" i="9"/>
  <c r="K27" i="9" s="1"/>
  <c r="N68" i="9"/>
  <c r="R5" i="54"/>
  <c r="B48" i="63" s="1"/>
  <c r="D63" i="9"/>
  <c r="K25" i="9"/>
  <c r="K26" i="9"/>
  <c r="N38" i="9"/>
  <c r="K28" i="9" s="1"/>
  <c r="D42" i="9"/>
  <c r="Q5" i="54" s="1"/>
  <c r="B47" i="63" s="1"/>
  <c r="Q57" i="15"/>
  <c r="Q63" i="15" s="1"/>
  <c r="Q66" i="15"/>
  <c r="Q76" i="15" s="1"/>
  <c r="Q48" i="15"/>
  <c r="Q54" i="15" s="1"/>
  <c r="B2" i="15"/>
  <c r="B3" i="15" s="1"/>
  <c r="C43" i="15"/>
  <c r="J42" i="15"/>
  <c r="J43" i="15" s="1"/>
  <c r="B2" i="44"/>
  <c r="L52" i="44"/>
  <c r="Q69" i="44" l="1"/>
  <c r="L58" i="44"/>
  <c r="L61" i="44" s="1"/>
  <c r="C103" i="9"/>
  <c r="C90" i="9"/>
  <c r="C111" i="9"/>
  <c r="C104" i="9" s="1"/>
  <c r="C82" i="9"/>
  <c r="C81" i="9" s="1"/>
  <c r="C85" i="9" s="1"/>
  <c r="C86" i="9" s="1"/>
  <c r="D72" i="9" s="1"/>
  <c r="D71" i="9"/>
  <c r="C96" i="9"/>
  <c r="C91" i="9" s="1"/>
  <c r="D70" i="9"/>
  <c r="D73" i="9"/>
  <c r="N73" i="9" s="1"/>
  <c r="B3" i="44"/>
  <c r="B4" i="44"/>
  <c r="B5" i="44"/>
  <c r="C97" i="9" l="1"/>
  <c r="Q59" i="44"/>
  <c r="Q64" i="44" s="1"/>
  <c r="Q68" i="44"/>
  <c r="Q77" i="44" s="1"/>
  <c r="C113" i="9"/>
  <c r="C98" i="9" l="1"/>
  <c r="E98" i="9" s="1"/>
  <c r="E99" i="9" s="1"/>
  <c r="C114" i="9"/>
  <c r="E114" i="9" s="1"/>
  <c r="E115" i="9" s="1"/>
  <c r="C115" i="9" l="1"/>
  <c r="D76" i="9" s="1"/>
  <c r="D74" i="9" s="1"/>
  <c r="N74" i="9" s="1"/>
  <c r="O77" i="9" s="1"/>
  <c r="O78" i="9" s="1"/>
  <c r="C99" i="9"/>
  <c r="O79" i="9" l="1"/>
  <c r="O80" i="9" s="1"/>
  <c r="Q77"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kg</author>
    <author>穆全银</author>
  </authors>
  <commentList>
    <comment ref="C1" authorId="0" shapeId="0" xr:uid="{DBA4EE9C-8D19-4991-9C37-13929A77AD51}">
      <text>
        <r>
          <rPr>
            <b/>
            <sz val="9"/>
            <color indexed="81"/>
            <rFont val="宋体"/>
            <family val="3"/>
            <charset val="134"/>
          </rPr>
          <t>kg:</t>
        </r>
        <r>
          <rPr>
            <sz val="9"/>
            <color indexed="81"/>
            <rFont val="宋体"/>
            <family val="3"/>
            <charset val="134"/>
          </rPr>
          <t xml:space="preserve">
审定时间（年、月）</t>
        </r>
      </text>
    </comment>
    <comment ref="L5" authorId="1" shapeId="0" xr:uid="{96E8505E-A253-4AC4-8789-C63DE150C1ED}">
      <text>
        <r>
          <rPr>
            <sz val="9"/>
            <color indexed="81"/>
            <rFont val="宋体"/>
            <family val="3"/>
            <charset val="134"/>
          </rPr>
          <t>穆全银:
地块总建设用地面积为 10000 平方米</t>
        </r>
      </text>
    </comment>
    <comment ref="M5" authorId="1" shapeId="0" xr:uid="{A8E5BF49-C5B8-4E8D-A24D-A6D8A4447E44}">
      <text>
        <r>
          <rPr>
            <sz val="9"/>
            <color indexed="81"/>
            <rFont val="宋体"/>
            <family val="3"/>
            <charset val="134"/>
          </rPr>
          <t>穆全银:
地块规模</t>
        </r>
      </text>
    </comment>
    <comment ref="O10" authorId="0" shapeId="0" xr:uid="{07BE693A-53EC-471B-9FC4-9FAA89D3A147}">
      <text>
        <r>
          <rPr>
            <b/>
            <sz val="9"/>
            <color indexed="81"/>
            <rFont val="宋体"/>
            <family val="3"/>
            <charset val="134"/>
          </rPr>
          <t>kg:</t>
        </r>
        <r>
          <rPr>
            <sz val="9"/>
            <color indexed="81"/>
            <rFont val="宋体"/>
            <family val="3"/>
            <charset val="134"/>
          </rPr>
          <t xml:space="preserve">
各地块的征地补偿及相关税费、拆迁补偿及相关费用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<sst xmlns="http://schemas.openxmlformats.org/spreadsheetml/2006/main" count="7411" uniqueCount="3364">
  <si>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</si>
  <si>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</si>
  <si>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</si>
  <si>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</si>
  <si>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</si>
  <si>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</si>
  <si>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</si>
  <si>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</si>
  <si>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</si>
  <si>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</si>
  <si>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</si>
  <si>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</si>
  <si>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</si>
  <si>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</si>
  <si>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</si>
  <si>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</si>
  <si>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</si>
  <si>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</si>
  <si>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</si>
  <si>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</si>
  <si>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</si>
  <si>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</si>
  <si>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</si>
  <si>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</si>
  <si>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</si>
  <si>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</si>
  <si>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</si>
  <si>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</si>
  <si>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</si>
  <si>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</si>
  <si>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</si>
  <si>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</si>
  <si>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</si>
  <si>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</si>
  <si>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</si>
  <si>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</si>
  <si>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</si>
  <si>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</si>
  <si>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</si>
  <si>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</si>
  <si>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</si>
  <si>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</si>
  <si>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</si>
  <si>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</si>
  <si>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</si>
  <si>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</si>
  <si>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</si>
  <si>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</si>
  <si>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</si>
  <si>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</si>
  <si>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</si>
  <si>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</si>
  <si>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</si>
  <si>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</si>
  <si>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</si>
  <si>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</si>
  <si>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</si>
  <si>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</si>
  <si>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</si>
  <si>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</si>
  <si>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</si>
  <si>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</si>
  <si>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</si>
  <si>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</si>
  <si>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</si>
  <si>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</si>
  <si>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</si>
  <si>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</si>
  <si>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</si>
  <si>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</si>
  <si>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</si>
  <si>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</si>
  <si>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</si>
  <si>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</si>
  <si>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</si>
  <si>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</si>
  <si>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</si>
  <si>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</si>
  <si>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</si>
  <si>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</si>
  <si>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</si>
  <si>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</si>
  <si>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</si>
  <si>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</si>
  <si>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</si>
  <si>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</si>
  <si>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</si>
  <si>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</si>
  <si>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</si>
  <si>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</si>
  <si>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</si>
  <si>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</si>
  <si>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</si>
  <si>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</si>
  <si>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</si>
  <si>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</si>
  <si>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</si>
  <si>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</si>
  <si>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</si>
  <si>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</si>
  <si>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</si>
  <si>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</si>
  <si>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</si>
  <si>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</si>
  <si>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</si>
  <si>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</si>
  <si>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</si>
  <si>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</si>
  <si>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</si>
  <si>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</si>
  <si>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</si>
  <si>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</si>
  <si>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</si>
  <si>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</si>
  <si>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</si>
  <si>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</si>
  <si>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</si>
  <si>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</si>
  <si>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</si>
  <si>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</si>
  <si>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</si>
  <si>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</si>
  <si>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</si>
  <si>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</si>
  <si>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</si>
  <si>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</si>
  <si>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</si>
  <si>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</si>
  <si>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</si>
  <si>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</si>
  <si>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</si>
  <si>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</si>
  <si>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</si>
  <si>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</si>
  <si>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</si>
  <si>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</si>
  <si>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</si>
  <si>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</si>
  <si>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</si>
  <si>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</si>
  <si>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</si>
  <si>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</si>
  <si>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</si>
  <si>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</si>
  <si>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</si>
  <si>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</si>
  <si>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</si>
  <si>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</si>
  <si>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</si>
  <si>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</si>
  <si>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</si>
  <si>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</si>
  <si>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</si>
  <si>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</si>
  <si>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</si>
  <si>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</si>
  <si>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</si>
  <si>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</si>
  <si>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</si>
  <si>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</si>
  <si>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</si>
  <si>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</si>
  <si>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</si>
  <si>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</si>
  <si>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</si>
  <si>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</si>
  <si>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</si>
  <si>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</si>
  <si>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</si>
  <si>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</si>
  <si>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</si>
  <si>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</si>
  <si>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</si>
  <si>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</si>
  <si>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</si>
  <si>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</si>
  <si>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</si>
  <si>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</si>
  <si>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</si>
  <si>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</si>
  <si>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</si>
  <si>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</si>
  <si>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</si>
  <si>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</si>
  <si>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</si>
  <si>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</si>
  <si>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</si>
  <si>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</si>
  <si>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</si>
  <si>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</si>
  <si>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</si>
  <si>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</si>
  <si>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</si>
  <si>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</si>
  <si>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</si>
  <si>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</si>
  <si>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</si>
  <si>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</si>
  <si>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</si>
  <si>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</si>
  <si>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</si>
  <si>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</si>
  <si>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</si>
  <si>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</si>
  <si>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</si>
  <si>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</si>
  <si>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</si>
  <si>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</si>
  <si>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</si>
  <si>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</si>
  <si>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</si>
  <si>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</si>
  <si>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</si>
  <si>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</si>
  <si>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</si>
  <si>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</si>
  <si>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</si>
  <si>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</si>
  <si>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</si>
  <si>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</si>
  <si>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</si>
  <si>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</si>
  <si>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</si>
  <si>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</si>
  <si>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</si>
  <si>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</si>
  <si>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</si>
  <si>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</si>
  <si>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</si>
  <si>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</si>
  <si>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</si>
  <si>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</si>
  <si>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</si>
  <si>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</si>
  <si>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</si>
  <si>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</si>
  <si>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</si>
  <si>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</si>
  <si>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</si>
  <si>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</si>
  <si>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</si>
  <si>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</si>
  <si>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</si>
  <si>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</si>
  <si>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</si>
  <si>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</si>
  <si>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</si>
  <si>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</si>
  <si>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</si>
  <si>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</si>
  <si>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</si>
  <si>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</si>
  <si>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</si>
  <si>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</si>
  <si>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</si>
  <si>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</si>
  <si>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</si>
  <si>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</si>
  <si>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</si>
  <si>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</si>
  <si>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</si>
  <si>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</si>
  <si>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</si>
  <si>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</si>
  <si>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</si>
  <si>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</si>
  <si>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</si>
  <si>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</si>
  <si>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</si>
  <si>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</si>
  <si>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</si>
  <si>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</si>
  <si>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</si>
  <si>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</si>
  <si>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</si>
  <si>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</si>
  <si>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</si>
  <si>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</si>
  <si>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</si>
  <si>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</si>
  <si>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</si>
  <si>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</si>
  <si>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</si>
  <si>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</si>
  <si>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</si>
  <si>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</si>
  <si>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</si>
  <si>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</si>
  <si>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</si>
  <si>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</si>
  <si>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</si>
  <si>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</si>
  <si>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</si>
  <si>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</si>
  <si>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</si>
  <si>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</si>
  <si>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</si>
  <si>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</si>
  <si>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</si>
  <si>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</si>
  <si>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</si>
  <si>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</si>
  <si>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</si>
  <si>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</si>
  <si>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</si>
  <si>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</si>
  <si>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</si>
  <si>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</si>
  <si>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</si>
  <si>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</si>
  <si>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</si>
  <si>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</si>
  <si>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</si>
  <si>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</si>
  <si>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</si>
  <si>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</si>
  <si>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</si>
  <si>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</si>
  <si>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</si>
  <si>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</si>
  <si>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</si>
  <si>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</si>
  <si>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</si>
  <si>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</si>
  <si>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</si>
  <si>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</si>
  <si>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</si>
  <si>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</si>
  <si>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</si>
  <si>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</si>
  <si>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</si>
  <si>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</si>
  <si>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</si>
  <si>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</si>
  <si>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</si>
  <si>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</si>
  <si>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</si>
  <si>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</si>
  <si>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</si>
  <si>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</si>
  <si>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</si>
  <si>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</si>
  <si>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</si>
  <si>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</si>
  <si>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</si>
  <si>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</si>
  <si>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</si>
  <si>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</si>
  <si>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</si>
  <si>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</si>
  <si>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</si>
  <si>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</si>
  <si>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</si>
  <si>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</si>
  <si>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</si>
  <si>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</si>
  <si>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</si>
  <si>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</si>
  <si>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</si>
  <si>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</si>
  <si>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</si>
  <si>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</si>
  <si>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</si>
  <si>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</si>
  <si>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</si>
  <si>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</si>
  <si>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</si>
  <si>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</si>
  <si>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</si>
  <si>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</si>
  <si>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</si>
  <si>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</si>
  <si>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</si>
  <si>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</si>
  <si>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</si>
  <si>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</si>
  <si>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</si>
  <si>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</si>
  <si>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</si>
  <si>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</si>
  <si>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</si>
  <si>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</si>
  <si>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</si>
  <si>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</si>
  <si>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</si>
  <si>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</si>
  <si>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</si>
  <si>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</si>
  <si>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</si>
  <si>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</si>
  <si>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</si>
  <si>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</si>
  <si>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</si>
  <si>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</si>
  <si>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</si>
  <si>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</si>
  <si>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</si>
  <si>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</si>
  <si>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</si>
  <si>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</si>
  <si>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</si>
  <si>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</si>
  <si>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</si>
  <si>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</si>
  <si>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</si>
  <si>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</si>
  <si>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</si>
  <si>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</si>
  <si>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</si>
  <si>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</si>
  <si>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</si>
  <si>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</si>
  <si>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</si>
  <si>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</si>
  <si>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</si>
  <si>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</si>
  <si>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</si>
  <si>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</si>
  <si>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</si>
  <si>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</si>
  <si>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</si>
  <si>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</si>
  <si>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</si>
  <si>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</si>
  <si>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</si>
  <si>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</si>
  <si>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</si>
  <si>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</si>
  <si>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</si>
  <si>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</si>
  <si>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</si>
  <si>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</si>
  <si>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</si>
  <si>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</si>
  <si>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</si>
  <si>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</si>
  <si>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</si>
  <si>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</si>
  <si>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</si>
  <si>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</si>
  <si>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</si>
  <si>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</si>
  <si>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</si>
  <si>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</si>
  <si>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</si>
  <si>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</si>
  <si>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</si>
  <si>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</si>
  <si>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</si>
  <si>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</si>
  <si>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</si>
  <si>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</si>
  <si>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</si>
  <si>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</si>
  <si>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</si>
  <si>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</si>
  <si>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</si>
  <si>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</si>
  <si>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</si>
  <si>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</si>
  <si>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</si>
  <si>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</si>
  <si>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</si>
  <si>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</si>
  <si>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</si>
  <si>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</si>
  <si>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</si>
  <si>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</si>
  <si>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</si>
  <si>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</si>
  <si>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</si>
  <si>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</si>
  <si>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</si>
  <si>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</si>
  <si>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</si>
  <si>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</si>
  <si>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</si>
  <si>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</si>
  <si>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</si>
  <si>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</si>
  <si>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</si>
  <si>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</si>
  <si>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</si>
  <si>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</si>
  <si>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</si>
  <si>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</si>
  <si>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</si>
  <si>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</si>
  <si>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</si>
  <si>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</si>
  <si>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</si>
  <si>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</si>
  <si>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</si>
  <si>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</si>
  <si>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</si>
  <si>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</si>
  <si>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</si>
  <si>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</si>
  <si>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</si>
  <si>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</si>
  <si>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</si>
  <si>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</si>
  <si>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</si>
  <si>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</si>
  <si>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</si>
  <si>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</si>
  <si>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</si>
  <si>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</si>
  <si>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</si>
  <si>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</si>
  <si>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</si>
  <si>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</si>
  <si>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</si>
  <si>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</si>
  <si>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</si>
  <si>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</si>
  <si>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</si>
  <si>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</si>
  <si>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</si>
  <si>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</si>
  <si>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</si>
  <si>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</si>
  <si>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</si>
  <si>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</si>
  <si>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</si>
  <si>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</si>
  <si>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</si>
  <si>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</si>
  <si>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</si>
  <si>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</si>
  <si>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</si>
  <si>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</si>
  <si>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</si>
  <si>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</si>
  <si>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</si>
  <si>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</si>
  <si>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</si>
  <si>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</si>
  <si>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</si>
  <si>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</si>
  <si>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</si>
  <si>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</si>
  <si>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</si>
  <si>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</si>
  <si>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</si>
  <si>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</si>
  <si>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</si>
  <si>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</si>
  <si>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</si>
  <si>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</si>
  <si>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</si>
  <si>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</si>
  <si>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</si>
  <si>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</si>
  <si>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</si>
  <si>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</si>
  <si>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</si>
  <si>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</si>
  <si>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</si>
  <si>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</si>
  <si>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</si>
  <si>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</si>
  <si>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</si>
  <si>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</si>
  <si>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</si>
  <si>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</si>
  <si>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</si>
  <si>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</si>
  <si>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</si>
  <si>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</si>
  <si>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</si>
  <si>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</si>
  <si>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</si>
  <si>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</si>
  <si>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</si>
  <si>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</si>
  <si>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</si>
  <si>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</si>
  <si>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</si>
  <si>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</si>
  <si>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</si>
  <si>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</si>
  <si>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</si>
  <si>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</si>
  <si>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</si>
  <si>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</si>
  <si>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</si>
  <si>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</si>
  <si>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</si>
  <si>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</si>
  <si>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</si>
  <si>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</si>
  <si>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</si>
  <si>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</si>
  <si>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</si>
  <si>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</si>
  <si>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</si>
  <si>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</si>
  <si>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</si>
  <si>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</si>
  <si>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</si>
  <si>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</si>
  <si>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</si>
  <si>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</si>
  <si>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</si>
  <si>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</si>
  <si>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</si>
  <si>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</si>
  <si>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</si>
  <si>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</si>
  <si>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</si>
  <si>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</si>
  <si>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</si>
  <si>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</si>
  <si>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</si>
  <si>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</si>
  <si>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</si>
  <si>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</si>
  <si>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</si>
  <si>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</si>
  <si>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</si>
  <si>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</si>
  <si>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</si>
  <si>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</si>
  <si>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</si>
  <si>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</si>
  <si>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</si>
  <si>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</si>
  <si>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</si>
  <si>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</si>
  <si>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</si>
  <si>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</si>
  <si>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</si>
  <si>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</si>
  <si>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</si>
  <si>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</si>
  <si>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</si>
  <si>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</si>
  <si>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</si>
  <si>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</si>
  <si>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</si>
  <si>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</si>
  <si>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</si>
  <si>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</si>
  <si>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</si>
  <si>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</si>
  <si>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</si>
  <si>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</si>
  <si>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</si>
  <si>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</si>
  <si>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</si>
  <si>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</si>
  <si>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</si>
  <si>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</si>
  <si>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</si>
  <si>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</si>
  <si>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</si>
  <si>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</si>
  <si>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</si>
  <si>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</si>
  <si>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</si>
  <si>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</si>
  <si>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</si>
  <si>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</si>
  <si>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</si>
  <si>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</si>
  <si>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</si>
  <si>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</si>
  <si>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</si>
  <si>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</si>
  <si>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</si>
  <si>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</si>
  <si>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</si>
  <si>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</si>
  <si>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</si>
  <si>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</si>
  <si>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</si>
  <si>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</si>
  <si>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</si>
  <si>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</si>
  <si>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</si>
  <si>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</si>
  <si>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</si>
  <si>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</si>
  <si>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</si>
  <si>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</si>
  <si>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</si>
  <si>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</si>
  <si>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</si>
  <si>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</si>
  <si>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</si>
  <si>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</si>
  <si>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</si>
  <si>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</si>
  <si>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</si>
  <si>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</si>
  <si>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</si>
  <si>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</si>
  <si>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</si>
  <si>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</si>
  <si>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</si>
  <si>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</si>
  <si>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</si>
  <si>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</si>
  <si>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</si>
  <si>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</si>
  <si>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</si>
  <si>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</si>
  <si>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</si>
  <si>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</si>
  <si>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</si>
  <si>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</si>
  <si>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</si>
  <si>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</si>
  <si>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</si>
  <si>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</si>
  <si>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</si>
  <si>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</si>
  <si>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</si>
  <si>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</si>
  <si>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</si>
  <si>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</si>
  <si>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</si>
  <si>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</si>
  <si>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</si>
  <si>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</si>
  <si>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</si>
  <si>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</si>
  <si>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</si>
  <si>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</si>
  <si>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</si>
  <si>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</si>
  <si>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</si>
  <si>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</si>
  <si>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</si>
  <si>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</si>
  <si>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</si>
  <si>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</si>
  <si>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</si>
  <si>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</si>
  <si>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</si>
  <si>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</si>
  <si>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</si>
  <si>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</si>
  <si>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</si>
  <si>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</si>
  <si>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</si>
  <si>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</si>
  <si>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</si>
  <si>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</si>
  <si>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</si>
  <si>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</si>
  <si>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</si>
  <si>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</si>
  <si>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</si>
  <si>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</si>
  <si>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</si>
  <si>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</si>
  <si>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</si>
  <si>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</si>
  <si>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</si>
  <si>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</si>
  <si>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</si>
  <si>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</si>
  <si>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</si>
  <si>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</si>
  <si>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</si>
  <si>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</si>
  <si>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</si>
  <si>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</si>
  <si>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</si>
  <si>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</si>
  <si>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</si>
  <si>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</si>
  <si>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</si>
  <si>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</si>
  <si>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</si>
  <si>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</si>
  <si>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</si>
  <si>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</si>
  <si>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</si>
  <si>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</si>
  <si>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</si>
  <si>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</si>
  <si>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</si>
  <si>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</si>
  <si>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</si>
  <si>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</si>
  <si>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</si>
  <si>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</si>
  <si>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</si>
  <si>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</si>
  <si>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</si>
  <si>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</si>
  <si>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</si>
  <si>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</si>
  <si>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</si>
  <si>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</si>
  <si>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</si>
  <si>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</si>
  <si>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</si>
  <si>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</si>
  <si>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</si>
  <si>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</si>
  <si>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</si>
  <si>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</si>
  <si>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</si>
  <si>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</si>
  <si>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</si>
  <si>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</si>
  <si>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</si>
  <si>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</si>
  <si>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</si>
  <si>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</si>
  <si>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</si>
  <si>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</si>
  <si>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</si>
  <si>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</si>
  <si>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</si>
  <si>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</si>
  <si>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</si>
  <si>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</si>
  <si>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</si>
  <si>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</si>
  <si>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</si>
  <si>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</si>
  <si>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</si>
  <si>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</si>
  <si>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</si>
  <si>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</si>
  <si>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</si>
  <si>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</si>
  <si>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</si>
  <si>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</si>
  <si>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</si>
  <si>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</si>
  <si>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</si>
  <si>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</si>
  <si>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</si>
  <si>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</si>
  <si>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</si>
  <si>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</si>
  <si>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</si>
  <si>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</si>
  <si>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</si>
  <si>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</si>
  <si>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</si>
  <si>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</si>
  <si>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</si>
  <si>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</si>
  <si>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</si>
  <si>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</si>
  <si>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</si>
  <si>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</si>
  <si>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</si>
  <si>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</si>
  <si>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</si>
  <si>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</si>
  <si>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</si>
  <si>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</si>
  <si>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</si>
  <si>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</si>
  <si>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</si>
  <si>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</si>
  <si>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</si>
  <si>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</si>
  <si>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</si>
  <si>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</si>
  <si>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</si>
  <si>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</si>
  <si>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</si>
  <si>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</si>
  <si>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</si>
  <si>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</si>
  <si>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</si>
  <si>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</si>
  <si>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</si>
  <si>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</si>
  <si>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</si>
  <si>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</si>
  <si>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</si>
  <si>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</si>
  <si>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</si>
  <si>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</si>
  <si>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</si>
  <si>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</si>
  <si>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</si>
  <si>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</si>
  <si>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</si>
  <si>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</si>
  <si>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</si>
  <si>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</si>
  <si>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</si>
  <si>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</si>
  <si>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</si>
  <si>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</si>
  <si>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</si>
  <si>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</si>
  <si>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</si>
  <si>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</si>
  <si>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</si>
  <si>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</si>
  <si>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</si>
  <si>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</si>
  <si>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</si>
  <si>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</si>
  <si>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</si>
  <si>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</si>
  <si>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</si>
  <si>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</si>
  <si>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</si>
  <si>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</si>
  <si>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</si>
  <si>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</si>
  <si>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</si>
  <si>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</si>
  <si>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</si>
  <si>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</si>
  <si>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</si>
  <si>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</si>
  <si>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</si>
  <si>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</si>
  <si>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</si>
  <si>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</si>
  <si>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</si>
  <si>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</si>
  <si>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</si>
  <si>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</si>
  <si>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</si>
  <si>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</si>
  <si>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</si>
  <si>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</si>
  <si>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</si>
  <si>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</si>
  <si>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</si>
  <si>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</si>
  <si>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</si>
  <si>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</si>
  <si>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</si>
  <si>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</si>
  <si>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</si>
  <si>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</si>
  <si>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</si>
  <si>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</si>
  <si>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</si>
  <si>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</si>
  <si>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</si>
  <si>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</si>
  <si>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</si>
  <si>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</si>
  <si>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</si>
  <si>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</si>
  <si>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</si>
  <si>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</si>
  <si>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</si>
  <si>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</si>
  <si>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</si>
  <si>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</si>
  <si>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</si>
  <si>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</si>
  <si>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</si>
  <si>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</si>
  <si>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</si>
  <si>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</si>
  <si>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</si>
  <si>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</si>
  <si>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</si>
  <si>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</si>
  <si>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</si>
  <si>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</si>
  <si>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</si>
  <si>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</si>
  <si>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</si>
  <si>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</si>
  <si>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</si>
  <si>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</si>
  <si>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</si>
  <si>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</si>
  <si>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</si>
  <si>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</si>
  <si>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</si>
  <si>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</si>
  <si>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</si>
  <si>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</si>
  <si>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</si>
  <si>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</si>
  <si>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</si>
  <si>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</si>
  <si>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</si>
  <si>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</si>
  <si>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</si>
  <si>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</si>
  <si>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</si>
  <si>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</si>
  <si>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</si>
  <si>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</si>
  <si>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</si>
  <si>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</si>
  <si>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</si>
  <si>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</si>
  <si>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</si>
  <si>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</si>
  <si>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</si>
  <si>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</si>
  <si>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</si>
  <si>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</si>
  <si>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</si>
  <si>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</si>
  <si>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</si>
  <si>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</si>
  <si>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</si>
  <si>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</si>
  <si>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</si>
  <si>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</si>
  <si>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</si>
  <si>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</si>
  <si>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</si>
  <si>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</si>
  <si>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</si>
  <si>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</si>
  <si>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</si>
  <si>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</si>
  <si>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</si>
  <si>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</si>
  <si>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</si>
  <si>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</si>
  <si>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</si>
  <si>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</si>
  <si>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</si>
  <si>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</si>
  <si>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</si>
  <si>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</si>
  <si>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</si>
  <si>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</si>
  <si>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</si>
  <si>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</si>
  <si>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</si>
  <si>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</si>
  <si>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</si>
  <si>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</si>
  <si>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</si>
  <si>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</si>
  <si>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</si>
  <si>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</si>
  <si>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</si>
  <si>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</si>
  <si>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</si>
  <si>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</si>
  <si>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</si>
  <si>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</si>
  <si>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</si>
  <si>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</si>
  <si>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</si>
  <si>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</si>
  <si>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</si>
  <si>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</si>
  <si>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</si>
  <si>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</si>
  <si>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</si>
  <si>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</si>
  <si>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</si>
  <si>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</si>
  <si>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</si>
  <si>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</si>
  <si>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</si>
  <si>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</si>
  <si>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</si>
  <si>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</si>
  <si>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</si>
  <si>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</si>
  <si>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</si>
  <si>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</si>
  <si>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</si>
  <si>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</si>
  <si>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</si>
  <si>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</si>
  <si>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</si>
  <si>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</si>
  <si>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</si>
  <si>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</si>
  <si>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</si>
  <si>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</si>
  <si>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</si>
  <si>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</si>
  <si>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</si>
  <si>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</si>
  <si>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</si>
  <si>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</si>
  <si>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</si>
  <si>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</si>
  <si>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</si>
  <si>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</si>
  <si>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</si>
  <si>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</si>
  <si>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</si>
  <si>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</si>
  <si>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</si>
  <si>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</si>
  <si>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</si>
  <si>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</si>
  <si>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</si>
  <si>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</si>
  <si>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</si>
  <si>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</si>
  <si>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</si>
  <si>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</si>
  <si>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</si>
  <si>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</si>
  <si>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</si>
  <si>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</si>
  <si>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</si>
  <si>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</si>
  <si>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</si>
  <si>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</si>
  <si>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</si>
  <si>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</si>
  <si>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</si>
  <si>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</si>
  <si>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</si>
  <si>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</si>
  <si>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</si>
  <si>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</si>
  <si>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</si>
  <si>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</si>
  <si>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</si>
  <si>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</si>
  <si>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</si>
  <si>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</si>
  <si>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</si>
  <si>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</si>
  <si>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</si>
  <si>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</si>
  <si>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</si>
  <si>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</si>
  <si>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</si>
  <si>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</si>
  <si>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</si>
  <si>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</si>
  <si>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</si>
  <si>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</si>
  <si>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</si>
  <si>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</si>
  <si>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</si>
  <si>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</si>
  <si>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</si>
  <si>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</si>
  <si>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</si>
  <si>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</si>
  <si>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</si>
  <si>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</si>
  <si>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</si>
  <si>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</si>
  <si>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</si>
  <si>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</si>
  <si>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</si>
  <si>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</si>
  <si>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</si>
  <si>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</si>
  <si>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</si>
  <si>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</si>
  <si>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</si>
  <si>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</si>
  <si>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</si>
  <si>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</si>
  <si>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</si>
  <si>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</si>
  <si>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</si>
  <si>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</si>
  <si>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</si>
  <si>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</si>
  <si>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</si>
  <si>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</si>
  <si>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</si>
  <si>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</si>
  <si>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</si>
  <si>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</si>
  <si>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</si>
  <si>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</si>
  <si>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</si>
  <si>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</si>
  <si>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</si>
  <si>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</si>
  <si>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</si>
  <si>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</si>
  <si>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</si>
  <si>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</si>
  <si>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</si>
  <si>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</si>
  <si>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</si>
  <si>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</si>
  <si>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</si>
  <si>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</si>
  <si>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</si>
  <si>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</si>
  <si>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</si>
  <si>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</si>
  <si>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</si>
  <si>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</si>
  <si>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</si>
  <si>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</si>
  <si>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</si>
  <si>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</si>
  <si>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</si>
  <si>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</si>
  <si>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</si>
  <si>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</si>
  <si>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</si>
  <si>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</si>
  <si>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</si>
  <si>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</si>
  <si>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</si>
  <si>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</si>
  <si>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</si>
  <si>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</si>
  <si>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</si>
  <si>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</si>
  <si>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</si>
  <si>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</si>
  <si>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</si>
  <si>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</si>
  <si>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</si>
  <si>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</si>
  <si>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</si>
  <si>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</si>
  <si>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</si>
  <si>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</si>
  <si>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</si>
  <si>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</si>
  <si>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</si>
  <si>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</si>
  <si>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</si>
  <si>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</si>
  <si>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</si>
  <si>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</si>
  <si>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</si>
  <si>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</si>
  <si>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</si>
  <si>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</si>
  <si>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</si>
  <si>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</si>
  <si>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</si>
  <si>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</si>
  <si>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</si>
  <si>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</si>
  <si>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</si>
  <si>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</si>
  <si>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</si>
  <si>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</si>
  <si>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</si>
  <si>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</si>
  <si>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</si>
  <si>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</si>
  <si>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</si>
  <si>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</si>
  <si>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</si>
  <si>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</si>
  <si>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</si>
  <si>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</si>
  <si>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</si>
  <si>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</si>
  <si>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</si>
  <si>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</si>
  <si>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</si>
  <si>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</si>
  <si>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</si>
  <si>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</si>
  <si>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</si>
  <si>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</si>
  <si>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</si>
  <si>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</si>
  <si>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</si>
  <si>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</si>
  <si>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</si>
  <si>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</si>
  <si>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</si>
  <si>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</si>
  <si>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</si>
  <si>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</si>
  <si>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</si>
  <si>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</si>
  <si>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</si>
  <si>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</si>
  <si>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</si>
  <si>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</si>
  <si>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</si>
  <si>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</si>
  <si>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</si>
  <si>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</si>
  <si>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</si>
  <si>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</si>
  <si>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</si>
  <si>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</si>
  <si>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</si>
  <si>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</si>
  <si>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</si>
  <si>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</si>
  <si>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</si>
  <si>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</si>
  <si>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</si>
  <si>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</si>
  <si>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</si>
  <si>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</si>
  <si>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</si>
  <si>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</si>
  <si>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</si>
  <si>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</si>
  <si>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</si>
  <si>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</si>
  <si>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</si>
  <si>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</si>
  <si>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</si>
  <si>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</si>
  <si>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</si>
  <si>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</si>
  <si>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</si>
  <si>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</si>
  <si>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</si>
  <si>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</si>
  <si>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</si>
  <si>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</si>
  <si>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</si>
  <si>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</si>
  <si>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</si>
  <si>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</si>
  <si>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</si>
  <si>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</si>
  <si>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</si>
  <si>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</si>
  <si>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</si>
  <si>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</si>
  <si>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</si>
  <si>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</si>
  <si>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</si>
  <si>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</si>
  <si>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</si>
  <si>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</si>
  <si>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</si>
  <si>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</si>
  <si>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</si>
  <si>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</si>
  <si>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</si>
  <si>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</si>
  <si>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</si>
  <si>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</si>
  <si>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</si>
  <si>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</si>
  <si>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</si>
  <si>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</si>
  <si>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</si>
  <si>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</si>
  <si>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</si>
  <si>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</si>
  <si>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</si>
  <si>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</si>
  <si>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</si>
  <si>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</si>
  <si>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</si>
  <si>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</si>
  <si>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</si>
  <si>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</si>
  <si>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</si>
  <si>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</si>
  <si>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</si>
  <si>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</si>
  <si>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</si>
  <si>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</si>
  <si>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</si>
  <si>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</si>
  <si>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</si>
  <si>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</si>
  <si>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</si>
  <si>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</si>
  <si>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</si>
  <si>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</si>
  <si>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</si>
  <si>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</si>
  <si>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</si>
  <si>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</si>
  <si>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</si>
  <si>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</si>
  <si>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</si>
  <si>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</si>
  <si>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</si>
  <si>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</si>
  <si>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</si>
  <si>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</si>
  <si>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</si>
  <si>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</si>
  <si>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</si>
  <si>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</si>
  <si>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</si>
  <si>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</si>
  <si>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</si>
  <si>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</si>
  <si>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</si>
  <si>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</si>
  <si>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</si>
  <si>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</si>
  <si>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</si>
  <si>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</si>
  <si>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</si>
  <si>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</si>
  <si>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</si>
  <si>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</si>
  <si>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</si>
  <si>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</si>
  <si>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</si>
  <si>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</si>
  <si>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</si>
  <si>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</si>
  <si>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</si>
  <si>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</si>
  <si>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</si>
  <si>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</si>
  <si>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</si>
  <si>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</si>
  <si>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</si>
  <si>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</si>
  <si>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</si>
  <si>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</si>
  <si>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</si>
  <si>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</si>
  <si>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</si>
  <si>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</si>
  <si>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</si>
  <si>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</si>
  <si>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</si>
  <si>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</si>
  <si>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</si>
  <si>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</si>
  <si>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</si>
  <si>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</si>
  <si>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</si>
  <si>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</si>
  <si>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</si>
  <si>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</si>
  <si>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</si>
  <si>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</si>
  <si>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</si>
  <si>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</si>
  <si>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</si>
  <si>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</si>
  <si>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</si>
  <si>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</si>
  <si>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</si>
  <si>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</si>
  <si>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</si>
  <si>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</si>
  <si>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</si>
  <si>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</si>
  <si>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</si>
  <si>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</si>
  <si>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</si>
  <si>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</si>
  <si>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</si>
  <si>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</si>
  <si>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</si>
  <si>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</si>
  <si>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</si>
  <si>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</si>
  <si>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</si>
  <si>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</si>
  <si>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</si>
  <si>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</si>
  <si>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</si>
  <si>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</si>
  <si>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</si>
  <si>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</si>
  <si>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</si>
  <si>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</si>
  <si>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</si>
  <si>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</si>
  <si>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</si>
  <si>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</si>
  <si>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</si>
  <si>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</si>
  <si>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</si>
  <si>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</si>
  <si>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</si>
  <si>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</si>
  <si>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</si>
  <si>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</si>
  <si>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</si>
  <si>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</si>
  <si>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</si>
  <si>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</si>
  <si>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</si>
  <si>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</si>
  <si>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</si>
  <si>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</si>
  <si>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</si>
  <si>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</si>
  <si>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</si>
  <si>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</si>
  <si>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</si>
  <si>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</si>
  <si>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</si>
  <si>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</si>
  <si>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</si>
  <si>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</si>
  <si>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</si>
  <si>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</si>
  <si>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</si>
  <si>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</si>
  <si>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</si>
  <si>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</si>
  <si>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</si>
  <si>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</si>
  <si>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</si>
  <si>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</si>
  <si>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</si>
  <si>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</si>
  <si>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</si>
  <si>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</si>
  <si>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</si>
  <si>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</si>
  <si>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</si>
  <si>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</si>
  <si>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</si>
  <si>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</si>
  <si>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</si>
  <si>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</si>
  <si>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</si>
  <si>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</si>
  <si>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</si>
  <si>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</si>
  <si>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</si>
  <si>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</si>
  <si>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</si>
  <si>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</si>
  <si>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</si>
  <si>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</si>
  <si>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</si>
  <si>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</si>
  <si>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</si>
  <si>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</si>
  <si>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</si>
  <si>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</si>
  <si>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</si>
  <si>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</si>
  <si>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</si>
  <si>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</si>
  <si>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</si>
  <si>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</si>
  <si>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</si>
  <si>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</si>
  <si>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</si>
  <si>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</si>
  <si>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</si>
  <si>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</si>
  <si>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</si>
  <si>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</si>
  <si>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</si>
  <si>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</si>
  <si>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</si>
  <si>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</si>
  <si>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</si>
  <si>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</si>
  <si>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</si>
  <si>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</si>
  <si>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</si>
  <si>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</si>
  <si>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</si>
  <si>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</si>
  <si>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</si>
  <si>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</si>
  <si>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</si>
  <si>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</si>
  <si>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</si>
  <si>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</si>
  <si>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</si>
  <si>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</si>
  <si>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</si>
  <si>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</si>
  <si>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</si>
  <si>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</si>
  <si>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</si>
  <si>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</si>
  <si>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</si>
  <si>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</si>
  <si>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</si>
  <si>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</si>
  <si>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</si>
  <si>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</si>
  <si>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</si>
  <si>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</si>
  <si>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</si>
  <si>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</si>
  <si>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</si>
  <si>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</si>
  <si>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</si>
  <si>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</si>
  <si>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</si>
  <si>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</si>
  <si>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</si>
  <si>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</si>
  <si>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</si>
  <si>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</si>
  <si>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</si>
  <si>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</si>
  <si>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</si>
  <si>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</si>
  <si>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</si>
  <si>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</si>
  <si>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</si>
  <si>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</si>
  <si>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</si>
  <si>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</si>
  <si>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</si>
  <si>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</si>
  <si>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</si>
  <si>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</si>
  <si>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</si>
  <si>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</si>
  <si>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</si>
  <si>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</si>
  <si>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</si>
  <si>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</si>
  <si>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</si>
  <si>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</si>
  <si>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</si>
  <si>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</si>
  <si>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</si>
  <si>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</si>
  <si>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</si>
  <si>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</si>
  <si>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</si>
  <si>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</si>
  <si>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</si>
  <si>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</si>
  <si>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</si>
  <si>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</si>
  <si>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</si>
  <si>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</si>
  <si>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</si>
  <si>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</si>
  <si>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</si>
  <si>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</si>
  <si>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</si>
  <si>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</si>
  <si>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</si>
  <si>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</si>
  <si>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</si>
  <si>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</si>
  <si>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</si>
  <si>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</si>
  <si>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</si>
  <si>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</si>
  <si>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</si>
  <si>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</si>
  <si>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</si>
  <si>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</si>
  <si>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</si>
  <si>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</si>
  <si>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</si>
  <si>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</si>
  <si>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</si>
  <si>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</si>
  <si>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</si>
  <si>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</si>
  <si>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</si>
  <si>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</si>
  <si>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</si>
  <si>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</si>
  <si>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</si>
  <si>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</si>
  <si>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</si>
  <si>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</si>
  <si>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</si>
  <si>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</si>
  <si>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</si>
  <si>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</si>
  <si>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</si>
  <si>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</si>
  <si>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</si>
  <si>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</si>
  <si>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</si>
  <si>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</si>
  <si>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</si>
  <si>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</si>
  <si>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</si>
  <si>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</si>
  <si>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</si>
  <si>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</si>
  <si>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</si>
  <si>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</si>
  <si>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</si>
  <si>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</si>
  <si>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</si>
  <si>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</si>
  <si>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</si>
  <si>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</si>
  <si>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</si>
  <si>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</si>
  <si>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</si>
  <si>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</si>
  <si>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</si>
  <si>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</si>
  <si>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</si>
  <si>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</si>
  <si>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</si>
  <si>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</si>
  <si>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</si>
  <si>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</si>
  <si>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</si>
  <si>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</si>
  <si>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</si>
  <si>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</si>
  <si>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</si>
  <si>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</si>
  <si>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</si>
  <si>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</si>
  <si>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</si>
  <si>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</si>
  <si>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</si>
  <si>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</si>
  <si>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</si>
  <si>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</si>
  <si>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</si>
  <si>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</si>
  <si>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</si>
  <si>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</si>
  <si>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</si>
  <si>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</si>
  <si>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</si>
  <si>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</si>
  <si>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</si>
  <si>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</si>
  <si>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</si>
  <si>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</si>
  <si>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</si>
  <si>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</si>
  <si>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</si>
  <si>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</si>
  <si>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</si>
  <si>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</si>
  <si>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</si>
  <si>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</si>
  <si>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</si>
  <si>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</si>
  <si>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</si>
  <si>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</si>
  <si>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</si>
  <si>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</si>
  <si>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</si>
  <si>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</si>
  <si>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</si>
  <si>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</si>
  <si>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</si>
  <si>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</si>
  <si>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</si>
  <si>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</si>
  <si>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</si>
  <si>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</si>
  <si>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</si>
  <si>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</si>
  <si>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</si>
  <si>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</si>
  <si>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</si>
  <si>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</si>
  <si>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</si>
  <si>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</si>
  <si>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</si>
  <si>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</si>
  <si>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</si>
  <si>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</si>
  <si>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</si>
  <si>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</si>
  <si>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</si>
  <si>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</si>
  <si>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</si>
  <si>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</si>
  <si>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</si>
  <si>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</si>
  <si>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</si>
  <si>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</si>
  <si>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</si>
  <si>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</si>
  <si>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</si>
  <si>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</si>
  <si>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</si>
  <si>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</si>
  <si>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</si>
  <si>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</si>
  <si>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</si>
  <si>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</si>
  <si>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</si>
  <si>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</si>
  <si>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</si>
  <si>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</si>
  <si>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</si>
  <si>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</si>
  <si>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</si>
  <si>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</si>
  <si>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</si>
  <si>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</si>
  <si>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</si>
  <si>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</si>
  <si>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</si>
  <si>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</si>
  <si>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</si>
  <si>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</si>
  <si>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</si>
  <si>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</si>
  <si>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</si>
  <si>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</si>
  <si>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</si>
  <si>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</si>
  <si>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</si>
  <si>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</si>
  <si>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</si>
  <si>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</si>
  <si>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</si>
  <si>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</si>
  <si>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</si>
  <si>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</si>
  <si>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</si>
  <si>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</si>
  <si>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</si>
  <si>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</si>
  <si>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</si>
  <si>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</si>
  <si>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</si>
  <si>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</si>
  <si>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</si>
  <si>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</si>
  <si>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</si>
  <si>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</si>
  <si>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</si>
  <si>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</si>
  <si>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</si>
  <si>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</si>
  <si>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</si>
  <si>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</si>
  <si>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</si>
  <si>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</si>
  <si>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</si>
  <si>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</si>
  <si>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</si>
  <si>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</si>
  <si>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</si>
  <si>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</si>
  <si>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</si>
  <si>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</si>
  <si>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</si>
  <si>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</si>
  <si>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</si>
  <si>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</si>
  <si>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</si>
  <si>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</si>
  <si>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</si>
  <si>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</si>
  <si>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</si>
  <si>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</si>
  <si>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</si>
  <si>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</si>
  <si>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</si>
  <si>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</si>
  <si>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</si>
  <si>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</si>
  <si>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</si>
  <si>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</si>
  <si>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</si>
  <si>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</si>
  <si>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</si>
  <si>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</si>
  <si>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</si>
  <si>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</si>
  <si>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</si>
  <si>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</si>
  <si>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</si>
  <si>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</si>
  <si>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</si>
  <si>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</si>
  <si>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</si>
  <si>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</si>
  <si>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</si>
  <si>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</si>
  <si>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</si>
  <si>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</si>
  <si>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</si>
  <si>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</si>
  <si>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</si>
  <si>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</si>
  <si>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</si>
  <si>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</si>
  <si>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</si>
  <si>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</si>
  <si>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</si>
  <si>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</si>
  <si>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</si>
  <si>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</si>
  <si>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</si>
  <si>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</si>
  <si>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</si>
  <si>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</si>
  <si>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</si>
  <si>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</si>
  <si>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</si>
  <si>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</si>
  <si>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</si>
  <si>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</si>
  <si>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</si>
  <si>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</si>
  <si>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</si>
  <si>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</si>
  <si>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</si>
  <si>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</si>
  <si>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</si>
  <si>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</si>
  <si>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</si>
  <si>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</si>
  <si>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</si>
  <si>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</si>
  <si>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</si>
  <si>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</si>
  <si>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</si>
  <si>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</si>
  <si>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</si>
  <si>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</si>
  <si>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</si>
  <si>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</si>
  <si>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</si>
  <si>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</si>
  <si>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</si>
  <si>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</si>
  <si>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</si>
  <si>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</si>
  <si>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</si>
  <si>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</si>
  <si>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</si>
  <si>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</si>
  <si>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</si>
  <si>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</si>
  <si>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</si>
  <si>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</si>
  <si>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</si>
  <si>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</si>
  <si>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</si>
  <si>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</si>
  <si>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</si>
  <si>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</si>
  <si>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</si>
  <si>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</si>
  <si>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</si>
  <si>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</si>
  <si>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</si>
  <si>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</si>
  <si>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</si>
  <si>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</si>
  <si>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</si>
  <si>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</si>
  <si>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</si>
  <si>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</si>
  <si>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</si>
  <si>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</si>
  <si>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</si>
  <si>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</si>
  <si>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</si>
  <si>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</si>
  <si>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</si>
  <si>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</si>
  <si>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</si>
  <si>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</si>
  <si>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</si>
  <si>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</si>
  <si>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</si>
  <si>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</si>
  <si>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</si>
  <si>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</si>
  <si>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</si>
  <si>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</si>
  <si>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</si>
  <si>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</si>
  <si>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</si>
  <si>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</si>
  <si>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</si>
  <si>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</si>
  <si>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</si>
  <si>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</si>
  <si>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</si>
  <si>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</si>
  <si>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</si>
  <si>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</si>
  <si>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</si>
  <si>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</si>
  <si>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</si>
  <si>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</si>
  <si>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</si>
  <si>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</si>
  <si>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</si>
  <si>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</si>
  <si>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</si>
  <si>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</si>
  <si>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</si>
  <si>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</si>
  <si>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</si>
  <si>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</si>
  <si>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</si>
  <si>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</si>
  <si>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</si>
  <si>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</si>
  <si>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</si>
  <si>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</si>
  <si>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</si>
  <si>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</si>
  <si>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</si>
  <si>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</si>
  <si>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</si>
  <si>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</si>
  <si>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</si>
  <si>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</si>
  <si>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</si>
  <si>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</si>
  <si>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</si>
  <si>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</si>
  <si>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</si>
  <si>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</si>
  <si>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</si>
  <si>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</si>
  <si>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</si>
  <si>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</si>
  <si>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</si>
  <si>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</si>
  <si>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</si>
  <si>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</si>
  <si>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</si>
  <si>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</si>
  <si>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</si>
  <si>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</si>
  <si>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</si>
  <si>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</si>
  <si>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</si>
  <si>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</si>
  <si>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</si>
  <si>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</si>
  <si>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</si>
  <si>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</si>
  <si>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</si>
  <si>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</si>
  <si>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</si>
  <si>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</si>
  <si>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</si>
  <si>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</si>
  <si>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</si>
  <si>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</si>
  <si>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</si>
  <si>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</si>
  <si>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</si>
  <si>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</si>
  <si>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</si>
  <si>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</si>
  <si>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</si>
  <si>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</si>
  <si>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</si>
  <si>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</si>
  <si>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</si>
  <si>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</si>
  <si>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</si>
  <si>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</si>
  <si>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</si>
  <si>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</si>
  <si>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</si>
  <si>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</si>
  <si>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</si>
  <si>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</si>
  <si>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</si>
  <si>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</si>
  <si>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</si>
  <si>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</si>
  <si>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</si>
  <si>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</si>
  <si>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</si>
  <si>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</si>
  <si>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</si>
  <si>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</si>
  <si>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</si>
  <si>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</si>
  <si>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</si>
  <si>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</si>
  <si>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</si>
  <si>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</si>
  <si>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</si>
  <si>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</si>
  <si>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</si>
  <si>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</si>
  <si>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</si>
  <si>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</si>
  <si>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</si>
  <si>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</si>
  <si>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</si>
  <si>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</si>
  <si>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</si>
  <si>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</si>
  <si>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</si>
  <si>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</si>
  <si>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</si>
  <si>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</si>
  <si>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</si>
  <si>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</si>
  <si>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</si>
  <si>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</si>
  <si>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</si>
  <si>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</si>
  <si>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</si>
  <si>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</si>
  <si>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</si>
  <si>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</si>
  <si>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</si>
  <si>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</si>
  <si>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</si>
  <si>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</si>
  <si>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</si>
  <si>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</si>
  <si>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</si>
  <si>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</si>
  <si>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</si>
  <si>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</si>
  <si>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</si>
  <si>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</si>
  <si>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</si>
  <si>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</si>
  <si>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</si>
  <si>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</si>
  <si>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</si>
  <si>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</si>
  <si>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</si>
  <si>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</si>
  <si>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</si>
  <si>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</si>
  <si>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</si>
  <si>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</si>
  <si>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</si>
  <si>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</si>
  <si>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</si>
  <si>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</si>
  <si>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</si>
  <si>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</si>
  <si>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</si>
  <si>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</si>
  <si>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</si>
  <si>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</si>
  <si>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</si>
  <si>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</si>
  <si>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</si>
  <si>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</si>
  <si>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</si>
  <si>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</si>
  <si>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</si>
  <si>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</si>
  <si>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</si>
  <si>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</si>
  <si>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</si>
  <si>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</si>
  <si>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</si>
  <si>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</si>
  <si>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</si>
  <si>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</si>
  <si>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</si>
  <si>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</si>
  <si>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</si>
  <si>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</si>
  <si>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</si>
  <si>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</si>
  <si>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</si>
  <si>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</si>
  <si>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</si>
  <si>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</si>
  <si>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</si>
  <si>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</si>
  <si>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</si>
  <si>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</si>
  <si>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</si>
  <si>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</si>
  <si>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</si>
  <si>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</si>
  <si>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</si>
  <si>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</si>
  <si>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</si>
  <si>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</si>
  <si>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</si>
  <si>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</si>
  <si>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</si>
  <si>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</si>
  <si>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</si>
  <si>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</si>
  <si>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</si>
  <si>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</si>
  <si>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</si>
  <si>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</si>
  <si>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</si>
  <si>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</si>
  <si>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</si>
  <si>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</si>
  <si>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</si>
  <si>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</si>
  <si>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</si>
  <si>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</si>
  <si>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</si>
  <si>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</si>
  <si>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</si>
  <si>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</si>
  <si>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</si>
  <si>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</si>
  <si>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</si>
  <si>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</si>
  <si>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</si>
  <si>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</si>
  <si>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</si>
  <si>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</si>
  <si>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</si>
  <si>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</si>
  <si>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</si>
  <si>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</si>
  <si>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</si>
  <si>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</si>
  <si>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</si>
  <si>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</si>
  <si>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</si>
  <si>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</si>
  <si>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</si>
  <si>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</si>
  <si>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</si>
  <si>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</si>
  <si>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</si>
  <si>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</si>
  <si>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</si>
  <si>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</si>
  <si>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</si>
  <si>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</si>
  <si>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</si>
  <si>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</si>
  <si>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</si>
  <si>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</si>
  <si>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</si>
  <si>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</si>
  <si>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</si>
  <si>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</si>
  <si>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</si>
  <si>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</si>
  <si>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</si>
  <si>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</si>
  <si>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</si>
  <si>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</si>
  <si>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</si>
  <si>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</si>
  <si>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</si>
  <si>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</si>
  <si>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</si>
  <si>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</si>
  <si>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</si>
  <si>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</si>
  <si>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</si>
  <si>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</si>
  <si>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</si>
  <si>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</si>
  <si>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</si>
  <si>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</si>
  <si>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</si>
  <si>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</si>
  <si>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</si>
  <si>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</si>
  <si>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</si>
  <si>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</si>
  <si>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</si>
  <si>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</si>
  <si>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</si>
  <si>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</si>
  <si>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</si>
  <si>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</si>
  <si>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</si>
  <si>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</si>
  <si>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</si>
  <si>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</si>
  <si>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</si>
  <si>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</si>
  <si>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</si>
  <si>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</si>
  <si>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</si>
  <si>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</si>
  <si>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</si>
  <si>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</si>
  <si>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</si>
  <si>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</si>
  <si>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</si>
  <si>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</si>
  <si>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</si>
  <si>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</si>
  <si>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</si>
  <si>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</si>
  <si>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</si>
  <si>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</si>
  <si>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</si>
  <si>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</si>
  <si>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</si>
  <si>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</si>
  <si>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</si>
  <si>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</si>
  <si>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</si>
  <si>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</si>
  <si>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</si>
  <si>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</si>
  <si>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</si>
  <si>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</si>
  <si>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</si>
  <si>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</si>
  <si>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</si>
  <si>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</si>
  <si>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</si>
  <si>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</si>
  <si>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</si>
  <si>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</si>
  <si>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</si>
  <si>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</si>
  <si>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</si>
  <si>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</si>
  <si>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</si>
  <si>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</si>
  <si>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</si>
  <si>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</si>
  <si>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</si>
  <si>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</si>
  <si>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</si>
  <si>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</si>
  <si>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</si>
  <si>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</si>
  <si>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</si>
  <si>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</si>
  <si>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</si>
  <si>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</si>
  <si>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</si>
  <si>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</si>
  <si>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</si>
  <si>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</si>
  <si>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</si>
  <si>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</si>
  <si>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</si>
  <si>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</si>
  <si>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</si>
  <si>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</si>
  <si>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</si>
  <si>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</si>
  <si>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</si>
  <si>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</si>
  <si>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</si>
  <si>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</si>
  <si>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</si>
  <si>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</si>
  <si>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</si>
  <si>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</si>
  <si>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</si>
  <si>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</si>
  <si>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</si>
  <si>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</si>
  <si>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</si>
  <si>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</si>
  <si>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</si>
  <si>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</si>
  <si>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</si>
  <si>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</si>
  <si>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</si>
  <si>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</si>
  <si>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</si>
  <si>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</si>
  <si>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</si>
  <si>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</si>
  <si>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</si>
  <si>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</si>
  <si>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</si>
  <si>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</si>
  <si>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</si>
  <si>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</si>
  <si>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</si>
  <si>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</si>
  <si>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</si>
  <si>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</si>
  <si>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</si>
  <si>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</si>
  <si>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</si>
  <si>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</si>
  <si>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</si>
  <si>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</si>
  <si>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</si>
  <si>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</si>
  <si>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</si>
  <si>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</si>
  <si>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</si>
  <si>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</si>
  <si>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</si>
  <si>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</si>
  <si>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</si>
  <si>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</si>
  <si>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</si>
  <si>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</si>
  <si>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</si>
  <si>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</si>
  <si>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</si>
  <si>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</si>
  <si>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</si>
  <si>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</si>
  <si>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</si>
  <si>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</si>
  <si>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</si>
  <si>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</si>
  <si>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</si>
  <si>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</si>
  <si>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</si>
  <si>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</si>
  <si>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</si>
  <si>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</si>
  <si>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</si>
  <si>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</si>
  <si>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</si>
  <si>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</si>
  <si>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</si>
  <si>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</si>
  <si>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</si>
  <si>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</si>
  <si>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</si>
  <si>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</si>
  <si>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</si>
  <si>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</si>
  <si>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</si>
  <si>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</si>
  <si>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</si>
  <si>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</si>
  <si>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</si>
  <si>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</si>
  <si>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</si>
  <si>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</si>
  <si>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</si>
  <si>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</si>
  <si>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</si>
  <si>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</si>
  <si>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</si>
  <si>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</si>
  <si>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</si>
  <si>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</si>
  <si>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</si>
  <si>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</si>
  <si>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</si>
  <si>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</si>
  <si>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</si>
  <si>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</si>
  <si>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</si>
  <si>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</si>
  <si>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</si>
  <si>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</si>
  <si>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</si>
  <si>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</si>
  <si>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</si>
  <si>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</si>
  <si>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</si>
  <si>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</si>
  <si>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</si>
  <si>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</si>
  <si>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</si>
  <si>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</si>
  <si>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</si>
  <si>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</si>
  <si>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</si>
  <si>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</si>
  <si>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</si>
  <si>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</si>
  <si>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</si>
  <si>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</si>
  <si>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</si>
  <si>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</si>
  <si>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</si>
  <si>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</si>
  <si>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</si>
  <si>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</si>
  <si>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</si>
  <si>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</si>
  <si>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</si>
  <si>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</si>
  <si>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</si>
  <si>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</si>
  <si>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</si>
  <si>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</si>
  <si>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</si>
  <si>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</si>
  <si>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</si>
  <si>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</si>
  <si>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</si>
  <si>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</si>
  <si>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</si>
  <si>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</si>
  <si>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</si>
  <si>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</si>
  <si>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</si>
  <si>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</si>
  <si>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</si>
  <si>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</si>
  <si>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</si>
  <si>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</si>
  <si>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</si>
  <si>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</si>
  <si>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</si>
  <si>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</si>
  <si>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</si>
  <si>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</si>
  <si>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</si>
  <si>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</si>
  <si>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</si>
  <si>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</si>
  <si>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</si>
  <si>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</si>
  <si>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</si>
  <si>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</si>
  <si>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</si>
  <si>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</si>
  <si>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</si>
  <si>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</si>
  <si>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</si>
  <si>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</si>
  <si>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</si>
  <si>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</si>
  <si>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</si>
  <si>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</si>
  <si>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</si>
  <si>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</si>
  <si>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</si>
  <si>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</si>
  <si>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</si>
  <si>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</si>
  <si>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</si>
  <si>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</si>
  <si>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</si>
  <si>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</si>
  <si>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</si>
  <si>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</si>
  <si>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</si>
  <si>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</si>
  <si>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</si>
  <si>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</si>
  <si>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</si>
  <si>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</si>
  <si>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</si>
  <si>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</si>
  <si>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</si>
  <si>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</si>
  <si>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</si>
  <si>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</si>
  <si>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</si>
  <si>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</si>
  <si>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</si>
  <si>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</si>
  <si>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</si>
  <si>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</si>
  <si>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</si>
  <si>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</si>
  <si>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</si>
  <si>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</si>
  <si>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</si>
  <si>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</si>
  <si>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</si>
  <si>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</si>
  <si>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</si>
  <si>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</si>
  <si>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</si>
  <si>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</si>
  <si>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</si>
  <si>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</si>
  <si>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</si>
  <si>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</si>
  <si>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</si>
  <si>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</si>
  <si>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</si>
  <si>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</si>
  <si>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</si>
  <si>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</si>
  <si>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</si>
  <si>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</si>
  <si>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</si>
  <si>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</si>
  <si>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</si>
  <si>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</si>
  <si>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</si>
  <si>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</si>
  <si>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</si>
  <si>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</si>
  <si>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</si>
  <si>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</si>
  <si>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</si>
  <si>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</si>
  <si>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</si>
  <si>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</si>
  <si>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</si>
  <si>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</si>
  <si>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</si>
  <si>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</si>
  <si>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</si>
  <si>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</si>
  <si>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</si>
  <si>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</si>
  <si>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</si>
  <si>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</si>
  <si>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</si>
  <si>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</si>
  <si>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</si>
  <si>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</si>
  <si>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</si>
  <si>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</si>
  <si>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</si>
  <si>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</si>
  <si>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</si>
  <si>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</si>
  <si>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</si>
  <si>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</si>
  <si>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</si>
  <si>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</si>
  <si>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</si>
  <si>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</si>
  <si>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</si>
  <si>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</si>
  <si>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</si>
  <si>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</si>
  <si>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</si>
  <si>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</si>
  <si>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</si>
  <si>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</si>
  <si>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</si>
  <si>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</si>
  <si>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</si>
  <si>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</si>
  <si>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</si>
  <si>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</si>
  <si>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</si>
  <si>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</si>
  <si>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</si>
  <si>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</si>
  <si>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</si>
  <si>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</si>
  <si>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</si>
  <si>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</si>
  <si>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</si>
  <si>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</si>
  <si>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</si>
  <si>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</si>
  <si>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</si>
  <si>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</si>
  <si>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</si>
  <si>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</si>
  <si>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</si>
  <si>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</si>
  <si>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</si>
  <si>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</si>
  <si>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</si>
  <si>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</si>
  <si>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</si>
  <si>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</si>
  <si>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</si>
  <si>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</si>
  <si>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</si>
  <si>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</si>
  <si>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</si>
  <si>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</si>
  <si>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</si>
  <si>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</si>
  <si>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</si>
  <si>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</si>
  <si>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</si>
  <si>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</si>
  <si>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</si>
  <si>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</si>
  <si>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</si>
  <si>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</si>
  <si>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</si>
  <si>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</si>
  <si>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</si>
  <si>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</si>
  <si>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</si>
  <si>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</si>
  <si>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</si>
  <si>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</si>
  <si>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</si>
  <si>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</si>
  <si>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</si>
  <si>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</si>
  <si>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</si>
  <si>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</si>
  <si>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</si>
  <si>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</si>
  <si>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</si>
  <si>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</si>
  <si>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</si>
  <si>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</si>
  <si>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</si>
  <si>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</si>
  <si>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</si>
  <si>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</si>
  <si>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</si>
  <si>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</si>
  <si>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</si>
  <si>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</si>
  <si>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</si>
  <si>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</si>
  <si>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</si>
  <si>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</si>
  <si>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</si>
  <si>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</si>
  <si>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</si>
  <si>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</si>
  <si>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</si>
  <si>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</si>
  <si>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</si>
  <si>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</si>
  <si>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</si>
  <si>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</si>
  <si>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</si>
  <si>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</si>
  <si>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</si>
  <si>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</si>
  <si>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</si>
  <si>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</si>
  <si>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</si>
  <si>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</si>
  <si>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</si>
  <si>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</si>
  <si>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</si>
  <si>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</si>
  <si>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</si>
  <si>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</si>
  <si>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</si>
  <si>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</si>
  <si>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</si>
  <si>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</si>
  <si>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</si>
  <si>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</si>
  <si>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</si>
  <si>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</si>
  <si>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</si>
  <si>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</si>
  <si>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</si>
  <si>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</si>
  <si>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</si>
  <si>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</si>
  <si>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</si>
  <si>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</si>
  <si>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</si>
  <si>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</si>
  <si>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</si>
  <si>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</si>
  <si>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</si>
  <si>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</si>
  <si>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</si>
  <si>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</si>
  <si>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</si>
  <si>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</si>
  <si>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</si>
  <si>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</si>
  <si>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</si>
  <si>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</si>
  <si>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</si>
  <si>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</si>
  <si>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</si>
  <si>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</si>
  <si>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</si>
  <si>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</si>
  <si>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</si>
  <si>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</si>
  <si>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</si>
  <si>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</si>
  <si>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</si>
  <si>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</si>
  <si>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</si>
  <si>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</si>
  <si>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</si>
  <si>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</si>
  <si>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</si>
  <si>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</si>
  <si>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</si>
  <si>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</si>
  <si>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</si>
  <si>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</si>
  <si>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</si>
  <si>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</si>
  <si>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</si>
  <si>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</si>
  <si>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</si>
  <si>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</si>
  <si>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</si>
  <si>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</si>
  <si>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</si>
  <si>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</si>
  <si>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</si>
  <si>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</si>
  <si>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</si>
  <si>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</si>
  <si>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</si>
  <si>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</si>
  <si>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</si>
  <si>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</si>
  <si>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</si>
  <si>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</si>
  <si>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</si>
  <si>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</si>
  <si>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</si>
  <si>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</si>
  <si>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</si>
  <si>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</si>
  <si>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</si>
  <si>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</si>
  <si>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</si>
  <si>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</si>
  <si>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</si>
  <si>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</si>
  <si>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</si>
  <si>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</si>
  <si>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</si>
  <si>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</si>
  <si>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</si>
  <si>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</si>
  <si>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</si>
  <si>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</si>
  <si>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</si>
  <si>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</si>
  <si>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</si>
  <si>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</si>
  <si>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</si>
  <si>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</si>
  <si>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</si>
  <si>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</si>
  <si>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</si>
  <si>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</si>
  <si>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</si>
  <si>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</si>
  <si>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</si>
  <si>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</si>
  <si>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</si>
  <si>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</si>
  <si>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</si>
  <si>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</si>
  <si>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</si>
  <si>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</si>
  <si>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</si>
  <si>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</si>
  <si>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</si>
  <si>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</si>
  <si>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</si>
  <si>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</si>
  <si>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</si>
  <si>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</si>
  <si>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</si>
  <si>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</si>
  <si>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</si>
  <si>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</si>
  <si>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</si>
  <si>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</si>
  <si>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</si>
  <si>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</si>
  <si>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</si>
  <si>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</si>
  <si>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</si>
  <si>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</si>
  <si>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</si>
  <si>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</si>
  <si>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</si>
  <si>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</si>
  <si>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</si>
  <si>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</si>
  <si>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</si>
  <si>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</si>
  <si>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</si>
  <si>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</si>
  <si>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</si>
  <si>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</si>
  <si>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</si>
  <si>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</si>
  <si>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</si>
  <si>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</si>
  <si>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</si>
  <si>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</si>
  <si>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</si>
  <si>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</si>
  <si>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</si>
  <si>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</si>
  <si>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</si>
  <si>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</si>
  <si>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</si>
  <si>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</si>
  <si>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</si>
  <si>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</si>
  <si>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</si>
  <si>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</si>
  <si>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</si>
  <si>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</si>
  <si>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</si>
  <si>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</si>
  <si>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</si>
  <si>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</si>
  <si>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</si>
  <si>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</si>
  <si>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</si>
  <si>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</si>
  <si>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</si>
  <si>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</si>
  <si>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</si>
  <si>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</si>
  <si>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</si>
  <si>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</si>
  <si>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</si>
  <si>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</si>
  <si>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</si>
  <si>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</si>
  <si>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</si>
  <si>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</si>
  <si>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</si>
  <si>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</si>
  <si>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</si>
  <si>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</si>
  <si>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</si>
  <si>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</si>
  <si>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</si>
  <si>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</si>
  <si>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</si>
  <si>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</si>
  <si>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</si>
  <si>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</si>
  <si>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</si>
  <si>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</si>
  <si>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</si>
  <si>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</si>
  <si>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</si>
  <si>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</si>
  <si>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</si>
  <si>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</si>
  <si>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</si>
  <si>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</si>
  <si>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</si>
  <si>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</si>
  <si>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</si>
  <si>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</si>
  <si>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</si>
  <si>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</si>
  <si>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</si>
  <si>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</si>
  <si>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</si>
  <si>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</si>
  <si>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</si>
  <si>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</si>
  <si>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</si>
  <si>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</si>
  <si>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</si>
  <si>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</si>
  <si>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</si>
  <si>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</si>
  <si>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</si>
  <si>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</si>
  <si>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</si>
  <si>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</si>
  <si>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</si>
  <si>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</si>
  <si>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</si>
  <si>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</si>
  <si>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</si>
  <si>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</si>
  <si>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</si>
  <si>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</si>
  <si>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</si>
  <si>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</si>
  <si>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</si>
  <si>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</si>
  <si>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</si>
  <si>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</si>
  <si>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</si>
  <si>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</si>
  <si>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</si>
  <si>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</si>
  <si>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</si>
  <si>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</si>
  <si>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</si>
  <si>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</si>
  <si>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</si>
  <si>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</si>
  <si>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</si>
  <si>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</si>
  <si>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</si>
  <si>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</si>
  <si>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</si>
  <si>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</si>
  <si>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</si>
  <si>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</si>
  <si>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</si>
  <si>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</si>
  <si>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</si>
  <si>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</si>
  <si>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</si>
  <si>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</si>
  <si>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</si>
  <si>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</si>
  <si>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</si>
  <si>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</si>
  <si>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</si>
  <si>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</si>
  <si>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</si>
  <si>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</si>
  <si>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</si>
  <si>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</si>
  <si>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</si>
  <si>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</si>
  <si>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</si>
  <si>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</si>
  <si>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</si>
  <si>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</si>
  <si>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</si>
  <si>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</si>
  <si>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</si>
  <si>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</si>
  <si>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</si>
  <si>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</si>
  <si>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</si>
  <si>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</si>
  <si>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</si>
  <si>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</si>
  <si>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</si>
  <si>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</si>
  <si>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</si>
  <si>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</si>
  <si>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</si>
  <si>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</si>
  <si>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</si>
  <si>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</si>
  <si>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</si>
  <si>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</si>
  <si>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</si>
  <si>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</si>
  <si>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</si>
  <si>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</si>
  <si>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</si>
  <si>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</si>
  <si>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</si>
  <si>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</si>
  <si>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</si>
  <si>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</si>
  <si>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</si>
  <si>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</si>
  <si>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</si>
  <si>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</si>
  <si>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</si>
  <si>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</si>
  <si>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</si>
  <si>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</si>
  <si>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</si>
  <si>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</si>
  <si>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</si>
  <si>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</si>
  <si>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</si>
  <si>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</si>
  <si>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</si>
  <si>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</si>
  <si>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</si>
  <si>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</si>
  <si>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</si>
  <si>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</si>
  <si>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</si>
  <si>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</si>
  <si>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</si>
  <si>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</si>
  <si>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</si>
  <si>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</si>
  <si>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</si>
  <si>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</si>
  <si>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</si>
  <si>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</si>
  <si>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</si>
  <si>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</si>
  <si>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</si>
  <si>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</si>
  <si>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</si>
  <si>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</si>
  <si>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</si>
  <si>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</si>
  <si>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</si>
  <si>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</si>
  <si>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</si>
  <si>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</si>
  <si>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</si>
  <si>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</si>
  <si>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</si>
  <si>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</si>
  <si>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</si>
  <si>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</si>
  <si>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</si>
  <si>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</si>
  <si>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</si>
  <si>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</si>
  <si>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</si>
  <si>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</si>
  <si>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</si>
  <si>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</si>
  <si>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</si>
  <si>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</si>
  <si>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</si>
  <si>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</si>
  <si>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</si>
  <si>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</si>
  <si>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</si>
  <si>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</si>
  <si>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</si>
  <si>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</si>
  <si>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</si>
  <si>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</si>
  <si>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</si>
  <si>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</si>
  <si>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</si>
  <si>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</si>
  <si>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</si>
  <si>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</si>
  <si>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</si>
  <si>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</si>
  <si>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</si>
  <si>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</si>
  <si>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</si>
  <si>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</si>
  <si>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</si>
  <si>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</si>
  <si>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</si>
  <si>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</si>
  <si>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</si>
  <si>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</si>
  <si>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</si>
  <si>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</si>
  <si>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</si>
  <si>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</si>
  <si>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</si>
  <si>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</si>
  <si>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</si>
  <si>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</si>
  <si>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</si>
  <si>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</si>
  <si>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</si>
  <si>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</si>
  <si>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</si>
  <si>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</si>
  <si>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</si>
  <si>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</si>
  <si>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</si>
  <si>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</si>
  <si>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</si>
  <si>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</si>
  <si>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</si>
  <si>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</si>
  <si>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</si>
  <si>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</si>
  <si>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</si>
  <si>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</si>
  <si>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</si>
  <si>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</si>
  <si>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</si>
  <si>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</si>
  <si>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</si>
  <si>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</si>
  <si>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</si>
  <si>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</si>
  <si>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</si>
  <si>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</si>
  <si>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</si>
  <si>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</si>
  <si>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</si>
  <si>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</si>
  <si>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</si>
  <si>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</si>
  <si>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</si>
  <si>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</si>
  <si>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</si>
  <si>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</si>
  <si>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</si>
  <si>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</si>
  <si>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</si>
  <si>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</si>
  <si>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</si>
  <si>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</si>
  <si>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</si>
  <si>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</si>
  <si>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</si>
  <si>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</si>
  <si>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</si>
  <si>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</si>
  <si>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</si>
  <si>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</si>
  <si>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</si>
  <si>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</si>
  <si>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</si>
  <si>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</si>
  <si>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</si>
  <si>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</si>
  <si>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</si>
  <si>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</si>
  <si>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</si>
  <si>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</si>
  <si>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</si>
  <si>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</si>
  <si>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</si>
  <si>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</si>
  <si>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</si>
  <si>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</si>
  <si>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</si>
  <si>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</si>
  <si>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</si>
  <si>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</si>
  <si>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</si>
  <si>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</si>
  <si>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</si>
  <si>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</si>
  <si>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</si>
  <si>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</si>
  <si>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</si>
  <si>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</si>
  <si>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</si>
  <si>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</si>
  <si>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</si>
  <si>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</si>
  <si>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</si>
  <si>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</si>
  <si>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</si>
  <si>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</si>
  <si>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</si>
  <si>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</si>
  <si>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</si>
  <si>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</si>
  <si>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</si>
  <si>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</si>
  <si>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</si>
  <si>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</si>
  <si>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</si>
  <si>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</si>
  <si>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</si>
  <si>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</si>
  <si>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</si>
  <si>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</si>
  <si>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</si>
  <si>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</si>
  <si>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</si>
  <si>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</si>
  <si>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</si>
  <si>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</si>
  <si>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</si>
  <si>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</si>
  <si>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</si>
  <si>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</si>
  <si>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</si>
  <si>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</si>
  <si>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</si>
  <si>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</si>
  <si>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</si>
  <si>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</si>
  <si>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</si>
  <si>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</si>
  <si>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</si>
  <si>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</si>
  <si>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</si>
  <si>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</si>
  <si>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</si>
  <si>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</si>
  <si>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</si>
  <si>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</si>
  <si>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</si>
  <si>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</si>
  <si>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</si>
  <si>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</si>
  <si>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地上</t>
  </si>
  <si>
    <t>是</t>
  </si>
  <si>
    <t>征收补偿安置费</t>
  </si>
  <si>
    <t>与级别开发程度一致</t>
  </si>
  <si>
    <t>中心城区</t>
  </si>
  <si>
    <t>自定义容积率</t>
  </si>
  <si>
    <t>项目全部</t>
  </si>
  <si>
    <t>基准地价</t>
  </si>
  <si>
    <t>成本逼近法</t>
  </si>
  <si>
    <t>年份</t>
  </si>
  <si>
    <t>月份</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</si>
  <si>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</si>
  <si>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</si>
  <si>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</si>
  <si>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</si>
  <si>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</si>
  <si>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</si>
  <si>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</si>
  <si>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</si>
  <si>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</si>
  <si>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</si>
  <si>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</si>
  <si>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</si>
  <si>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</si>
  <si>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</si>
  <si>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</si>
  <si>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</si>
  <si>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</si>
  <si>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</si>
  <si>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</si>
  <si>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</si>
  <si>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</si>
  <si>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</si>
  <si>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征+拆</t>
    <phoneticPr fontId="301" type="noConversion"/>
  </si>
  <si>
    <t>单价</t>
    <phoneticPr fontId="301" type="noConversion"/>
  </si>
  <si>
    <t>大兴区</t>
  </si>
  <si>
    <t>公开出让</t>
  </si>
  <si>
    <t>大兴区庞各庄镇镇区改造土地一级开发项目（DX06-0103-6001、6002、6003）地块</t>
  </si>
  <si>
    <t>北京市土地整理储备中心大兴区分中心</t>
  </si>
  <si>
    <t>一级开发</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</si>
  <si>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</si>
  <si>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</si>
  <si>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 xml:space="preserve">一、经大兴区政府审核，庞各庄镇镇区土地一级开发项目土地开发成本为 1157029.79万元，其中，前期费用 2504.75万元，征地补偿及相关税费 61695.44万元，拆迁补偿费及相关税费 859650.50万元，市政基础设施建设费 29474.51万元，其他费用 2280.79万元，财务费用 131373.94万元，利润或管理费 62609.45万元，审计费 1622.37万元，委托入市交易费 212.68万元，地价评估费 76.36万元,两税两费5529.00万元 。
二、扣除已收回成本374458.25万元，剩余地块土地开发成本782571.54 万元。
三、本次审核的地块土地开发成本为163953.37万元：
其中DX06-0103-6001地块土地开发总成本为78602.53
万元、DX06-0103-6002地块土地开发总成本为85120.78万元、DX06-0103-6003地块土地开发总成本为230.06万元。
</t>
  </si>
  <si>
    <t xml:space="preserve">本次审核地块已取得庞各庄镇镇区改造11号地土地一级开发范围内的征地批复及征地结案；地块内已完成拆迁。
</t>
  </si>
  <si>
    <t>顺义区</t>
  </si>
  <si>
    <t>划拨方式</t>
  </si>
  <si>
    <t>北京市顺义区空港木林高端制造业基地一期工业用地项目</t>
  </si>
  <si>
    <t>U11 供
水用地</t>
  </si>
  <si>
    <t>本次审核项目土地开发总成本为 6537.24 万元，其中，前期费
用 381.12 万元，征地补偿及相关税费 3173.01 万元，拆迁补偿及
相关费用 644.98 万元，市政基础设施建设费 10.00 万元，其他费
用 245.32 万元，财务费用 1508.71 万元，利润 356.35 万元，两税
两费 208.84 万元，审计费 8.91 万元。</t>
  </si>
  <si>
    <t>本次提请会议审核地块为 0301 地块，规划用地性质为 U11 供
水用地，地块总建设用地面积为 10000 平方米，地上建筑规模
1569.93 平方米</t>
  </si>
  <si>
    <t>中关村临空国际高新技术产业基地工业用地项目</t>
  </si>
  <si>
    <t>一类工业用地</t>
  </si>
  <si>
    <t>项目市政情况为临时三通一平，即通临时路、通临时用水、通
临时用电和场地自然平整</t>
  </si>
  <si>
    <t>截至 2022 年 2 月 28 日，本次审核项目土地开发总成本为
96582.40 万元，其中，前期费用 1332.45 万元，征地补偿及相关
税费 23802.01 万元，拆迁补偿及相关费用 50480.46 万元，市政基
础设施建设费131.89万元，其他费用0.00万元，财务费用12552.88
万元，利润 6059.74 万元，两税两费 1982.07 万元，审计费 141.57
万元，委托入市交易服务费及地价评估费 99.33 万元。
项目土地开发总成本扣除已入市地块回收成本 36113.99 万
元，剩余成本为 60468.41 万元。
本次审核地块总成本 9876.21 万元，其中：2-1（东区）地块
M1 一类工业用地，按照平均分摊成本为 6975.20 万元；3-2-3 地块
M1 一类工业用地，按照平均分摊成本为 2864.12 万元；5-3-4 地块
U12 供电设施用地根据《关于印发北京市储备开发及棚改等土地开
发类项目成本管理细则的通知》（京规自发〔2021〕449 号），按
照经营性用地 10%分摊成本，确定成本为 36.90 万元</t>
    <phoneticPr fontId="301" type="noConversion"/>
  </si>
  <si>
    <t>顺义区M15号线新国展北站土地一级开发项目</t>
  </si>
  <si>
    <t>前期费用1,374.74万元，征地补偿及相关税费36,436.78万元，拆迁补偿及相关费用98,258.50万元，市政基础设施建设费2,818.18万元，其他费用2,460.94万元，财务费用31,702.43万元，管理费2,693.91万元，审计费131.32万元，委托入市交易服务费及地价评估费170.42万元。</t>
  </si>
  <si>
    <t>ABC地块规划总经营性建筑规模1073717.864平方米。规划用地性质为居住、
多功能、行政办公及商业金融。</t>
  </si>
  <si>
    <t>二类居住用地（R2）和综合性商业金融服务业用地（B4）等</t>
  </si>
  <si>
    <t>未来项目周边市政建设达到的条件：七通一平，其中双平街、支二路已完成建设，平康南街、规划道路1、规划道路2预计于于二级竞得人竣工验收前完成。</t>
  </si>
  <si>
    <t>32.42_x000D_</t>
  </si>
  <si>
    <t>顺义区平各庄旧村改造一期项目土地开发成本为72834.11万元，其中，前期费用402.94万元，征地补偿及相关税费12139.74万元，拆迁补偿费及相关税费39759.29万元，市政基础设施建设费4916.43万元，其他费用2556.15万元，财务费用9229.12万元，利润2297.70万元，两税两费1487.30万元，审计费45.44万元。</t>
  </si>
  <si>
    <t>顺义新城项目用地一级开发</t>
  </si>
  <si>
    <t>二类住宅、商业金融</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</si>
  <si>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</si>
  <si>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一、经顺义区政府审核，顺义新城项目用地一级开发项目土地开发成本为118.79亿元。
二、扣除已收回、可收回成本97.56亿元，剩余地块土地开发成本21.24亿元。
三、顺义区按照市场可接受程度“先供先摊”，通过尽快供地实现资金回笼及后续滚动开发。本次提请审议地块的土地开发总成本为121639.98万元，其中SY0013-6049地块土地开发成本为5081.6万元，SY00-0013-6050地块土地开发成本为48698.02万元，SY00-0013-6052地块土地开发成本为7886.28万元，SY00-0013-6053地块土地开发成本为59974.08万元。
四、实物补偿: 无。
</t>
  </si>
  <si>
    <t>顺义区福环庄园住宅小区二期土地一级开发项目</t>
    <phoneticPr fontId="301" type="noConversion"/>
  </si>
  <si>
    <t>二类居住用地（R2）、商业金融用地（C2）以及托幼用地（A334）等</t>
  </si>
  <si>
    <t>未来项目周边市政建设达到的条件：七通一平。_x000D_</t>
  </si>
  <si>
    <t>顺义区福环庄园住宅小区二期项目土地开发成本为  142921.26万元，其中，前期费用581.73万元，拆迁补偿及相关费用141759.13万元，市政基础设施建设费2.00万元，其他费用493.83万元，审计费44.98万元，委托入市交易服务费39.59万元。_x000D_</t>
  </si>
  <si>
    <t>R2二类居住用地、A334托幼用地、S32公交场站设施用地等</t>
  </si>
  <si>
    <t>未来项目周边市政建设达到的条件：七通（通路、通上水(自来水、中水)，通下水(雨水、污水)，通电、通热力、通燃气、通讯）和场地自然平整，由顺义区政府负责督促完成实施。</t>
  </si>
  <si>
    <t>顺义区薛大人庄村剩余1、2号地块项目土地开发总成本为29,665.84万元，其中，前期费用430.48万元，征地补偿费3,879.88万元，拆迁补偿费及相关税费20,568.54万元，市政基础设施建设费1,001.38万元，其他费用902.96万元，财务费用365.92万元，利润/管理费2,142.66万元，审计费37.28万元，两税两费336.74万元，委托入市交易服务费及地价评估费0.00万元，清算费用0.00万元。</t>
  </si>
  <si>
    <t>顺义区仁和镇平各庄村B 地块土地一级开发项目</t>
  </si>
  <si>
    <t>居住、商业及托幼用地</t>
  </si>
  <si>
    <t>未来项目周边市政建设达到条件：七通(通路、通上水(自来水、中水)，通下水(雨水、污水)，通电、通热力、通燃气、通讯)，由顺义区政府负责督促完成实施。_x000D_</t>
  </si>
  <si>
    <t>36.15
（无代拆）</t>
  </si>
  <si>
    <t>正常</t>
  </si>
  <si>
    <t>六级</t>
    <phoneticPr fontId="28" type="noConversion"/>
  </si>
  <si>
    <t>七级</t>
    <phoneticPr fontId="28" type="noConversion"/>
  </si>
  <si>
    <t>八级</t>
    <phoneticPr fontId="28" type="noConversion"/>
  </si>
  <si>
    <t>九级</t>
    <phoneticPr fontId="28" type="noConversion"/>
  </si>
  <si>
    <t>十级</t>
    <phoneticPr fontId="28" type="noConversion"/>
  </si>
  <si>
    <t>十一级</t>
    <phoneticPr fontId="28" type="noConversion"/>
  </si>
  <si>
    <t>十一级</t>
    <phoneticPr fontId="21" type="noConversion"/>
  </si>
  <si>
    <t>工业</t>
    <phoneticPr fontId="7"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</si>
  <si>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</si>
  <si>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</si>
  <si>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</si>
  <si>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</si>
  <si>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</si>
  <si>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</si>
  <si>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</si>
  <si>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</si>
  <si>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</si>
  <si>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</si>
  <si>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</si>
  <si>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</si>
  <si>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</si>
  <si>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顺义区M15号线后沙峪站A、B、C地块</t>
    <phoneticPr fontId="224" type="noConversion"/>
  </si>
  <si>
    <t>顺义区平各庄旧村改造一期土地一级开发项目</t>
    <phoneticPr fontId="224" type="noConversion"/>
  </si>
  <si>
    <t>顺义区薛大人庄村剩余1、2号地块土地一级开发项目</t>
    <phoneticPr fontId="22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</si>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</sst>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indexed="8"/>
      <name val="等线"/>
      <family val="3"/>
      <charset val="134"/>
    </font>
    <font>
      <b/>
      <sz val="11"/>
      <name val="等线"/>
      <family val="3"/>
      <charset val="134"/>
    </font>
    <font>
      <sz val="9"/>
      <name val="等线"/>
      <family val="3"/>
      <charset val="134"/>
    </font>
    <font>
      <sz val="11"/>
      <name val="等线"/>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77" fillId="0" borderId="0">
      <alignment vertical="center"/>
    </xf>
    <xf numFmtId="0" fontId="77" fillId="0" borderId="0">
      <alignment vertical="center"/>
    </xf>
  </cellStyleXfs>
  <cellXfs count="40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0" xfId="18" applyAlignment="1"/>
    <xf numFmtId="0" fontId="243" fillId="0" borderId="19" xfId="19" applyFont="1" applyBorder="1" applyAlignment="1">
      <alignment horizontal="center" vertical="center" wrapText="1"/>
    </xf>
    <xf numFmtId="0" fontId="129" fillId="0" borderId="2" xfId="20" applyFont="1" applyBorder="1" applyAlignment="1">
      <alignment horizontal="center" vertical="center" wrapText="1"/>
    </xf>
    <xf numFmtId="0" fontId="129" fillId="0" borderId="3" xfId="20" applyFont="1" applyBorder="1" applyAlignment="1">
      <alignment horizontal="center" vertical="center" wrapText="1"/>
    </xf>
    <xf numFmtId="0" fontId="299" fillId="24" borderId="2" xfId="18" applyFill="1" applyBorder="1" applyAlignment="1">
      <alignment horizontal="center" vertical="center"/>
    </xf>
    <xf numFmtId="0" fontId="302" fillId="24" borderId="2" xfId="18" applyFont="1" applyFill="1" applyBorder="1" applyAlignment="1">
      <alignment horizontal="center" vertical="center" wrapText="1"/>
    </xf>
    <xf numFmtId="185" fontId="302" fillId="24" borderId="2" xfId="18" applyNumberFormat="1" applyFont="1" applyFill="1" applyBorder="1" applyAlignment="1">
      <alignment horizontal="center" vertical="center" wrapText="1"/>
    </xf>
    <xf numFmtId="177" fontId="140" fillId="24" borderId="2" xfId="18" applyNumberFormat="1" applyFont="1" applyFill="1" applyBorder="1" applyAlignment="1">
      <alignment horizontal="center" vertical="center" wrapText="1"/>
    </xf>
    <xf numFmtId="177" fontId="140" fillId="24" borderId="2" xfId="18" applyNumberFormat="1" applyFont="1" applyFill="1" applyBorder="1" applyAlignment="1">
      <alignment horizontal="left" vertical="center" wrapText="1"/>
    </xf>
    <xf numFmtId="0" fontId="299" fillId="24" borderId="0" xfId="18" applyFill="1" applyAlignment="1"/>
    <xf numFmtId="0" fontId="299" fillId="0" borderId="0" xfId="18">
      <alignment vertical="center"/>
    </xf>
    <xf numFmtId="0" fontId="299" fillId="0" borderId="2" xfId="18" applyBorder="1" applyAlignment="1">
      <alignment horizontal="center" vertical="center"/>
    </xf>
    <xf numFmtId="0" fontId="299" fillId="0" borderId="2" xfId="18" applyBorder="1">
      <alignment vertical="center"/>
    </xf>
    <xf numFmtId="0" fontId="299" fillId="0" borderId="2" xfId="18" applyBorder="1" applyAlignment="1">
      <alignment vertical="center" wrapText="1"/>
    </xf>
    <xf numFmtId="0" fontId="299" fillId="0" borderId="3" xfId="18" applyBorder="1">
      <alignment vertical="center"/>
    </xf>
    <xf numFmtId="4" fontId="299" fillId="0" borderId="2" xfId="18" applyNumberFormat="1" applyBorder="1">
      <alignment vertical="center"/>
    </xf>
    <xf numFmtId="0" fontId="299" fillId="0" borderId="13" xfId="18" applyBorder="1">
      <alignment vertical="center"/>
    </xf>
    <xf numFmtId="0" fontId="299" fillId="0" borderId="0" xfId="18" applyAlignment="1">
      <alignment vertical="center" wrapText="1"/>
    </xf>
    <xf numFmtId="0" fontId="299" fillId="25" borderId="0" xfId="18" applyFill="1">
      <alignment vertical="center"/>
    </xf>
    <xf numFmtId="0" fontId="299" fillId="25" borderId="2" xfId="18" applyFill="1" applyBorder="1" applyAlignment="1">
      <alignment horizontal="center" vertical="center"/>
    </xf>
    <xf numFmtId="0" fontId="299" fillId="25" borderId="2" xfId="18" applyFill="1" applyBorder="1">
      <alignment vertical="center"/>
    </xf>
    <xf numFmtId="0" fontId="299" fillId="25" borderId="2" xfId="18" applyFill="1" applyBorder="1" applyAlignment="1">
      <alignment vertical="center" wrapText="1"/>
    </xf>
    <xf numFmtId="4" fontId="299" fillId="25" borderId="2" xfId="18" applyNumberFormat="1" applyFill="1" applyBorder="1">
      <alignment vertical="center"/>
    </xf>
    <xf numFmtId="0" fontId="299" fillId="25" borderId="3" xfId="18" applyFill="1" applyBorder="1">
      <alignment vertical="center"/>
    </xf>
    <xf numFmtId="0" fontId="67" fillId="26" borderId="12" xfId="0" applyNumberFormat="1" applyFont="1" applyFill="1" applyBorder="1" applyAlignment="1" applyProtection="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141" fillId="0" borderId="2" xfId="1" applyBorder="1" applyAlignment="1">
      <alignment horizontal="center" vertical="center"/>
    </xf>
    <xf numFmtId="196" fontId="141" fillId="0" borderId="2" xfId="1" applyNumberFormat="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2" fillId="27" borderId="2" xfId="1" applyFont="1" applyFill="1" applyBorder="1" applyAlignment="1">
      <alignment horizontal="center" vertical="center"/>
    </xf>
    <xf numFmtId="0" fontId="141" fillId="0" borderId="2" xfId="1" applyBorder="1" applyAlignment="1">
      <alignment horizontal="center" vertical="center"/>
    </xf>
    <xf numFmtId="0" fontId="300" fillId="0" borderId="2" xfId="18" applyFont="1" applyBorder="1" applyAlignment="1">
      <alignment horizontal="center" vertical="center" wrapText="1"/>
    </xf>
    <xf numFmtId="0" fontId="300" fillId="0" borderId="2" xfId="18" applyFont="1" applyBorder="1" applyAlignment="1">
      <alignment horizontal="center" vertical="center"/>
    </xf>
    <xf numFmtId="185" fontId="300" fillId="0" borderId="2" xfId="18" applyNumberFormat="1" applyFont="1" applyBorder="1" applyAlignment="1">
      <alignment horizontal="center" vertical="center"/>
    </xf>
    <xf numFmtId="0" fontId="243" fillId="0" borderId="19" xfId="19" applyFont="1" applyBorder="1" applyAlignment="1">
      <alignment horizontal="center" vertical="center" wrapText="1"/>
    </xf>
    <xf numFmtId="0" fontId="129" fillId="0" borderId="5" xfId="20" applyFont="1" applyBorder="1" applyAlignment="1">
      <alignment horizontal="center" vertical="center" wrapText="1"/>
    </xf>
    <xf numFmtId="0" fontId="129" fillId="0" borderId="8" xfId="20" applyFont="1" applyBorder="1" applyAlignment="1">
      <alignment horizontal="center" vertical="center" wrapText="1"/>
    </xf>
    <xf numFmtId="0" fontId="129" fillId="0" borderId="9" xfId="20" applyFont="1" applyBorder="1" applyAlignment="1">
      <alignment horizontal="center" vertical="center" wrapText="1"/>
    </xf>
  </cellXfs>
  <cellStyles count="21">
    <cellStyle name="百分比" xfId="16" builtinId="5"/>
    <cellStyle name="百分比 2" xfId="11" xr:uid="{00000000-0005-0000-0000-000001000000}"/>
    <cellStyle name="常规" xfId="0" builtinId="0"/>
    <cellStyle name="常规 10" xfId="18" xr:uid="{6440EC33-832F-4FC0-B2AA-387A6EE63B7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xfId="20" xr:uid="{A7D9905A-DD2D-46BC-8467-658893A8146E}"/>
    <cellStyle name="常规 2 2 2 2 3" xfId="12" xr:uid="{00000000-0005-0000-0000-000007000000}"/>
    <cellStyle name="常规 2 3" xfId="19" xr:uid="{748DF5AA-FD28-441D-B474-473406C72B26}"/>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1475934</xdr:colOff>
      <xdr:row>19</xdr:row>
      <xdr:rowOff>47212</xdr:rowOff>
    </xdr:to>
    <xdr:pic>
      <xdr:nvPicPr>
        <xdr:cNvPr id="3" name="图片 2">
          <a:extLst>
            <a:ext uri="{FF2B5EF4-FFF2-40B4-BE49-F238E27FC236}">
              <a16:creationId xmlns:a16="http://schemas.microsoft.com/office/drawing/2014/main" id="{3F132205-33A0-41DB-A9E6-DEADB59C5E0E}"/>
            </a:ext>
          </a:extLst>
        </xdr:cNvPr>
        <xdr:cNvPicPr>
          <a:picLocks noChangeAspect="1"/>
        </xdr:cNvPicPr>
      </xdr:nvPicPr>
      <xdr:blipFill>
        <a:blip xmlns:r="http://schemas.openxmlformats.org/officeDocument/2006/relationships" r:embed="rId1"/>
        <a:stretch>
          <a:fillRect/>
        </a:stretch>
      </xdr:blipFill>
      <xdr:spPr>
        <a:xfrm>
          <a:off x="0" y="0"/>
          <a:ext cx="3523809" cy="3304762"/>
        </a:xfrm>
        <a:prstGeom prst="rect">
          <a:avLst/>
        </a:prstGeom>
      </xdr:spPr>
    </xdr:pic>
    <xdr:clientData/>
  </xdr:twoCellAnchor>
  <xdr:twoCellAnchor editAs="oneCell">
    <xdr:from>
      <xdr:col>0</xdr:col>
      <xdr:colOff>0</xdr:colOff>
      <xdr:row>20</xdr:row>
      <xdr:rowOff>0</xdr:rowOff>
    </xdr:from>
    <xdr:to>
      <xdr:col>2</xdr:col>
      <xdr:colOff>1437839</xdr:colOff>
      <xdr:row>35</xdr:row>
      <xdr:rowOff>18726</xdr:rowOff>
    </xdr:to>
    <xdr:pic>
      <xdr:nvPicPr>
        <xdr:cNvPr id="4" name="图片 3">
          <a:extLst>
            <a:ext uri="{FF2B5EF4-FFF2-40B4-BE49-F238E27FC236}">
              <a16:creationId xmlns:a16="http://schemas.microsoft.com/office/drawing/2014/main" id="{D332A7D0-D152-4AFE-BF19-AD5813E6D423}"/>
            </a:ext>
          </a:extLst>
        </xdr:cNvPr>
        <xdr:cNvPicPr>
          <a:picLocks noChangeAspect="1"/>
        </xdr:cNvPicPr>
      </xdr:nvPicPr>
      <xdr:blipFill>
        <a:blip xmlns:r="http://schemas.openxmlformats.org/officeDocument/2006/relationships" r:embed="rId2"/>
        <a:stretch>
          <a:fillRect/>
        </a:stretch>
      </xdr:blipFill>
      <xdr:spPr>
        <a:xfrm>
          <a:off x="0" y="3429000"/>
          <a:ext cx="3485714" cy="2590476"/>
        </a:xfrm>
        <a:prstGeom prst="rect">
          <a:avLst/>
        </a:prstGeom>
      </xdr:spPr>
    </xdr:pic>
    <xdr:clientData/>
  </xdr:twoCellAnchor>
  <xdr:twoCellAnchor editAs="oneCell">
    <xdr:from>
      <xdr:col>0</xdr:col>
      <xdr:colOff>0</xdr:colOff>
      <xdr:row>35</xdr:row>
      <xdr:rowOff>0</xdr:rowOff>
    </xdr:from>
    <xdr:to>
      <xdr:col>4</xdr:col>
      <xdr:colOff>85188</xdr:colOff>
      <xdr:row>58</xdr:row>
      <xdr:rowOff>94745</xdr:rowOff>
    </xdr:to>
    <xdr:pic>
      <xdr:nvPicPr>
        <xdr:cNvPr id="5" name="图片 4">
          <a:extLst>
            <a:ext uri="{FF2B5EF4-FFF2-40B4-BE49-F238E27FC236}">
              <a16:creationId xmlns:a16="http://schemas.microsoft.com/office/drawing/2014/main" id="{6E6B0FDB-4DDD-44D0-95A1-817A34510571}"/>
            </a:ext>
          </a:extLst>
        </xdr:cNvPr>
        <xdr:cNvPicPr>
          <a:picLocks noChangeAspect="1"/>
        </xdr:cNvPicPr>
      </xdr:nvPicPr>
      <xdr:blipFill>
        <a:blip xmlns:r="http://schemas.openxmlformats.org/officeDocument/2006/relationships" r:embed="rId3"/>
        <a:stretch>
          <a:fillRect/>
        </a:stretch>
      </xdr:blipFill>
      <xdr:spPr>
        <a:xfrm>
          <a:off x="0" y="6000750"/>
          <a:ext cx="4295238" cy="4038095"/>
        </a:xfrm>
        <a:prstGeom prst="rect">
          <a:avLst/>
        </a:prstGeom>
      </xdr:spPr>
    </xdr:pic>
    <xdr:clientData/>
  </xdr:twoCellAnchor>
  <xdr:twoCellAnchor editAs="oneCell">
    <xdr:from>
      <xdr:col>6</xdr:col>
      <xdr:colOff>200025</xdr:colOff>
      <xdr:row>26</xdr:row>
      <xdr:rowOff>133350</xdr:rowOff>
    </xdr:from>
    <xdr:to>
      <xdr:col>12</xdr:col>
      <xdr:colOff>380463</xdr:colOff>
      <xdr:row>48</xdr:row>
      <xdr:rowOff>113831</xdr:rowOff>
    </xdr:to>
    <xdr:pic>
      <xdr:nvPicPr>
        <xdr:cNvPr id="6" name="图片 5">
          <a:extLst>
            <a:ext uri="{FF2B5EF4-FFF2-40B4-BE49-F238E27FC236}">
              <a16:creationId xmlns:a16="http://schemas.microsoft.com/office/drawing/2014/main" id="{6E769E0F-F720-4342-A42F-B2D7491EB6DC}"/>
            </a:ext>
          </a:extLst>
        </xdr:cNvPr>
        <xdr:cNvPicPr>
          <a:picLocks noChangeAspect="1"/>
        </xdr:cNvPicPr>
      </xdr:nvPicPr>
      <xdr:blipFill>
        <a:blip xmlns:r="http://schemas.openxmlformats.org/officeDocument/2006/relationships" r:embed="rId4"/>
        <a:stretch>
          <a:fillRect/>
        </a:stretch>
      </xdr:blipFill>
      <xdr:spPr>
        <a:xfrm>
          <a:off x="4314825" y="4591050"/>
          <a:ext cx="4295238" cy="3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514351</xdr:colOff>
      <xdr:row>12</xdr:row>
      <xdr:rowOff>3278</xdr:rowOff>
    </xdr:from>
    <xdr:to>
      <xdr:col>14</xdr:col>
      <xdr:colOff>4095751</xdr:colOff>
      <xdr:row>13</xdr:row>
      <xdr:rowOff>74211</xdr:rowOff>
    </xdr:to>
    <xdr:pic>
      <xdr:nvPicPr>
        <xdr:cNvPr id="2" name="Picture 1">
          <a:extLst>
            <a:ext uri="{FF2B5EF4-FFF2-40B4-BE49-F238E27FC236}">
              <a16:creationId xmlns:a16="http://schemas.microsoft.com/office/drawing/2014/main" id="{FBB748F0-EDE8-4627-BF16-94A2E83E50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63351" y="15329003"/>
          <a:ext cx="3581400" cy="1337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678&#21271;&#20140;&#24066;&#39034;&#20041;&#21306;&#39034;&#20110;&#36335;&#39640;&#20029;&#33829;&#27573;122&#21495;&#38498;9&#24162;1&#33267;3&#23618;101/P03&#25910;&#20648;+&#20572;&#20135;&#20572;&#19994;/&#27979;&#31639;&#8212;&#8212;&#39034;&#20041;&#20912;&#22697;&#22697;-&#24120;&#30021;20221104-1634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停产停业损失补偿"/>
      <sheetName val="成本逼近法"/>
      <sheetName val="比较法-工业"/>
      <sheetName val="剩余法-现房"/>
      <sheetName val="比较法-住宅、综合"/>
      <sheetName val="基准地价"/>
      <sheetName val="修正"/>
      <sheetName val="区片价"/>
      <sheetName val="容积率修正"/>
      <sheetName val="因素修正幅度"/>
      <sheetName val="不动产收益法"/>
      <sheetName val="地价"/>
      <sheetName val="招拍挂成交"/>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112236.7平方米。根据《建设工程规划许可证》[]、《出让合同》[]，估价对象规划建筑面积为6637.12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2023年6月14日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根据《国有土地使用证》[]，估价对象（分摊）出让国有建设用地使用权面积为112236.7平方米。根据《建设工程规划许可证》[]、《出让合同》[]，估价对象规划建筑面积为6637.12平方米。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2053年11月12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估价期日：2023年6月14日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112236.7</v>
      </c>
    </row>
    <row r="44" spans="1:2">
      <c r="A44" s="2357" t="s">
        <v>2022</v>
      </c>
      <c r="B44" s="2358" t="str">
        <f>'预评函-2'!O3</f>
        <v>规划建筑面积/㎡</v>
      </c>
    </row>
    <row r="45" spans="1:2">
      <c r="A45" s="2357" t="s">
        <v>2004</v>
      </c>
      <c r="B45" s="2358">
        <f>'预评函-2'!O5</f>
        <v>6637.12</v>
      </c>
    </row>
    <row r="46" spans="1:2">
      <c r="A46" s="2357" t="s">
        <v>2005</v>
      </c>
      <c r="B46" s="2358">
        <f ca="1">'预评函-2'!P5</f>
        <v>965</v>
      </c>
    </row>
    <row r="47" spans="1:2">
      <c r="A47" s="2357" t="s">
        <v>2006</v>
      </c>
      <c r="B47" s="2358">
        <f ca="1">'预评函-2'!Q5</f>
        <v>16319</v>
      </c>
    </row>
    <row r="48" spans="1:2">
      <c r="A48" s="2357" t="s">
        <v>2007</v>
      </c>
      <c r="B48" s="2358">
        <f ca="1">'预评函-2'!R5</f>
        <v>10831</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2676</v>
      </c>
      <c r="B1" s="3283"/>
      <c r="C1" s="3283"/>
      <c r="D1" s="3283"/>
      <c r="E1" s="3283"/>
      <c r="F1" s="3284"/>
    </row>
    <row r="2" spans="1:6">
      <c r="A2" s="3286"/>
      <c r="B2" s="3287"/>
      <c r="C2" s="3287"/>
      <c r="D2" s="3287"/>
      <c r="E2" s="3287"/>
      <c r="F2" s="3288"/>
    </row>
    <row r="3" spans="1:6">
      <c r="A3" s="3289" t="s">
        <v>2677</v>
      </c>
      <c r="B3" s="3290">
        <f>项目基本情况!D3</f>
        <v>45091</v>
      </c>
      <c r="C3" s="3291"/>
      <c r="D3" s="3291"/>
      <c r="E3" s="3291"/>
      <c r="F3" s="3288"/>
    </row>
    <row r="4" spans="1:6">
      <c r="A4" s="3289" t="s">
        <v>2678</v>
      </c>
      <c r="B4" s="3292" t="s">
        <v>2679</v>
      </c>
      <c r="C4" s="3292" t="s">
        <v>2680</v>
      </c>
      <c r="D4" s="3292" t="s">
        <v>2681</v>
      </c>
      <c r="E4" s="3292" t="s">
        <v>2682</v>
      </c>
      <c r="F4" s="3288"/>
    </row>
    <row r="5" spans="1:6">
      <c r="A5" s="3293"/>
      <c r="B5" s="3290"/>
      <c r="C5" s="3292">
        <f>ROUNDDOWN(MIN((B5-B3)/365,A5),2)</f>
        <v>-123.53</v>
      </c>
      <c r="D5" s="3294">
        <f>IF(ISERROR(ROUND(POWER(1+E5,A5-C5)*(POWER(1+E5,C5)-1)/(POWER(1+E5,A5)-1),3)),0,ROUND(POWER(1+E5,A5-C5)*(POWER(1+E5,C5)-1)/(POWER(1+E5,A5)-1),4))</f>
        <v>0</v>
      </c>
      <c r="E5" s="3295"/>
      <c r="F5" s="3288"/>
    </row>
    <row r="6" spans="1:6">
      <c r="A6" s="3293"/>
      <c r="B6" s="3290"/>
      <c r="C6" s="3292">
        <f>ROUNDDOWN(MIN((B6-B3)/365,A6),2)</f>
        <v>-123.53</v>
      </c>
      <c r="D6" s="3294">
        <f>IF(ISERROR(ROUND(POWER(1+E6,A6-C6)*(POWER(1+E6,C6)-1)/(POWER(1+E6,A6)-1),3)),0,ROUND(POWER(1+E6,A6-C6)*(POWER(1+E6,C6)-1)/(POWER(1+E6,A6)-1),4))</f>
        <v>0</v>
      </c>
      <c r="E6" s="3295"/>
      <c r="F6" s="3288"/>
    </row>
    <row r="7" spans="1:6">
      <c r="A7" s="3293"/>
      <c r="B7" s="3290"/>
      <c r="C7" s="3292">
        <f>ROUNDDOWN(MIN((B7-B3)/365,A7),2)</f>
        <v>-123.53</v>
      </c>
      <c r="D7" s="3294">
        <f>IF(ISERROR(ROUND(POWER(1+E7,A7-C7)*(POWER(1+E7,C7)-1)/(POWER(1+E7,A7)-1),3)),0,ROUND(POWER(1+E7,A7-C7)*(POWER(1+E7,C7)-1)/(POWER(1+E7,A7)-1),4))</f>
        <v>0</v>
      </c>
      <c r="E7" s="3295"/>
      <c r="F7" s="3288"/>
    </row>
    <row r="8" spans="1:6">
      <c r="A8" s="3286"/>
      <c r="B8" s="3287"/>
      <c r="C8" s="3287"/>
      <c r="D8" s="3287"/>
      <c r="E8" s="3287"/>
      <c r="F8" s="3288"/>
    </row>
    <row r="9" spans="1:6">
      <c r="A9" s="3289" t="s">
        <v>2683</v>
      </c>
      <c r="B9" s="3292"/>
      <c r="C9" s="3292"/>
      <c r="D9" s="3292"/>
      <c r="E9" s="3292"/>
      <c r="F9" s="3296"/>
    </row>
    <row r="10" spans="1:6">
      <c r="A10" s="3289" t="s">
        <v>2684</v>
      </c>
      <c r="B10" s="3292"/>
      <c r="C10" s="3292"/>
      <c r="D10" s="3292" t="s">
        <v>2682</v>
      </c>
      <c r="E10" s="3292"/>
      <c r="F10" s="3296" t="s">
        <v>2681</v>
      </c>
    </row>
    <row r="11" spans="1:6">
      <c r="A11" s="3289" t="s">
        <v>2685</v>
      </c>
      <c r="B11" s="3297"/>
      <c r="C11" s="3292" t="s">
        <v>2686</v>
      </c>
      <c r="D11" s="3298"/>
      <c r="E11" s="3292" t="s">
        <v>2687</v>
      </c>
      <c r="F11" s="3299">
        <f>ROUND(1-(1/(POWER(1+D11,B11))),4)</f>
        <v>0</v>
      </c>
    </row>
    <row r="12" spans="1:6">
      <c r="A12" s="3289" t="s">
        <v>2688</v>
      </c>
      <c r="B12" s="3297"/>
      <c r="C12" s="3292" t="s">
        <v>2689</v>
      </c>
      <c r="D12" s="3298"/>
      <c r="E12" s="3292" t="s">
        <v>2690</v>
      </c>
      <c r="F12" s="3299">
        <f>ROUND(1-(1/(POWER(1+D12,B12))),4)</f>
        <v>0</v>
      </c>
    </row>
    <row r="13" spans="1:6">
      <c r="A13" s="3289" t="s">
        <v>2691</v>
      </c>
      <c r="B13" s="3292"/>
      <c r="C13" s="3291"/>
      <c r="D13" s="3287"/>
      <c r="E13" s="3287"/>
      <c r="F13" s="3288"/>
    </row>
    <row r="14" spans="1:6">
      <c r="A14" s="3289" t="s">
        <v>2692</v>
      </c>
      <c r="B14" s="3297"/>
      <c r="C14" s="3291"/>
      <c r="D14" s="3287"/>
      <c r="E14" s="3287"/>
      <c r="F14" s="3288"/>
    </row>
    <row r="15" spans="1:6">
      <c r="A15" s="3289" t="s">
        <v>2693</v>
      </c>
      <c r="B15" s="3292" t="e">
        <f>ROUND(B14*F12/F11,2)</f>
        <v>#DIV/0!</v>
      </c>
      <c r="C15" s="3292" t="e">
        <f>ROUND(F12/F11,4)</f>
        <v>#DIV/0!</v>
      </c>
      <c r="D15" s="3287"/>
      <c r="E15" s="3287"/>
      <c r="F15" s="3288"/>
    </row>
    <row r="16" spans="1:6">
      <c r="A16" s="3289" t="s">
        <v>2694</v>
      </c>
      <c r="B16" s="3292"/>
      <c r="C16" s="3291"/>
      <c r="D16" s="3287"/>
      <c r="E16" s="3287"/>
      <c r="F16" s="3288"/>
    </row>
    <row r="17" spans="1:7">
      <c r="A17" s="3289" t="s">
        <v>2693</v>
      </c>
      <c r="B17" s="3298"/>
      <c r="C17" s="3291"/>
      <c r="D17" s="3287"/>
      <c r="E17" s="3287"/>
      <c r="F17" s="3288"/>
    </row>
    <row r="18" spans="1:7" ht="14.25" thickBot="1">
      <c r="A18" s="3300" t="s">
        <v>2692</v>
      </c>
      <c r="B18" s="3301" t="e">
        <f>ROUND(B17*F11/F12,2)</f>
        <v>#DIV/0!</v>
      </c>
      <c r="C18" s="3301" t="e">
        <f>ROUND(F11/F12,4)</f>
        <v>#DIV/0!</v>
      </c>
      <c r="D18" s="3302"/>
      <c r="E18" s="3302"/>
      <c r="F18" s="3303"/>
    </row>
    <row r="19" spans="1:7" ht="14.25" thickBot="1"/>
    <row r="20" spans="1:7">
      <c r="A20" s="3304" t="s">
        <v>2695</v>
      </c>
      <c r="B20" s="3305"/>
      <c r="C20" s="3305"/>
      <c r="D20" s="3305"/>
      <c r="E20" s="3305"/>
      <c r="F20" s="3305"/>
      <c r="G20" s="3306"/>
    </row>
    <row r="21" spans="1:7">
      <c r="A21" s="3307"/>
      <c r="B21" s="3308" t="s">
        <v>2696</v>
      </c>
      <c r="C21" s="3308" t="s">
        <v>2697</v>
      </c>
      <c r="D21" s="3308" t="s">
        <v>2698</v>
      </c>
      <c r="E21" s="3308" t="s">
        <v>2699</v>
      </c>
      <c r="F21" s="3308" t="s">
        <v>2700</v>
      </c>
      <c r="G21" s="3309" t="s">
        <v>2701</v>
      </c>
    </row>
    <row r="22" spans="1:7">
      <c r="A22" s="3307" t="s">
        <v>2702</v>
      </c>
      <c r="B22" s="3310">
        <v>50</v>
      </c>
      <c r="C22" s="3310">
        <v>32</v>
      </c>
      <c r="D22" s="3311">
        <v>0.05</v>
      </c>
      <c r="E22" s="3308">
        <f>ROUND(POWER(1+D22,B22-C22)*(POWER(1+D22,C22)-1)/(POWER(1+D22,B22)-1),3)</f>
        <v>0.86599999999999999</v>
      </c>
      <c r="F22" s="3311">
        <v>0.6</v>
      </c>
      <c r="G22" s="3309">
        <f>ROUND(100*(1-(1-E22)*F22),1)</f>
        <v>92</v>
      </c>
    </row>
    <row r="23" spans="1:7">
      <c r="A23" s="3312" t="s">
        <v>2703</v>
      </c>
      <c r="B23" s="3310">
        <v>50</v>
      </c>
      <c r="C23" s="3310">
        <v>35</v>
      </c>
      <c r="D23" s="3311">
        <v>0.05</v>
      </c>
      <c r="E23" s="3308">
        <f>ROUND(POWER(1+D23,B23-C23)*(POWER(1+D23,C23)-1)/(POWER(1+D23,B23)-1),3)</f>
        <v>0.89700000000000002</v>
      </c>
      <c r="F23" s="3311">
        <f>F22</f>
        <v>0.6</v>
      </c>
      <c r="G23" s="3309">
        <f>ROUND(100*(1-(1-E23)*F23),1)</f>
        <v>93.8</v>
      </c>
    </row>
    <row r="24" spans="1:7">
      <c r="A24" s="3312" t="s">
        <v>2704</v>
      </c>
      <c r="B24" s="3310">
        <v>50</v>
      </c>
      <c r="C24" s="3310">
        <v>25</v>
      </c>
      <c r="D24" s="3311">
        <v>0.05</v>
      </c>
      <c r="E24" s="3308">
        <f>ROUND(POWER(1+D24,B24-C24)*(POWER(1+D24,C24)-1)/(POWER(1+D24,B24)-1),3)</f>
        <v>0.77200000000000002</v>
      </c>
      <c r="F24" s="3311">
        <f>F23</f>
        <v>0.6</v>
      </c>
      <c r="G24" s="3309">
        <f>ROUND(100*(1-(1-E24)*F24),1)</f>
        <v>86.3</v>
      </c>
    </row>
    <row r="25" spans="1:7">
      <c r="A25" s="3312" t="s">
        <v>2705</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2706</v>
      </c>
      <c r="B27" s="3317"/>
      <c r="C27" s="3317"/>
      <c r="D27" s="3317"/>
      <c r="E27" s="3317"/>
      <c r="F27" s="3317"/>
      <c r="G27" s="3318"/>
    </row>
    <row r="28" spans="1:7">
      <c r="A28" s="3316" t="s">
        <v>2707</v>
      </c>
      <c r="B28" s="3317"/>
      <c r="C28" s="3317"/>
      <c r="D28" s="3317"/>
      <c r="E28" s="3317"/>
      <c r="F28" s="3317"/>
      <c r="G28" s="3318"/>
    </row>
    <row r="29" spans="1:7">
      <c r="A29" s="3316" t="s">
        <v>2708</v>
      </c>
      <c r="B29" s="3317"/>
      <c r="C29" s="3317"/>
      <c r="D29" s="3317"/>
      <c r="E29" s="3317"/>
      <c r="F29" s="3317"/>
      <c r="G29" s="3318"/>
    </row>
    <row r="30" spans="1:7">
      <c r="A30" s="3316" t="s">
        <v>2709</v>
      </c>
      <c r="B30" s="3317"/>
      <c r="C30" s="3317"/>
      <c r="D30" s="3317"/>
      <c r="E30" s="3317"/>
      <c r="F30" s="3317"/>
      <c r="G30" s="3318"/>
    </row>
    <row r="31" spans="1:7">
      <c r="A31" s="3316" t="s">
        <v>2710</v>
      </c>
      <c r="B31" s="3317"/>
      <c r="C31" s="3317"/>
      <c r="D31" s="3317"/>
      <c r="E31" s="3317"/>
      <c r="F31" s="3317"/>
      <c r="G31" s="3318"/>
    </row>
    <row r="32" spans="1:7">
      <c r="A32" s="3316" t="s">
        <v>2711</v>
      </c>
      <c r="B32" s="3317"/>
      <c r="C32" s="3317"/>
      <c r="D32" s="3317"/>
      <c r="E32" s="3317"/>
      <c r="F32" s="3317"/>
      <c r="G32" s="3318"/>
    </row>
    <row r="33" spans="1:7">
      <c r="A33" s="3316" t="s">
        <v>2712</v>
      </c>
      <c r="B33" s="3317"/>
      <c r="C33" s="3317"/>
      <c r="D33" s="3317"/>
      <c r="E33" s="3317"/>
      <c r="F33" s="3317"/>
      <c r="G33" s="3318"/>
    </row>
    <row r="34" spans="1:7">
      <c r="A34" s="3316" t="s">
        <v>2713</v>
      </c>
      <c r="B34" s="3317"/>
      <c r="C34" s="3317"/>
      <c r="D34" s="3317"/>
      <c r="E34" s="3317"/>
      <c r="F34" s="3317"/>
      <c r="G34" s="3318"/>
    </row>
    <row r="35" spans="1:7">
      <c r="A35" s="3316" t="s">
        <v>2714</v>
      </c>
      <c r="B35" s="3317"/>
      <c r="C35" s="3317"/>
      <c r="D35" s="3317"/>
      <c r="E35" s="3317"/>
      <c r="F35" s="3317"/>
      <c r="G35" s="3318"/>
    </row>
    <row r="36" spans="1:7">
      <c r="A36" s="3316" t="s">
        <v>2715</v>
      </c>
      <c r="B36" s="3317"/>
      <c r="C36" s="3317"/>
      <c r="D36" s="3317"/>
      <c r="E36" s="3317"/>
      <c r="F36" s="3317"/>
      <c r="G36" s="3318"/>
    </row>
    <row r="37" spans="1:7">
      <c r="A37" s="3316" t="s">
        <v>2716</v>
      </c>
      <c r="B37" s="3317"/>
      <c r="C37" s="3317"/>
      <c r="D37" s="3317"/>
      <c r="E37" s="3317"/>
      <c r="F37" s="3317"/>
      <c r="G37" s="3318"/>
    </row>
    <row r="38" spans="1:7">
      <c r="A38" s="3316" t="s">
        <v>2717</v>
      </c>
      <c r="B38" s="3317"/>
      <c r="C38" s="3317"/>
      <c r="D38" s="3317"/>
      <c r="E38" s="3317"/>
      <c r="F38" s="3317"/>
      <c r="G38" s="3318"/>
    </row>
    <row r="39" spans="1:7">
      <c r="A39" s="3316"/>
      <c r="B39" s="3317"/>
      <c r="C39" s="3317"/>
      <c r="D39" s="3317"/>
      <c r="E39" s="3317"/>
      <c r="F39" s="3317"/>
      <c r="G39" s="3318"/>
    </row>
    <row r="40" spans="1:7">
      <c r="A40" s="3319" t="s">
        <v>2718</v>
      </c>
      <c r="B40" s="3320"/>
      <c r="C40" s="3320"/>
      <c r="D40" s="3320"/>
      <c r="E40" s="3320"/>
      <c r="F40" s="3320"/>
      <c r="G40" s="3321"/>
    </row>
    <row r="41" spans="1:7">
      <c r="A41" s="3322" t="s">
        <v>2719</v>
      </c>
      <c r="B41" s="3323" t="s">
        <v>2720</v>
      </c>
      <c r="C41" s="3324" t="s">
        <v>2721</v>
      </c>
      <c r="D41" s="3324" t="s">
        <v>2722</v>
      </c>
      <c r="E41" s="3325"/>
      <c r="F41" s="3326"/>
      <c r="G41" s="3327"/>
    </row>
    <row r="42" spans="1:7">
      <c r="A42" s="3322" t="s">
        <v>2723</v>
      </c>
      <c r="B42" s="3323" t="s">
        <v>2724</v>
      </c>
      <c r="C42" s="3324" t="s">
        <v>2724</v>
      </c>
      <c r="D42" s="3328" t="s">
        <v>2725</v>
      </c>
      <c r="E42" s="3320" t="s">
        <v>2726</v>
      </c>
      <c r="F42" s="3320"/>
      <c r="G42" s="3321"/>
    </row>
    <row r="43" spans="1:7">
      <c r="A43" s="3322" t="s">
        <v>2727</v>
      </c>
      <c r="B43" s="3323" t="s">
        <v>2728</v>
      </c>
      <c r="C43" s="3324" t="s">
        <v>2729</v>
      </c>
      <c r="D43" s="3324" t="s">
        <v>2730</v>
      </c>
      <c r="E43" s="3325" t="s">
        <v>2731</v>
      </c>
      <c r="F43" s="3326"/>
      <c r="G43" s="3327"/>
    </row>
    <row r="44" spans="1:7">
      <c r="A44" s="3322" t="s">
        <v>2732</v>
      </c>
      <c r="B44" s="3323" t="s">
        <v>2733</v>
      </c>
      <c r="C44" s="3324" t="s">
        <v>2734</v>
      </c>
      <c r="D44" s="3328">
        <v>0.5</v>
      </c>
      <c r="E44" s="3325" t="s">
        <v>2735</v>
      </c>
      <c r="F44" s="3326"/>
      <c r="G44" s="3327"/>
    </row>
    <row r="45" spans="1:7" ht="14.25" thickBot="1">
      <c r="A45" s="3329" t="s">
        <v>2736</v>
      </c>
      <c r="B45" s="3330" t="s">
        <v>2724</v>
      </c>
      <c r="C45" s="3331" t="s">
        <v>2724</v>
      </c>
      <c r="D45" s="3331" t="s">
        <v>2737</v>
      </c>
      <c r="E45" s="3332" t="s">
        <v>2738</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42" sqref="H42"/>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4" t="str">
        <f>IF(B10="北京市","北京市",C10)&amp;F10&amp;A17&amp;"国有建设用地使用权"&amp;B9&amp;"预评估"</f>
        <v>北京市出让国有建设用地使用权预评估</v>
      </c>
      <c r="C1" s="3725"/>
      <c r="D1" s="3725"/>
      <c r="E1" s="3725"/>
      <c r="F1" s="3725"/>
      <c r="G1" s="3725"/>
      <c r="H1" s="3725"/>
      <c r="I1" s="3726"/>
      <c r="J1" s="2816"/>
      <c r="K1" s="2107" t="str">
        <f>IF(B10="北京市","北京市",C10)&amp;F10&amp;A17&amp;"国有建设用地使用权"&amp;B9</f>
        <v>北京市出让国有建设用地使用权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45091</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30"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31"/>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27"/>
      <c r="C12" s="3728"/>
      <c r="D12" s="3729"/>
      <c r="E12" s="1494" t="s">
        <v>1579</v>
      </c>
      <c r="F12" s="3745" t="s">
        <v>2163</v>
      </c>
      <c r="G12" s="3746"/>
      <c r="H12" s="3746"/>
      <c r="I12" s="3747"/>
      <c r="J12" s="2816"/>
      <c r="K12" s="2799"/>
      <c r="L12" s="2795"/>
      <c r="M12" s="2795"/>
      <c r="N12" s="2796"/>
      <c r="O12" s="2797"/>
      <c r="P12" s="2796"/>
      <c r="Q12" s="2796"/>
      <c r="R12" s="2796"/>
      <c r="S12" s="2796"/>
      <c r="T12" s="2796"/>
      <c r="U12" s="2796"/>
    </row>
    <row r="13" spans="1:21">
      <c r="A13" s="1485" t="s">
        <v>1577</v>
      </c>
      <c r="B13" s="3727"/>
      <c r="C13" s="3728"/>
      <c r="D13" s="3729"/>
      <c r="E13" s="1494" t="s">
        <v>1579</v>
      </c>
      <c r="F13" s="3745" t="s">
        <v>2164</v>
      </c>
      <c r="G13" s="3746"/>
      <c r="H13" s="3746"/>
      <c r="I13" s="3747"/>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1"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工业2053年11月12日</v>
      </c>
      <c r="T16" s="1494" t="str">
        <f>IF(OR(S16="",U16=""),"","、")</f>
        <v/>
      </c>
      <c r="U16" s="2108" t="str">
        <f>IF(I17="","",I16&amp;TEXT(I17,"yyyy年m月d日;;"))</f>
        <v/>
      </c>
    </row>
    <row r="17" spans="1:21">
      <c r="A17" s="3335" t="s">
        <v>2744</v>
      </c>
      <c r="B17" s="2745" t="s">
        <v>1473</v>
      </c>
      <c r="C17" s="3334"/>
      <c r="D17" s="3334"/>
      <c r="E17" s="3334"/>
      <c r="F17" s="3334"/>
      <c r="G17" s="3334"/>
      <c r="H17" s="3334">
        <v>56200</v>
      </c>
      <c r="I17" s="3334"/>
      <c r="J17" s="2816"/>
      <c r="K17" s="2794" t="str">
        <f>CONCATENATE(K16,L16,M16,N16,O16,P16,Q16,R16,S16,T16,,U16)</f>
        <v>工业2053年11月12日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30.43</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2"/>
      <c r="E20" s="3743"/>
      <c r="F20" s="3743"/>
      <c r="G20" s="3743"/>
      <c r="H20" s="3743"/>
      <c r="I20" s="3744"/>
      <c r="J20" s="2816"/>
      <c r="K20" s="2799"/>
      <c r="L20" s="2795"/>
      <c r="M20" s="2795"/>
      <c r="N20" s="2796"/>
      <c r="O20" s="2797"/>
      <c r="P20" s="2796"/>
      <c r="Q20" s="2796"/>
      <c r="R20" s="2796"/>
      <c r="S20" s="2796"/>
      <c r="T20" s="2796"/>
      <c r="U20" s="2796"/>
    </row>
    <row r="21" spans="1:21">
      <c r="A21" s="1552" t="s">
        <v>1476</v>
      </c>
      <c r="B21" s="1553" t="s">
        <v>1477</v>
      </c>
      <c r="C21" s="1548">
        <f>'数据-汇总表'!E3</f>
        <v>6637.12</v>
      </c>
      <c r="D21" s="1549" t="s">
        <v>1478</v>
      </c>
      <c r="E21" s="3732" t="s">
        <v>1516</v>
      </c>
      <c r="F21" s="3733"/>
      <c r="G21" s="3733"/>
      <c r="H21" s="3733"/>
      <c r="I21" s="3734"/>
      <c r="J21" s="2816"/>
      <c r="K21" s="2799"/>
      <c r="L21" s="2795"/>
      <c r="M21" s="2795"/>
      <c r="N21" s="2796"/>
      <c r="O21" s="2797"/>
      <c r="P21" s="2796"/>
      <c r="Q21" s="2796"/>
      <c r="R21" s="2796"/>
      <c r="S21" s="2796"/>
      <c r="T21" s="2796"/>
      <c r="U21" s="2796"/>
    </row>
    <row r="22" spans="1:21">
      <c r="A22" s="2556" t="s">
        <v>877</v>
      </c>
      <c r="B22" s="1464" t="s">
        <v>1479</v>
      </c>
      <c r="C22" s="1484">
        <f>'数据-汇总表'!D3</f>
        <v>112236.7</v>
      </c>
      <c r="D22" s="1485" t="s">
        <v>1478</v>
      </c>
      <c r="E22" s="3732" t="s">
        <v>2165</v>
      </c>
      <c r="F22" s="3733"/>
      <c r="G22" s="3733"/>
      <c r="H22" s="3733"/>
      <c r="I22" s="3734"/>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5" t="s">
        <v>1484</v>
      </c>
      <c r="C24" s="3736"/>
      <c r="D24" s="3737" t="s">
        <v>1485</v>
      </c>
      <c r="E24" s="3738"/>
      <c r="F24" s="1502" t="s">
        <v>1486</v>
      </c>
      <c r="G24" s="2816"/>
      <c r="H24" s="2816"/>
      <c r="I24" s="2820"/>
      <c r="J24" s="2816"/>
      <c r="K24" s="372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0" t="s">
        <v>1519</v>
      </c>
      <c r="B31" s="1553" t="s">
        <v>1520</v>
      </c>
      <c r="C31" s="3748"/>
      <c r="D31" s="3749"/>
      <c r="E31" s="2816"/>
      <c r="F31" s="2816"/>
      <c r="G31" s="2816"/>
      <c r="H31" s="2816"/>
      <c r="I31" s="2820"/>
      <c r="J31" s="2816"/>
      <c r="K31" s="2802"/>
      <c r="L31" s="2796"/>
      <c r="M31" s="2796"/>
      <c r="N31" s="2796"/>
      <c r="O31" s="2796"/>
      <c r="P31" s="2796"/>
      <c r="Q31" s="2796"/>
      <c r="R31" s="2796"/>
      <c r="S31" s="2796"/>
      <c r="T31" s="2796"/>
      <c r="U31" s="2796"/>
    </row>
    <row r="32" spans="1:21">
      <c r="A32" s="3750"/>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0"/>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1"/>
      <c r="B34" s="1464" t="s">
        <v>1523</v>
      </c>
      <c r="C34" s="3752"/>
      <c r="D34" s="3753"/>
      <c r="E34" s="2816"/>
      <c r="F34" s="2816"/>
      <c r="G34" s="2816"/>
      <c r="H34" s="2816"/>
      <c r="I34" s="2820"/>
      <c r="J34" s="2816"/>
      <c r="K34" s="2802"/>
      <c r="L34" s="2796"/>
      <c r="M34" s="2796"/>
      <c r="N34" s="2796"/>
      <c r="O34" s="2796"/>
      <c r="P34" s="2796"/>
      <c r="Q34" s="2796"/>
      <c r="R34" s="2796"/>
      <c r="S34" s="2796"/>
      <c r="T34" s="2796"/>
      <c r="U34" s="2796"/>
    </row>
    <row r="35" spans="1:28">
      <c r="A35" s="3754" t="s">
        <v>785</v>
      </c>
      <c r="B35" s="1516"/>
      <c r="C35" s="1562" t="str">
        <f>IF(B35="场地平整","——","具体情况：")</f>
        <v>具体情况：</v>
      </c>
      <c r="D35" s="3756"/>
      <c r="E35" s="3757"/>
      <c r="F35" s="3757"/>
      <c r="G35" s="3757"/>
      <c r="H35" s="3757"/>
      <c r="I35" s="3758"/>
      <c r="J35" s="2816"/>
      <c r="K35" s="2803"/>
      <c r="L35" s="2795"/>
      <c r="M35" s="2795"/>
      <c r="N35" s="2796"/>
      <c r="O35" s="2797"/>
      <c r="P35" s="2796"/>
      <c r="Q35" s="2796"/>
      <c r="R35" s="2796"/>
      <c r="S35" s="2796"/>
      <c r="T35" s="2796"/>
      <c r="U35" s="2796"/>
    </row>
    <row r="36" spans="1:28">
      <c r="A36" s="3750"/>
      <c r="B36" s="3759" t="s">
        <v>1572</v>
      </c>
      <c r="C36" s="3760"/>
      <c r="D36" s="1578"/>
      <c r="E36" s="3761"/>
      <c r="F36" s="3761"/>
      <c r="G36" s="1485" t="str">
        <f>IF(B35="场地未平整","估价结果处理","")</f>
        <v/>
      </c>
      <c r="H36" s="3762"/>
      <c r="I36" s="3762"/>
      <c r="J36" s="2816"/>
      <c r="K36" s="2803"/>
      <c r="L36" s="2795"/>
      <c r="M36" s="2795"/>
      <c r="N36" s="2796"/>
      <c r="O36" s="2797"/>
      <c r="P36" s="2796"/>
      <c r="Q36" s="2796"/>
      <c r="R36" s="2796"/>
      <c r="S36" s="2796"/>
      <c r="T36" s="2796"/>
      <c r="U36" s="2796"/>
    </row>
    <row r="37" spans="1:28" ht="28.5">
      <c r="A37" s="3750"/>
      <c r="B37" s="3739"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0"/>
      <c r="B38" s="3740"/>
      <c r="C38" s="1472" t="s">
        <v>788</v>
      </c>
      <c r="D38" s="1577">
        <f>ROUNDDOWN(MIN(('数据-取费表'!$B$2-D37)/365,D34),1)</f>
        <v>123.5</v>
      </c>
      <c r="E38" s="1521" t="s">
        <v>789</v>
      </c>
      <c r="F38" s="2816"/>
      <c r="G38" s="2816"/>
      <c r="H38" s="2816"/>
      <c r="I38" s="2820"/>
      <c r="J38" s="2816"/>
      <c r="K38" s="2803"/>
      <c r="L38" s="2796"/>
      <c r="M38" s="2796"/>
      <c r="N38" s="2796"/>
      <c r="O38" s="2796"/>
      <c r="P38" s="2796"/>
      <c r="Q38" s="2796"/>
      <c r="R38" s="2796"/>
      <c r="S38" s="2796"/>
      <c r="T38" s="2796"/>
      <c r="U38" s="2796"/>
    </row>
    <row r="39" spans="1:28">
      <c r="A39" s="3751"/>
      <c r="B39" s="374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2" t="s">
        <v>1503</v>
      </c>
      <c r="T40" s="1525" t="str">
        <f>NUMBERSTRING(7-K40,1)&amp;"通"</f>
        <v>七通</v>
      </c>
      <c r="U40" s="2796"/>
    </row>
    <row r="41" spans="1:28">
      <c r="A41" s="1466"/>
      <c r="B41" s="3755" t="s">
        <v>1250</v>
      </c>
      <c r="C41" s="3755"/>
      <c r="D41" s="3755"/>
      <c r="E41" s="3755"/>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2"/>
      <c r="T41" s="1527" t="str">
        <f>IF(T40="一通",L41,IF(T40="二通",M41,IF(T40="三通",N41,IF(T40="四通",O41,IF(T40="五通",P41,IF(T40="六通",Q41,R41))))))</f>
        <v>、、、、、、</v>
      </c>
      <c r="U41" s="2796"/>
    </row>
    <row r="42" spans="1:28">
      <c r="A42" s="1529"/>
      <c r="B42" s="1555" t="s">
        <v>1422</v>
      </c>
      <c r="C42" s="1555" t="s">
        <v>1423</v>
      </c>
      <c r="D42" s="1555" t="s">
        <v>1424</v>
      </c>
      <c r="E42" s="3281" t="s">
        <v>2745</v>
      </c>
      <c r="F42" s="3281"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2765</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3013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4" sqref="A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112236.7</v>
      </c>
      <c r="B3" s="20">
        <f>IF(C3="否",G5-AT5,G5)</f>
        <v>6637.12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6637.12</v>
      </c>
      <c r="H5" s="25">
        <f t="shared" ref="H5:AT5" si="0">SUM(H13:H641)</f>
        <v>6637.12</v>
      </c>
      <c r="I5" s="25">
        <f t="shared" si="0"/>
        <v>6637.12</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6637.12</v>
      </c>
      <c r="BA5" s="27">
        <f t="shared" si="1"/>
        <v>6637.12</v>
      </c>
      <c r="BB5" s="27">
        <f t="shared" si="1"/>
        <v>6637.12</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112236.7</v>
      </c>
      <c r="F6" s="25" t="s">
        <v>0</v>
      </c>
      <c r="G6" s="25" t="s">
        <v>1</v>
      </c>
      <c r="H6" s="31">
        <f>SUMIF(I$12:AB$12,"总值",I6:AB6)</f>
        <v>112236.7</v>
      </c>
      <c r="I6" s="25">
        <f t="shared" ref="I6:AB6" si="2">ROUND($A$3*I5/$B$3,2)</f>
        <v>112236.7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112236.7</v>
      </c>
      <c r="AZ6" s="25" t="s">
        <v>2</v>
      </c>
      <c r="BA6" s="25">
        <f>ROUND($AY$6*BA5/$AZ$5,2)</f>
        <v>112236.7</v>
      </c>
      <c r="BB6" s="25">
        <f>ROUND($AY$6*BB5/$AZ$5,2)</f>
        <v>112236.7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3263</v>
      </c>
      <c r="E13" s="25">
        <f t="shared" ref="E13:E20" si="6">IF($C$3="是",ROUND($A$3*G13/$B$3,2),ROUND($A$3*(G13-AT13)/$B$3,2))</f>
        <v>112236.7</v>
      </c>
      <c r="F13" s="78"/>
      <c r="G13" s="79">
        <f t="shared" ref="G13:G20" si="7">H13+AC13+AT13</f>
        <v>6637.12</v>
      </c>
      <c r="H13" s="31">
        <f t="shared" ref="H13:H20" si="8">SUMIF(I$12:AB$12,"总值",I13:AB13)</f>
        <v>6637.12</v>
      </c>
      <c r="I13" s="2490">
        <v>6637.12</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112236.7</v>
      </c>
      <c r="AZ13" s="25">
        <f t="shared" ref="AZ13:AZ20" si="12">BA13+BL13</f>
        <v>6637.12</v>
      </c>
      <c r="BA13" s="25">
        <f t="shared" ref="BA13:BA20" si="13">SUM(BB13:BK13)</f>
        <v>6637.12</v>
      </c>
      <c r="BB13" s="25">
        <f t="shared" ref="BB13:BB20" si="14">IF($D13="是",I13-J13,0)</f>
        <v>6637.12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2" t="s">
        <v>169</v>
      </c>
      <c r="B2" s="3772"/>
      <c r="C2" s="3772"/>
      <c r="D2" s="1729" t="s">
        <v>170</v>
      </c>
      <c r="E2" s="102" t="s">
        <v>171</v>
      </c>
      <c r="F2" s="2825"/>
      <c r="G2" s="1096"/>
      <c r="H2" s="1097"/>
      <c r="I2" s="1098" t="s">
        <v>795</v>
      </c>
      <c r="J2" s="2825"/>
      <c r="K2" s="2825"/>
      <c r="L2" s="2825"/>
      <c r="M2" s="2825"/>
      <c r="N2" s="2825"/>
      <c r="O2" s="2825"/>
      <c r="P2" s="2825"/>
    </row>
    <row r="3" spans="1:16" ht="15.75" thickBot="1">
      <c r="A3" s="3773" t="s">
        <v>172</v>
      </c>
      <c r="B3" s="3773"/>
      <c r="C3" s="3773"/>
      <c r="D3" s="103">
        <f>'数据-基础表'!AY6</f>
        <v>112236.7</v>
      </c>
      <c r="E3" s="103">
        <f>'数据-基础表'!AZ5</f>
        <v>6637.12</v>
      </c>
      <c r="F3" s="2825"/>
      <c r="G3" s="271" t="s">
        <v>796</v>
      </c>
      <c r="H3" s="266" t="s">
        <v>797</v>
      </c>
      <c r="I3" s="1730">
        <f>ROUND('数据-基础表'!B3/'数据-基础表'!A3,2)</f>
        <v>0.06</v>
      </c>
      <c r="J3" s="2825"/>
      <c r="K3" s="2825"/>
      <c r="L3" s="2825"/>
      <c r="M3" s="2825"/>
      <c r="N3" s="2825"/>
      <c r="O3" s="2825"/>
      <c r="P3" s="2825"/>
    </row>
    <row r="4" spans="1:16" ht="15">
      <c r="A4" s="3774"/>
      <c r="B4" s="3775"/>
      <c r="C4" s="3776"/>
      <c r="D4" s="104" t="s">
        <v>170</v>
      </c>
      <c r="E4" s="105" t="s">
        <v>171</v>
      </c>
      <c r="F4" s="2825"/>
      <c r="G4" s="1099"/>
      <c r="H4" s="266" t="s">
        <v>798</v>
      </c>
      <c r="I4" s="1730">
        <f>ROUND(SUMIF('数据-基础表'!I9:AS9,"地上",'数据-基础表'!I5:AS5)/'数据-基础表'!A3,2)</f>
        <v>0.06</v>
      </c>
      <c r="J4" s="2825"/>
      <c r="K4" s="2825"/>
      <c r="L4" s="2825"/>
      <c r="M4" s="2825"/>
      <c r="N4" s="2825"/>
      <c r="O4" s="2825"/>
      <c r="P4" s="2825"/>
    </row>
    <row r="5" spans="1:16">
      <c r="A5" s="106" t="s">
        <v>173</v>
      </c>
      <c r="B5" s="3777" t="s">
        <v>196</v>
      </c>
      <c r="C5" s="3777"/>
      <c r="D5" s="107">
        <f>ROUND($D$3*E5/$E$3,2)</f>
        <v>0</v>
      </c>
      <c r="E5" s="108">
        <f>SUMIF('数据-基础表'!$11:$11,"住宅",'数据-基础表'!$5:$5)</f>
        <v>0</v>
      </c>
      <c r="F5" s="2825"/>
      <c r="G5" s="271" t="s">
        <v>799</v>
      </c>
      <c r="H5" s="266" t="s">
        <v>797</v>
      </c>
      <c r="I5" s="1730">
        <f>ROUND(E31/D31,2)</f>
        <v>0.06</v>
      </c>
      <c r="J5" s="2825"/>
      <c r="K5" s="2825"/>
      <c r="L5" s="2825"/>
      <c r="M5" s="2825"/>
      <c r="N5" s="2825"/>
      <c r="O5" s="2825"/>
      <c r="P5" s="2825"/>
    </row>
    <row r="6" spans="1:16" ht="15" thickBot="1">
      <c r="A6" s="109"/>
      <c r="B6" s="3777" t="s">
        <v>174</v>
      </c>
      <c r="C6" s="3777"/>
      <c r="D6" s="107">
        <f>ROUND($D$3*E6/$E$3,2)</f>
        <v>112236.7</v>
      </c>
      <c r="E6" s="108">
        <f>E3-E5</f>
        <v>6637.12</v>
      </c>
      <c r="F6" s="2825"/>
      <c r="G6" s="1099"/>
      <c r="H6" s="266" t="s">
        <v>798</v>
      </c>
      <c r="I6" s="1730">
        <f>ROUND(F31/D31,2)</f>
        <v>0.06</v>
      </c>
      <c r="J6" s="2825"/>
      <c r="K6" s="2825"/>
      <c r="L6" s="2825"/>
      <c r="M6" s="2825"/>
      <c r="N6" s="2825"/>
      <c r="O6" s="2825"/>
      <c r="P6" s="2825"/>
    </row>
    <row r="7" spans="1:16" ht="15">
      <c r="A7" s="3769"/>
      <c r="B7" s="3770"/>
      <c r="C7" s="3771"/>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112236.7</v>
      </c>
      <c r="E8" s="112">
        <f>SUMIF('数据-基础表'!BB10:BK10,"地上",'数据-基础表'!BB5:BK5)</f>
        <v>6637.12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112236.7</v>
      </c>
      <c r="E16" s="116">
        <f>SUM(E8:E15)</f>
        <v>6637.12</v>
      </c>
      <c r="F16" s="2825"/>
      <c r="G16" s="2826"/>
      <c r="H16" s="930" t="s">
        <v>185</v>
      </c>
      <c r="I16" s="931"/>
      <c r="J16" s="1738"/>
      <c r="K16" s="3763" t="s">
        <v>1849</v>
      </c>
      <c r="L16" s="3764"/>
      <c r="M16" s="3764"/>
      <c r="N16" s="3764"/>
      <c r="O16" s="3764"/>
      <c r="P16" s="3765"/>
    </row>
    <row r="17" spans="1:19" ht="15">
      <c r="A17" s="117" t="s">
        <v>182</v>
      </c>
      <c r="B17" s="118" t="s">
        <v>183</v>
      </c>
      <c r="C17" s="2016" t="s">
        <v>1670</v>
      </c>
      <c r="D17" s="104" t="s">
        <v>170</v>
      </c>
      <c r="E17" s="120" t="s">
        <v>171</v>
      </c>
      <c r="F17" s="121"/>
      <c r="G17" s="1225"/>
      <c r="H17" s="932" t="s">
        <v>184</v>
      </c>
      <c r="I17" s="933" t="s">
        <v>1669</v>
      </c>
      <c r="J17" s="1738"/>
      <c r="K17" s="3766" t="s">
        <v>1850</v>
      </c>
      <c r="L17" s="3767"/>
      <c r="M17" s="3768"/>
      <c r="N17" s="3766" t="s">
        <v>1851</v>
      </c>
      <c r="O17" s="3767"/>
      <c r="P17" s="3768"/>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3346</v>
      </c>
      <c r="D19" s="107">
        <f t="shared" ref="D19:D26" si="1">ROUND($D$3*E19/$E$3,2)</f>
        <v>112236.7</v>
      </c>
      <c r="E19" s="130">
        <f t="shared" ref="E19:E26" si="2">SUM(F19:G19)</f>
        <v>6637.12</v>
      </c>
      <c r="F19" s="2827">
        <f>'数据-基础表'!I13</f>
        <v>6637.12</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112236.7</v>
      </c>
      <c r="S19" s="2019">
        <f t="shared" si="5"/>
        <v>6637.12</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112236.7</v>
      </c>
      <c r="E27" s="136">
        <f>IF(SUM(E19:E26)='数据-基础表'!BA5,SUM(E19:E26),IF(F27="地上面积有误","面积有误","地下面积有误"))</f>
        <v>6637.12</v>
      </c>
      <c r="F27" s="130">
        <f>IF(SUM(F19:F26)=E8,SUM(F19:F26),"地上面积有误")</f>
        <v>6637.12</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112236.7</v>
      </c>
      <c r="S27" s="266">
        <f>IF(SUM(S19:S26)=$E$3,SUM(S19:S26),SUM(S19:S26)&amp;"误差"&amp;ROUND(SUM(S19:S26)-E3,2))</f>
        <v>6637.12</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112236.7</v>
      </c>
      <c r="E31" s="1229">
        <f>E27+E30</f>
        <v>6637.12</v>
      </c>
      <c r="F31" s="1230">
        <f>F27+F30</f>
        <v>6637.12</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E38" sqref="E3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45091</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56200</v>
      </c>
      <c r="F6" s="167">
        <f>SUMIF(项目基本情况!C$15:I$15,C6,项目基本情况!C$19:I$19)</f>
        <v>30.43</v>
      </c>
      <c r="G6" s="168">
        <f t="shared" ref="G6:G13" si="0">IF(ISERROR(ROUND(POWER(1+H6,D6-F6)*(POWER(1+H6,F6)-1)/(POWER(1+H6,D6)-1),3)),0,ROUND(POWER(1+H6,D6-F6)*(POWER(1+H6,F6)-1)/(POWER(1+H6,D6)-1),3))</f>
        <v>0.81100000000000005</v>
      </c>
      <c r="H6" s="2498">
        <v>0.04</v>
      </c>
      <c r="I6" s="2498">
        <v>0.05</v>
      </c>
      <c r="J6" s="169">
        <v>0.06</v>
      </c>
      <c r="K6" s="172">
        <f>SUMIF('数据-汇总表'!C$19:C$33,'数据-取费表'!A6,'数据-汇总表'!E$19:E$33)</f>
        <v>6637.12</v>
      </c>
      <c r="L6" s="2499"/>
      <c r="M6" s="170">
        <f t="shared" ref="M6:M14" si="1">ROUND(K6*L6/10000,0)</f>
        <v>0</v>
      </c>
      <c r="N6" s="2500"/>
      <c r="O6" s="170">
        <f>IF($N$5="成新度","——",ROUND(M6*N6,0))</f>
        <v>0</v>
      </c>
      <c r="P6" s="171">
        <f>IF($N$5="成新度","——",M6-O6)</f>
        <v>0</v>
      </c>
      <c r="Q6" s="2501"/>
      <c r="R6" s="172">
        <f>SUMIF('数据-汇总表'!C$19:C$33,A6,'数据-汇总表'!R$19:R$33)</f>
        <v>112236.7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3270</v>
      </c>
      <c r="AO6" s="2835"/>
      <c r="AP6" s="1102">
        <f>ROUND(1-1/(1+H6)^F6,3)</f>
        <v>0.69699999999999995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0.81100000000000005</v>
      </c>
      <c r="H16" s="194">
        <f>ROUND(SUMPRODUCT(H6:H13,K6:K13)/SUMPRODUCT((H6:H13&gt;0)*(K6:K13)),3)</f>
        <v>0.04</v>
      </c>
      <c r="I16" s="195"/>
      <c r="J16" s="195"/>
      <c r="K16" s="196">
        <f>SUM(K6:K15)</f>
        <v>6637.12</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112236.7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0.69699999999999995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1</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2</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成本逼近法!C13</f>
        <v>209</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3363</v>
      </c>
      <c r="B40" s="2129">
        <f ca="1">IF(A40="利息：取LPR",存贷款利率!E2,存贷款利率!E2+C40)</f>
        <v>4.3499999999999997E-2</v>
      </c>
      <c r="C40" s="3021">
        <v>7.0000000000000001E-3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8" t="s">
        <v>1198</v>
      </c>
      <c r="B1" s="3779"/>
      <c r="C1" s="3779"/>
      <c r="D1" s="3779"/>
      <c r="E1" s="3779"/>
      <c r="F1" s="3779"/>
      <c r="G1" s="3779"/>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27.7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27">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688" t="s">
        <v>3345</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B14" sqref="B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45091</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D4" sqref="D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3268</v>
      </c>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24" t="str">
        <f>项目基本情况!K2</f>
        <v>北京市出让国有建设用地使用权</v>
      </c>
      <c r="B2" s="3825"/>
      <c r="C2" s="3826"/>
      <c r="D2" s="3826"/>
      <c r="E2" s="3826"/>
      <c r="F2" s="3826"/>
      <c r="G2" s="3825"/>
      <c r="H2" s="3825"/>
      <c r="I2" s="3827"/>
      <c r="J2" s="1753"/>
      <c r="K2" s="1752"/>
      <c r="L2" s="1752"/>
      <c r="M2" s="1752"/>
      <c r="N2" s="1752"/>
      <c r="O2" s="1752"/>
      <c r="P2" s="1752"/>
      <c r="Q2" s="1752"/>
      <c r="R2" s="1752"/>
      <c r="S2" s="1752"/>
      <c r="T2" s="1752"/>
      <c r="U2" s="1752"/>
      <c r="V2" s="1752"/>
    </row>
    <row r="3" spans="1:22" ht="14.25">
      <c r="A3" s="3835" t="s">
        <v>264</v>
      </c>
      <c r="B3" s="3836"/>
      <c r="C3" s="3836"/>
      <c r="D3" s="3836"/>
      <c r="E3" s="3836"/>
      <c r="F3" s="3836"/>
      <c r="G3" s="3836"/>
      <c r="H3" s="3836"/>
      <c r="I3" s="3836"/>
      <c r="J3" s="1753"/>
      <c r="K3" s="1752"/>
      <c r="L3" s="1752"/>
      <c r="M3" s="1752"/>
      <c r="N3" s="1752"/>
      <c r="O3" s="1752"/>
      <c r="P3" s="1752"/>
      <c r="Q3" s="1752"/>
      <c r="R3" s="1752"/>
      <c r="S3" s="1752"/>
      <c r="T3" s="1752"/>
      <c r="U3" s="1752"/>
      <c r="V3" s="1752"/>
    </row>
    <row r="4" spans="1:22" ht="14.25">
      <c r="A4" s="249" t="s">
        <v>265</v>
      </c>
      <c r="B4" s="250" t="s">
        <v>266</v>
      </c>
      <c r="C4" s="251" t="s">
        <v>3269</v>
      </c>
      <c r="D4" s="251" t="s">
        <v>3270</v>
      </c>
      <c r="E4" s="3799" t="s">
        <v>267</v>
      </c>
      <c r="F4" s="3841"/>
      <c r="G4" s="3841"/>
      <c r="H4" s="3841"/>
      <c r="I4" s="3800"/>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28" t="s">
        <v>268</v>
      </c>
      <c r="B5" s="3829">
        <v>25</v>
      </c>
      <c r="C5" s="3837">
        <v>3</v>
      </c>
      <c r="D5" s="3840">
        <v>7</v>
      </c>
      <c r="E5" s="252" t="s">
        <v>269</v>
      </c>
      <c r="F5" s="253"/>
      <c r="G5" s="253"/>
      <c r="H5" s="253"/>
      <c r="I5" s="254"/>
      <c r="J5" s="1753"/>
      <c r="K5" s="1752"/>
      <c r="L5" s="1752"/>
      <c r="M5" s="1752"/>
      <c r="N5" s="1752"/>
      <c r="O5" s="1752"/>
      <c r="P5" s="1752"/>
      <c r="Q5" s="1752"/>
      <c r="R5" s="1752"/>
      <c r="S5" s="1752"/>
      <c r="T5" s="1752"/>
      <c r="U5" s="1752"/>
      <c r="V5" s="1752"/>
    </row>
    <row r="6" spans="1:22" ht="14.25">
      <c r="A6" s="3828"/>
      <c r="B6" s="3829"/>
      <c r="C6" s="3838"/>
      <c r="D6" s="3840"/>
      <c r="E6" s="252" t="s">
        <v>270</v>
      </c>
      <c r="F6" s="253"/>
      <c r="G6" s="253"/>
      <c r="H6" s="253"/>
      <c r="I6" s="254"/>
      <c r="J6" s="1753"/>
      <c r="K6" s="1752"/>
      <c r="L6" s="1752"/>
      <c r="M6" s="1752"/>
      <c r="N6" s="1752"/>
      <c r="O6" s="1752"/>
      <c r="P6" s="1752"/>
      <c r="Q6" s="1752"/>
      <c r="R6" s="1752"/>
      <c r="S6" s="1752"/>
      <c r="T6" s="1752"/>
      <c r="U6" s="1752"/>
      <c r="V6" s="1752"/>
    </row>
    <row r="7" spans="1:22" ht="14.25">
      <c r="A7" s="3828"/>
      <c r="B7" s="3829"/>
      <c r="C7" s="3839"/>
      <c r="D7" s="3840"/>
      <c r="E7" s="252" t="s">
        <v>271</v>
      </c>
      <c r="F7" s="253"/>
      <c r="G7" s="253"/>
      <c r="H7" s="253"/>
      <c r="I7" s="254"/>
      <c r="J7" s="1753"/>
      <c r="K7" s="1752"/>
      <c r="L7" s="1752"/>
      <c r="M7" s="1752"/>
      <c r="N7" s="1752"/>
      <c r="O7" s="1752"/>
      <c r="P7" s="1752"/>
      <c r="Q7" s="1752"/>
      <c r="R7" s="1752"/>
      <c r="S7" s="1752"/>
      <c r="T7" s="1752"/>
      <c r="U7" s="1752"/>
      <c r="V7" s="1752"/>
    </row>
    <row r="8" spans="1:22" ht="14.25">
      <c r="A8" s="3828" t="s">
        <v>272</v>
      </c>
      <c r="B8" s="3829">
        <v>15</v>
      </c>
      <c r="C8" s="3837"/>
      <c r="D8" s="3840"/>
      <c r="E8" s="252" t="s">
        <v>273</v>
      </c>
      <c r="F8" s="253"/>
      <c r="G8" s="253"/>
      <c r="H8" s="253"/>
      <c r="I8" s="254"/>
      <c r="J8" s="1753"/>
      <c r="K8" s="1752"/>
      <c r="L8" s="1752"/>
      <c r="M8" s="1752"/>
      <c r="N8" s="1752"/>
      <c r="O8" s="1752"/>
      <c r="P8" s="1752"/>
      <c r="Q8" s="1752"/>
      <c r="R8" s="1752"/>
      <c r="S8" s="1752"/>
      <c r="T8" s="1752"/>
      <c r="U8" s="1752"/>
      <c r="V8" s="1752"/>
    </row>
    <row r="9" spans="1:22" ht="14.25">
      <c r="A9" s="3828"/>
      <c r="B9" s="3829"/>
      <c r="C9" s="3839"/>
      <c r="D9" s="3840"/>
      <c r="E9" s="252" t="s">
        <v>274</v>
      </c>
      <c r="F9" s="253"/>
      <c r="G9" s="253"/>
      <c r="H9" s="253"/>
      <c r="I9" s="254"/>
      <c r="J9" s="1753"/>
      <c r="K9" s="1752"/>
      <c r="L9" s="1752"/>
      <c r="M9" s="1752"/>
      <c r="N9" s="1752"/>
      <c r="O9" s="1752"/>
      <c r="P9" s="1752"/>
      <c r="Q9" s="1752"/>
      <c r="R9" s="1752"/>
      <c r="S9" s="1752"/>
      <c r="T9" s="1752"/>
      <c r="U9" s="1752"/>
      <c r="V9" s="1752"/>
    </row>
    <row r="10" spans="1:22" ht="14.25">
      <c r="A10" s="3828" t="s">
        <v>275</v>
      </c>
      <c r="B10" s="3829">
        <v>15</v>
      </c>
      <c r="C10" s="3837"/>
      <c r="D10" s="3840"/>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8"/>
      <c r="B11" s="3829"/>
      <c r="C11" s="3839"/>
      <c r="D11" s="3840"/>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8" t="s">
        <v>278</v>
      </c>
      <c r="B12" s="3829">
        <v>15</v>
      </c>
      <c r="C12" s="3837"/>
      <c r="D12" s="3840"/>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8"/>
      <c r="B13" s="3829"/>
      <c r="C13" s="3839"/>
      <c r="D13" s="3840"/>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8" t="s">
        <v>281</v>
      </c>
      <c r="B14" s="3829">
        <v>30</v>
      </c>
      <c r="C14" s="3837"/>
      <c r="D14" s="3840"/>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8"/>
      <c r="B15" s="3829"/>
      <c r="C15" s="3838"/>
      <c r="D15" s="3840"/>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8"/>
      <c r="B16" s="3829"/>
      <c r="C16" s="3839"/>
      <c r="D16" s="3840"/>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42" t="s">
        <v>2254</v>
      </c>
      <c r="F18" s="3843"/>
      <c r="G18" s="3843"/>
      <c r="H18" s="3843"/>
      <c r="I18" s="3843"/>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6319</v>
      </c>
      <c r="D19" s="262">
        <f ca="1">SUMIF(INDIRECT("'"&amp;D4&amp;"'"&amp;"!A:A"),结果表!B19,INDIRECT("'"&amp;D4&amp;"'"&amp;"!B:B"))</f>
        <v>12765</v>
      </c>
      <c r="E19" s="259" t="s">
        <v>289</v>
      </c>
      <c r="F19" s="260" t="s">
        <v>288</v>
      </c>
      <c r="G19" s="263">
        <f ca="1">ROUND(C19*$C$18+D19*$D$18,0)</f>
        <v>10831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563</v>
      </c>
      <c r="D20" s="268">
        <f ca="1">SUMIF(INDIRECT("'"&amp;D4&amp;"'"&amp;"!A:A"),结果表!B20,INDIRECT("'"&amp;D4&amp;"'"&amp;"!B:B"))</f>
        <v>19233</v>
      </c>
      <c r="E20" s="265"/>
      <c r="F20" s="266" t="s">
        <v>291</v>
      </c>
      <c r="G20" s="269">
        <f ca="1">ROUND(C20*$C$18+D20*$D$18,0)</f>
        <v>13632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563</v>
      </c>
      <c r="D21" s="144">
        <f ca="1">SUMIF(INDIRECT("'"&amp;D4&amp;"'"&amp;"!A:A"),结果表!B21,INDIRECT("'"&amp;D4&amp;"'"&amp;"!B:B"))</f>
        <v>1137</v>
      </c>
      <c r="E21" s="265"/>
      <c r="F21" s="271" t="s">
        <v>293</v>
      </c>
      <c r="G21" s="273">
        <f ca="1">ROUND(C21*$C$18+D21*$D$18,0)</f>
        <v>965</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1.0200981167906313</v>
      </c>
      <c r="E22" s="275"/>
      <c r="F22" s="276"/>
      <c r="G22" s="277">
        <f ca="1">ROUND(G19/('数据-汇总表'!D3/666.67),0)</f>
        <v>64</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8"/>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出让国有建设用地使用权价格：10831万元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大写金额：人民币壹亿零捌佰叁拾壹万元整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单位面积地价：965元/平方米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楼面地价：16319元/平方米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4" t="s">
        <v>2256</v>
      </c>
      <c r="B31" s="3844"/>
      <c r="C31" s="3844"/>
      <c r="D31" s="3844"/>
      <c r="E31" s="3844"/>
      <c r="F31" s="3844"/>
      <c r="G31" s="3844"/>
      <c r="H31" s="3844"/>
      <c r="I31" s="3844"/>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10831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16319</v>
      </c>
      <c r="D33" s="1240" t="s">
        <v>1224</v>
      </c>
      <c r="E33" s="380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965</v>
      </c>
      <c r="D34" s="1242" t="s">
        <v>1224</v>
      </c>
      <c r="E34" s="3802"/>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64</v>
      </c>
      <c r="D35" s="1245" t="s">
        <v>1226</v>
      </c>
      <c r="E35" s="3803"/>
      <c r="F35" s="292" t="s">
        <v>308</v>
      </c>
      <c r="G35" s="944"/>
      <c r="H35" s="943" t="s">
        <v>309</v>
      </c>
      <c r="I35" s="302"/>
      <c r="J35" s="1752"/>
      <c r="K35" s="3807" t="s">
        <v>316</v>
      </c>
      <c r="L35" s="3807" t="s">
        <v>317</v>
      </c>
      <c r="M35" s="1133" t="s">
        <v>318</v>
      </c>
      <c r="N35" s="3807" t="s">
        <v>319</v>
      </c>
      <c r="O35" s="3807" t="s">
        <v>320</v>
      </c>
      <c r="P35" s="1752"/>
      <c r="V35" s="1752"/>
    </row>
    <row r="36" spans="1:26" ht="16.5" customHeight="1">
      <c r="A36" s="294" t="s">
        <v>310</v>
      </c>
      <c r="B36" s="295" t="s">
        <v>299</v>
      </c>
      <c r="C36" s="296" t="s">
        <v>311</v>
      </c>
      <c r="D36" s="296" t="s">
        <v>312</v>
      </c>
      <c r="E36" s="297" t="s">
        <v>313</v>
      </c>
      <c r="F36" s="302"/>
      <c r="G36" s="302"/>
      <c r="H36" s="302"/>
      <c r="I36" s="302"/>
      <c r="J36" s="1754"/>
      <c r="K36" s="3808"/>
      <c r="L36" s="3808"/>
      <c r="M36" s="1135" t="s">
        <v>321</v>
      </c>
      <c r="N36" s="3808"/>
      <c r="O36" s="3808"/>
      <c r="P36" s="1752"/>
      <c r="V36" s="1752"/>
    </row>
    <row r="37" spans="1:26" ht="16.5" customHeight="1" thickBot="1">
      <c r="A37" s="1129" t="s">
        <v>314</v>
      </c>
      <c r="B37" s="298"/>
      <c r="C37" s="285"/>
      <c r="D37" s="285"/>
      <c r="E37" s="286"/>
      <c r="F37" s="302"/>
      <c r="G37" s="302"/>
      <c r="H37" s="302"/>
      <c r="I37" s="302"/>
      <c r="J37" s="1754"/>
      <c r="K37" s="3809"/>
      <c r="L37" s="3809"/>
      <c r="M37" s="1136"/>
      <c r="N37" s="3809"/>
      <c r="O37" s="3809"/>
      <c r="P37" s="1752"/>
      <c r="V37" s="1752"/>
    </row>
    <row r="38" spans="1:26" ht="16.5" customHeight="1" thickBot="1">
      <c r="A38" s="1129" t="s">
        <v>315</v>
      </c>
      <c r="B38" s="298"/>
      <c r="C38" s="285"/>
      <c r="D38" s="285"/>
      <c r="E38" s="286"/>
      <c r="F38" s="302"/>
      <c r="G38" s="302"/>
      <c r="H38" s="302"/>
      <c r="I38" s="302"/>
      <c r="J38" s="1754"/>
      <c r="K38" s="1137">
        <f>'数据-汇总表'!D3</f>
        <v>112236.7</v>
      </c>
      <c r="L38" s="1138">
        <f>'数据-汇总表'!E3</f>
        <v>6637.12</v>
      </c>
      <c r="M38" s="1138">
        <f ca="1">C34</f>
        <v>965</v>
      </c>
      <c r="N38" s="1138">
        <f ca="1">C33</f>
        <v>16319</v>
      </c>
      <c r="O38" s="1139">
        <f ca="1">C32</f>
        <v>10831</v>
      </c>
      <c r="P38" s="1752"/>
      <c r="V38" s="1752"/>
    </row>
    <row r="39" spans="1:26" ht="16.5" customHeight="1" thickBot="1">
      <c r="A39" s="1134"/>
      <c r="B39" s="299"/>
      <c r="C39" s="300"/>
      <c r="D39" s="300"/>
      <c r="E39" s="301"/>
      <c r="F39" s="302"/>
      <c r="G39" s="302"/>
      <c r="H39" s="302"/>
      <c r="I39" s="302"/>
      <c r="J39" s="1754"/>
      <c r="K39" s="3820" t="str">
        <f>MID(A44,3,LEN(A44)-2)</f>
        <v/>
      </c>
      <c r="L39" s="3821"/>
      <c r="M39" s="3821"/>
      <c r="N39" s="3822"/>
      <c r="O39" s="1247" t="str">
        <f>C44</f>
        <v>——</v>
      </c>
      <c r="P39" s="1752"/>
      <c r="V39" s="1752"/>
    </row>
    <row r="40" spans="1:26" ht="19.5" thickBot="1">
      <c r="A40" s="100" t="s">
        <v>810</v>
      </c>
      <c r="B40" s="302"/>
      <c r="C40" s="302"/>
      <c r="D40" s="302"/>
      <c r="E40" s="302"/>
      <c r="F40" s="302"/>
      <c r="G40" s="302"/>
      <c r="H40" s="302"/>
      <c r="I40" s="302"/>
      <c r="J40" s="1754"/>
      <c r="K40" s="3820" t="str">
        <f>MID(A45,3,LEN(A45)-2)</f>
        <v/>
      </c>
      <c r="L40" s="3821"/>
      <c r="M40" s="3821"/>
      <c r="N40" s="382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0" t="str">
        <f>MID(A46,3,LEN(A46)-2)</f>
        <v/>
      </c>
      <c r="L41" s="3821"/>
      <c r="M41" s="3821"/>
      <c r="N41" s="3822"/>
      <c r="O41" s="1247" t="str">
        <f>C46</f>
        <v>——</v>
      </c>
      <c r="P41" s="1752"/>
      <c r="V41" s="1752"/>
    </row>
    <row r="42" spans="1:26" ht="29.25">
      <c r="A42" s="3849" t="s">
        <v>1585</v>
      </c>
      <c r="B42" s="3850"/>
      <c r="C42" s="255">
        <f ca="1">C32</f>
        <v>10831</v>
      </c>
      <c r="D42" s="308">
        <f ca="1">C33</f>
        <v>16319</v>
      </c>
      <c r="E42" s="308">
        <f ca="1">C34</f>
        <v>965</v>
      </c>
      <c r="F42" s="309">
        <f ca="1">C35</f>
        <v>64</v>
      </c>
      <c r="G42" s="302"/>
      <c r="H42" s="302"/>
      <c r="I42" s="310"/>
      <c r="J42" s="1754"/>
      <c r="K42" s="1140" t="s">
        <v>327</v>
      </c>
      <c r="L42" s="1771" t="s">
        <v>328</v>
      </c>
      <c r="M42" s="1141" t="s">
        <v>329</v>
      </c>
      <c r="N42" s="1772" t="s">
        <v>330</v>
      </c>
      <c r="O42" s="1773" t="s">
        <v>331</v>
      </c>
      <c r="P42" s="1752"/>
      <c r="V42" s="1752"/>
    </row>
    <row r="43" spans="1:26" ht="18">
      <c r="A43" s="3859" t="s">
        <v>2012</v>
      </c>
      <c r="B43" s="3860"/>
      <c r="C43" s="255">
        <f>IF(H33="正常操作",G33+G34+G35,G34+G35)</f>
        <v>0</v>
      </c>
      <c r="D43" s="308" t="s">
        <v>17</v>
      </c>
      <c r="E43" s="308" t="s">
        <v>18</v>
      </c>
      <c r="F43" s="309" t="s">
        <v>18</v>
      </c>
      <c r="G43" s="2346" t="s">
        <v>877</v>
      </c>
      <c r="H43" s="302"/>
      <c r="I43" s="310"/>
      <c r="J43" s="1754"/>
      <c r="K43" s="1142" t="str">
        <f>C4</f>
        <v>基准地价</v>
      </c>
      <c r="L43" s="1143">
        <f ca="1">IF(L42="估价结果/万元",C19,C20)</f>
        <v>6319</v>
      </c>
      <c r="M43" s="1144">
        <f>C18</f>
        <v>0.3</v>
      </c>
      <c r="N43" s="1145">
        <f ca="1">IF(N42="测算结果/万元",G19,G20)</f>
        <v>10831</v>
      </c>
      <c r="O43" s="1146">
        <f ca="1">IF(O42="最终结果/万元",C32,C33)</f>
        <v>10831</v>
      </c>
      <c r="P43" s="1752"/>
      <c r="V43" s="1752"/>
    </row>
    <row r="44" spans="1:26" ht="18.75" thickBot="1">
      <c r="A44" s="3849" t="str">
        <f>IF(OR(项目基本情况!E8="抵押价格",项目基本情况!E8="已注销及未注销"),"3.抵押价格","——")</f>
        <v>——</v>
      </c>
      <c r="B44" s="3850"/>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12765</v>
      </c>
      <c r="M44" s="1149">
        <f>D18</f>
        <v>0.7</v>
      </c>
      <c r="N44" s="1150"/>
      <c r="O44" s="1151"/>
      <c r="P44" s="1752"/>
      <c r="V44" s="1752"/>
    </row>
    <row r="45" spans="1:26" ht="15">
      <c r="A45" s="3854" t="str">
        <f>IF(项目基本情况!E8="已注销及未注销","4.抵押担保权已注销时的抵押价格",IF(项目基本情况!E8="已注销","3.抵押担保权已注销时的抵押价格","——"))</f>
        <v>——</v>
      </c>
      <c r="B45" s="3855"/>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1" t="str">
        <f>IF(项目基本情况!E9="抵押净值",IF(A45="——","4.抵押净值","5.抵押净值"),"——")</f>
        <v>——</v>
      </c>
      <c r="B46" s="385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2" t="s">
        <v>340</v>
      </c>
      <c r="B63" s="3813"/>
      <c r="C63" s="3814"/>
      <c r="D63" s="332">
        <f ca="1">ROUND(C42*F63,0)</f>
        <v>10831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56" t="s">
        <v>344</v>
      </c>
      <c r="B64" s="3857"/>
      <c r="C64" s="3857"/>
      <c r="D64" s="3857"/>
      <c r="E64" s="3857"/>
      <c r="F64" s="3857"/>
      <c r="G64" s="3858"/>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3" t="s">
        <v>352</v>
      </c>
      <c r="B66" s="3819"/>
      <c r="C66" s="3819"/>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80" t="s">
        <v>351</v>
      </c>
      <c r="M66" s="3781"/>
      <c r="N66" s="2110"/>
      <c r="O66" s="2111"/>
      <c r="P66" s="2112"/>
      <c r="Q66" s="1752"/>
      <c r="R66" s="1752"/>
      <c r="S66" s="1752"/>
      <c r="T66" s="1752"/>
      <c r="U66" s="1752"/>
      <c r="V66" s="1752"/>
    </row>
    <row r="67" spans="1:22" ht="25.5" customHeight="1">
      <c r="A67" s="343" t="s">
        <v>355</v>
      </c>
      <c r="B67" s="3831" t="s">
        <v>356</v>
      </c>
      <c r="C67" s="3831"/>
      <c r="D67" s="344">
        <v>0</v>
      </c>
      <c r="E67" s="39" t="s">
        <v>357</v>
      </c>
      <c r="F67" s="60" t="s">
        <v>15</v>
      </c>
      <c r="G67" s="3815"/>
      <c r="H67" s="2749" t="s">
        <v>2257</v>
      </c>
      <c r="I67" s="2751"/>
      <c r="J67" s="1759"/>
      <c r="K67" s="1731">
        <v>2</v>
      </c>
      <c r="L67" s="3785" t="s">
        <v>354</v>
      </c>
      <c r="M67" s="3785"/>
      <c r="N67" s="1194">
        <f>'数据-取费表'!B2</f>
        <v>45091</v>
      </c>
      <c r="O67" s="1194"/>
      <c r="P67" s="1194"/>
      <c r="Q67" s="1752"/>
      <c r="R67" s="1752"/>
      <c r="S67" s="1752"/>
      <c r="T67" s="1752"/>
      <c r="U67" s="1752"/>
      <c r="V67" s="1752"/>
    </row>
    <row r="68" spans="1:22" ht="25.5" customHeight="1">
      <c r="A68" s="345"/>
      <c r="B68" s="3831" t="s">
        <v>359</v>
      </c>
      <c r="C68" s="3831"/>
      <c r="D68" s="346"/>
      <c r="E68" s="75"/>
      <c r="F68" s="347"/>
      <c r="G68" s="3816"/>
      <c r="H68" s="2750" t="s">
        <v>2258</v>
      </c>
      <c r="I68" s="2751"/>
      <c r="J68" s="1759"/>
      <c r="K68" s="1731">
        <v>3</v>
      </c>
      <c r="L68" s="3785" t="s">
        <v>358</v>
      </c>
      <c r="M68" s="3785"/>
      <c r="N68" s="1162">
        <f ca="1">C42</f>
        <v>10831</v>
      </c>
      <c r="O68" s="1162"/>
      <c r="P68" s="1162"/>
      <c r="Q68" s="1752"/>
      <c r="R68" s="1752"/>
      <c r="S68" s="1752"/>
      <c r="T68" s="1752"/>
      <c r="U68" s="1752"/>
      <c r="V68" s="1752"/>
    </row>
    <row r="69" spans="1:22" ht="23.45" customHeight="1">
      <c r="A69" s="348"/>
      <c r="B69" s="3831" t="s">
        <v>360</v>
      </c>
      <c r="C69" s="3831"/>
      <c r="D69" s="349"/>
      <c r="E69" s="71"/>
      <c r="F69" s="347"/>
      <c r="G69" s="3817"/>
      <c r="H69" s="2750" t="s">
        <v>2259</v>
      </c>
      <c r="I69" s="2751"/>
      <c r="J69" s="1759"/>
      <c r="K69" s="1163">
        <v>4</v>
      </c>
      <c r="L69" s="3786" t="s">
        <v>2157</v>
      </c>
      <c r="M69" s="3787"/>
      <c r="N69" s="1164" t="str">
        <f>C44</f>
        <v>——</v>
      </c>
      <c r="O69" s="1164"/>
      <c r="P69" s="1164"/>
      <c r="Q69" s="1752"/>
      <c r="R69" s="1752"/>
      <c r="S69" s="1752"/>
      <c r="T69" s="1752"/>
      <c r="U69" s="1752"/>
      <c r="V69" s="1752"/>
    </row>
    <row r="70" spans="1:22" ht="24" customHeight="1">
      <c r="A70" s="350" t="s">
        <v>361</v>
      </c>
      <c r="B70" s="3831" t="s">
        <v>362</v>
      </c>
      <c r="C70" s="3831"/>
      <c r="D70" s="349">
        <f ca="1">ROUND(D63*'数据-取费表'!B41/(1+'数据-取费表'!C42),0)</f>
        <v>0</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30" t="s">
        <v>2286</v>
      </c>
      <c r="C71" s="3847"/>
      <c r="D71" s="349">
        <f ca="1">ROUND(D63*'数据-取费表'!B41/(1+'数据-取费表'!C42),0)</f>
        <v>0</v>
      </c>
      <c r="E71" s="15" t="s">
        <v>363</v>
      </c>
      <c r="F71" s="351">
        <f>'数据-取费表'!B41</f>
        <v>0</v>
      </c>
      <c r="G71" s="352"/>
      <c r="H71" s="302"/>
      <c r="I71" s="1161"/>
      <c r="J71" s="1759"/>
      <c r="K71" s="2521" t="s">
        <v>364</v>
      </c>
      <c r="L71" s="3788" t="s">
        <v>365</v>
      </c>
      <c r="M71" s="3788"/>
      <c r="N71" s="2521" t="s">
        <v>366</v>
      </c>
      <c r="O71" s="2521" t="s">
        <v>367</v>
      </c>
      <c r="P71" s="2521" t="s">
        <v>368</v>
      </c>
      <c r="Q71" s="1752"/>
      <c r="R71" s="1752"/>
      <c r="S71" s="1752"/>
      <c r="T71" s="1752"/>
      <c r="U71" s="1752"/>
      <c r="V71" s="1752"/>
    </row>
    <row r="72" spans="1:22" ht="12" customHeight="1">
      <c r="A72" s="350" t="s">
        <v>371</v>
      </c>
      <c r="B72" s="3830" t="s">
        <v>2287</v>
      </c>
      <c r="C72" s="3847"/>
      <c r="D72" s="349">
        <f ca="1">C86</f>
        <v>0</v>
      </c>
      <c r="E72" s="71" t="s">
        <v>372</v>
      </c>
      <c r="F72" s="351">
        <f>'数据-取费表'!B41</f>
        <v>0</v>
      </c>
      <c r="G72" s="352"/>
      <c r="H72" s="1167"/>
      <c r="I72" s="1161"/>
      <c r="J72" s="1759"/>
      <c r="K72" s="1731">
        <v>1</v>
      </c>
      <c r="L72" s="3784" t="s">
        <v>370</v>
      </c>
      <c r="M72" s="3784"/>
      <c r="N72" s="1165" t="b">
        <f>D66</f>
        <v>0</v>
      </c>
      <c r="O72" s="1636" t="str">
        <f>E66</f>
        <v>销售额×税（费）率</v>
      </c>
      <c r="P72" s="1166">
        <f>F66</f>
        <v>0</v>
      </c>
      <c r="Q72" s="1752"/>
      <c r="R72" s="1752"/>
      <c r="S72" s="1752"/>
      <c r="T72" s="1752"/>
      <c r="U72" s="1752"/>
      <c r="V72" s="1752"/>
    </row>
    <row r="73" spans="1:22" ht="24" customHeight="1">
      <c r="A73" s="3818" t="s">
        <v>374</v>
      </c>
      <c r="B73" s="3819"/>
      <c r="C73" s="3819"/>
      <c r="D73" s="353">
        <f ca="1">IF(H73="个人住宅",0,ROUND(D63*I73,0))</f>
        <v>0</v>
      </c>
      <c r="E73" s="15" t="s">
        <v>375</v>
      </c>
      <c r="F73" s="351" t="str">
        <f>IF(H73="正常",I73,"免征")</f>
        <v>免征</v>
      </c>
      <c r="G73" s="352"/>
      <c r="H73" s="184"/>
      <c r="I73" s="351">
        <f>'数据-取费表'!B49</f>
        <v>0</v>
      </c>
      <c r="J73" s="1759"/>
      <c r="K73" s="1731">
        <v>2</v>
      </c>
      <c r="L73" s="3784" t="s">
        <v>373</v>
      </c>
      <c r="M73" s="3784"/>
      <c r="N73" s="1165">
        <f t="shared" ref="N73:P74" ca="1" si="0">D73</f>
        <v>0</v>
      </c>
      <c r="O73" s="1636" t="str">
        <f t="shared" si="0"/>
        <v>销售额×税（费）率</v>
      </c>
      <c r="P73" s="1166" t="str">
        <f t="shared" si="0"/>
        <v>免征</v>
      </c>
      <c r="Q73" s="1752"/>
      <c r="R73" s="1752"/>
      <c r="S73" s="1752"/>
      <c r="T73" s="1752"/>
      <c r="U73" s="1752"/>
      <c r="V73" s="1752"/>
    </row>
    <row r="74" spans="1:22" ht="24.75">
      <c r="A74" s="3818" t="s">
        <v>377</v>
      </c>
      <c r="B74" s="3819"/>
      <c r="C74" s="3819"/>
      <c r="D74" s="353" t="e">
        <f ca="1">IF(H74="个人住宅",D75,D76)</f>
        <v>#DIV/0!</v>
      </c>
      <c r="E74" s="15" t="s">
        <v>378</v>
      </c>
      <c r="F74" s="351" t="str">
        <f>IF(H74="正常",F76,"免征")</f>
        <v>免征</v>
      </c>
      <c r="G74" s="945" t="s">
        <v>379</v>
      </c>
      <c r="H74" s="354"/>
      <c r="I74" s="40"/>
      <c r="J74" s="1759"/>
      <c r="K74" s="1731">
        <v>3</v>
      </c>
      <c r="L74" s="3784" t="s">
        <v>376</v>
      </c>
      <c r="M74" s="3784"/>
      <c r="N74" s="1165" t="e">
        <f t="shared" ca="1" si="0"/>
        <v>#DIV/0!</v>
      </c>
      <c r="O74" s="1636" t="str">
        <f t="shared" si="0"/>
        <v>增值额×税（费）率</v>
      </c>
      <c r="P74" s="1168" t="str">
        <f t="shared" si="0"/>
        <v>免征</v>
      </c>
      <c r="Q74" s="1752"/>
      <c r="R74" s="1752"/>
      <c r="S74" s="1752"/>
      <c r="T74" s="1752"/>
      <c r="U74" s="1752"/>
      <c r="V74" s="1752"/>
    </row>
    <row r="75" spans="1:22" ht="12.75">
      <c r="A75" s="350" t="s">
        <v>380</v>
      </c>
      <c r="B75" s="3799" t="s">
        <v>381</v>
      </c>
      <c r="C75" s="3800"/>
      <c r="D75" s="355">
        <v>0</v>
      </c>
      <c r="E75" s="39" t="s">
        <v>382</v>
      </c>
      <c r="F75" s="356"/>
      <c r="G75" s="352"/>
      <c r="H75" s="40"/>
      <c r="I75" s="40"/>
      <c r="J75" s="1759"/>
      <c r="K75" s="2515">
        <f>IF(H77="非个人房产","",4)</f>
        <v>4</v>
      </c>
      <c r="L75" s="3784" t="str">
        <f>IF(H77="非个人房产","——","个人所得税")</f>
        <v>个人所得税</v>
      </c>
      <c r="M75" s="3784"/>
      <c r="N75" s="1169">
        <f>D77</f>
        <v>0</v>
      </c>
      <c r="O75" s="1637" t="str">
        <f>E77</f>
        <v>差额计税</v>
      </c>
      <c r="P75" s="1170">
        <f>F77</f>
        <v>0.01</v>
      </c>
      <c r="Q75" s="1752"/>
      <c r="R75" s="1752"/>
      <c r="S75" s="1752"/>
      <c r="T75" s="1752"/>
      <c r="U75" s="1752"/>
      <c r="V75" s="1752"/>
    </row>
    <row r="76" spans="1:22" ht="24.75">
      <c r="A76" s="350" t="s">
        <v>361</v>
      </c>
      <c r="B76" s="3799" t="s">
        <v>384</v>
      </c>
      <c r="C76" s="3841"/>
      <c r="D76" s="353" t="e">
        <f ca="1">IF(H76="转让取得",C99,C115)</f>
        <v>#DIV/0!</v>
      </c>
      <c r="E76" s="15" t="s">
        <v>385</v>
      </c>
      <c r="F76" s="51" t="s">
        <v>15</v>
      </c>
      <c r="G76" s="352"/>
      <c r="H76" s="354"/>
      <c r="I76" s="40"/>
      <c r="J76" s="1759"/>
      <c r="K76" s="2515" t="str">
        <f>IF(项目基本情况!K6="上海银行",IF(K75="",4,K75+1),"")</f>
        <v/>
      </c>
      <c r="L76" s="3795" t="str">
        <f>IF(项目基本情况!K6="上海银行","其他处置费用","")</f>
        <v/>
      </c>
      <c r="M76" s="3796"/>
      <c r="N76" s="1165" t="str">
        <f>IF(项目基本情况!K6="上海银行",N89,"")</f>
        <v/>
      </c>
      <c r="O76" s="3797" t="str">
        <f>IF(项目基本情况!K6="上海银行","包含处置中涉及的律师、诉讼、拍卖、评估等费用","")</f>
        <v/>
      </c>
      <c r="P76" s="3798"/>
      <c r="Q76" s="1752"/>
      <c r="R76" s="1752"/>
      <c r="S76" s="1752"/>
      <c r="T76" s="1752"/>
      <c r="U76" s="1752"/>
      <c r="V76" s="1752"/>
    </row>
    <row r="77" spans="1:22" ht="24.75" thickBot="1">
      <c r="A77" s="3810" t="s">
        <v>387</v>
      </c>
      <c r="B77" s="3811"/>
      <c r="C77" s="381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06">
        <f>IF(AND(K75="",K76=""),4,IF(项目基本情况!K6="上海银行",K76+1,K75+1))</f>
        <v>5</v>
      </c>
      <c r="L77" s="3784"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06"/>
      <c r="L78" s="3784"/>
      <c r="M78" s="2520" t="s">
        <v>386</v>
      </c>
      <c r="N78" s="1171"/>
      <c r="O78" s="1172" t="str">
        <f ca="1">NUMBERSTRING(INT(O77*10000),2)&amp;"元整"</f>
        <v>零元整</v>
      </c>
      <c r="P78" s="1173"/>
      <c r="Q78" s="1752"/>
      <c r="R78" s="1752"/>
      <c r="S78" s="1752"/>
      <c r="T78" s="1752"/>
      <c r="U78" s="1752"/>
      <c r="V78" s="1752"/>
    </row>
    <row r="79" spans="1:22" ht="13.5" thickBot="1">
      <c r="A79" s="3861" t="s">
        <v>388</v>
      </c>
      <c r="B79" s="3861"/>
      <c r="C79" s="3861"/>
      <c r="D79" s="3861"/>
      <c r="E79" s="3861"/>
      <c r="F79" s="40"/>
      <c r="G79" s="40"/>
      <c r="H79" s="965"/>
      <c r="I79" s="302"/>
      <c r="J79" s="1759"/>
      <c r="K79" s="3782">
        <f>K77+1</f>
        <v>6</v>
      </c>
      <c r="L79" s="3784" t="s">
        <v>2159</v>
      </c>
      <c r="M79" s="2520" t="s">
        <v>383</v>
      </c>
      <c r="N79" s="1171"/>
      <c r="O79" s="1172" t="e">
        <f ca="1">N69-O77</f>
        <v>#VALUE!</v>
      </c>
      <c r="P79" s="1173"/>
      <c r="Q79" s="1752"/>
      <c r="R79" s="1752"/>
      <c r="S79" s="1752"/>
      <c r="T79" s="1752"/>
      <c r="U79" s="1752"/>
      <c r="V79" s="1752"/>
    </row>
    <row r="80" spans="1:22" ht="12.75">
      <c r="A80" s="3792" t="s">
        <v>389</v>
      </c>
      <c r="B80" s="3793"/>
      <c r="C80" s="956"/>
      <c r="D80" s="956" t="s">
        <v>390</v>
      </c>
      <c r="E80" s="357" t="s">
        <v>391</v>
      </c>
      <c r="F80" s="40"/>
      <c r="G80" s="40"/>
      <c r="H80" s="965"/>
      <c r="I80" s="302"/>
      <c r="J80" s="1752"/>
      <c r="K80" s="3783"/>
      <c r="L80" s="3784"/>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10831</v>
      </c>
      <c r="D81" s="360"/>
      <c r="E81" s="361"/>
      <c r="F81" s="40"/>
      <c r="G81" s="40"/>
      <c r="H81" s="965"/>
      <c r="I81" s="302"/>
      <c r="J81" s="1752"/>
      <c r="K81" s="2515">
        <f>K79+1</f>
        <v>7</v>
      </c>
      <c r="L81" s="3804" t="s">
        <v>2160</v>
      </c>
      <c r="M81" s="3805"/>
      <c r="N81" s="1175"/>
      <c r="O81" s="1176" t="e">
        <f ca="1">ROUND(O79*10000/'数据-汇总表'!E3,0)</f>
        <v>#VALUE!</v>
      </c>
      <c r="P81" s="1177"/>
      <c r="Q81" s="1752"/>
      <c r="R81" s="1752"/>
      <c r="S81" s="1752"/>
      <c r="T81" s="1752"/>
      <c r="U81" s="1752"/>
      <c r="V81" s="1752"/>
    </row>
    <row r="82" spans="1:26" ht="13.5" thickTop="1">
      <c r="A82" s="362" t="s">
        <v>1353</v>
      </c>
      <c r="B82" s="363" t="s">
        <v>393</v>
      </c>
      <c r="C82" s="364">
        <f ca="1">D63</f>
        <v>10831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9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10831</v>
      </c>
      <c r="D85" s="365" t="s">
        <v>13</v>
      </c>
      <c r="E85" s="366"/>
      <c r="F85" s="40"/>
      <c r="G85" s="40"/>
      <c r="H85" s="965"/>
      <c r="I85" s="302"/>
      <c r="J85" s="1752"/>
      <c r="K85" s="379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0</v>
      </c>
      <c r="D86" s="376">
        <f>'数据-取费表'!B41</f>
        <v>0</v>
      </c>
      <c r="E86" s="377"/>
      <c r="F86" s="40"/>
      <c r="G86" s="40"/>
      <c r="H86" s="965"/>
      <c r="I86" s="302"/>
      <c r="J86" s="1752"/>
      <c r="K86" s="379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3" t="s">
        <v>398</v>
      </c>
      <c r="B88" s="3834"/>
      <c r="C88" s="3834"/>
      <c r="D88" s="3834"/>
      <c r="E88" s="3834"/>
      <c r="F88" s="3834"/>
      <c r="G88" s="3834"/>
      <c r="H88" s="3834"/>
      <c r="I88" s="1184"/>
      <c r="J88" s="1760"/>
      <c r="K88" s="379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2" t="s">
        <v>389</v>
      </c>
      <c r="B89" s="3793"/>
      <c r="C89" s="956"/>
      <c r="D89" s="956" t="s">
        <v>390</v>
      </c>
      <c r="E89" s="378" t="s">
        <v>399</v>
      </c>
      <c r="F89" s="379"/>
      <c r="G89" s="379"/>
      <c r="H89" s="380"/>
      <c r="I89" s="1185"/>
      <c r="J89" s="1762"/>
      <c r="K89" s="379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10831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0" t="s">
        <v>407</v>
      </c>
      <c r="F94" s="3831"/>
      <c r="G94" s="3831"/>
      <c r="H94" s="383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0</v>
      </c>
      <c r="D96" s="393">
        <f>'数据-取费表'!B43</f>
        <v>0</v>
      </c>
      <c r="E96" s="3789" t="s">
        <v>1780</v>
      </c>
      <c r="F96" s="3790"/>
      <c r="G96" s="3790"/>
      <c r="H96" s="379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10831</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#DIV/0!</v>
      </c>
      <c r="D98" s="365" t="s">
        <v>13</v>
      </c>
      <c r="E98" s="24" t="e">
        <f ca="1">IF(C98&gt;=200%,"增值额超过扣除项目金额200%",IF(C98&gt;=100%,"增值额超过扣除项目金额100%，未超过200%",IF(C98&gt;=50%,"增值额超过扣除项目金额50%，未超过100%",IF(C98&lt;50%,"增值额未超过扣除项目金额50%"))))</f>
        <v>#DIV/0!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#DIV/0!</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3" t="s">
        <v>414</v>
      </c>
      <c r="B101" s="3834"/>
      <c r="C101" s="3834"/>
      <c r="D101" s="3834"/>
      <c r="E101" s="3834"/>
      <c r="F101" s="3834"/>
      <c r="G101" s="3834"/>
      <c r="H101" s="383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2" t="s">
        <v>389</v>
      </c>
      <c r="B102" s="3793"/>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10831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5" t="s">
        <v>2252</v>
      </c>
      <c r="H108" s="3846"/>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3" t="s">
        <v>422</v>
      </c>
      <c r="F109" s="3790"/>
      <c r="G109" s="379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23" t="s">
        <v>424</v>
      </c>
      <c r="F110" s="3790"/>
      <c r="G110" s="3790"/>
      <c r="H110" s="3791"/>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0</v>
      </c>
      <c r="D111" s="393">
        <f>'数据-取费表'!B43</f>
        <v>0</v>
      </c>
      <c r="E111" s="3789" t="s">
        <v>1780</v>
      </c>
      <c r="F111" s="3790"/>
      <c r="G111" s="3790"/>
      <c r="H111" s="379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3" t="s">
        <v>1799</v>
      </c>
      <c r="F112" s="3790"/>
      <c r="G112" s="3790"/>
      <c r="H112" s="379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10831</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#DIV/0!</v>
      </c>
      <c r="D114" s="365" t="s">
        <v>13</v>
      </c>
      <c r="E114" s="24" t="e">
        <f ca="1">IF(C114&gt;=200%,"增值额超过扣除项目金额200%",IF(C114&gt;=100%,"增值额超过扣除项目金额100%，未超过200%",IF(C114&gt;=50%,"增值额超过扣除项目金额50%，未超过100%",IF(C114&lt;50%,"增值额未超过扣除项目金额50%"))))</f>
        <v>#DIV/0!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#DIV/0!</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119</v>
      </c>
      <c r="D16" s="2324">
        <f ca="1">IF(B1="",'数据-汇总表'!E3,INDIRECT("'数据-取费表'!K"&amp;$K$1)+INDIRECT("'数据-取费表'!S"&amp;$K$1))</f>
        <v>6637.12</v>
      </c>
      <c r="E16" s="51">
        <f>'数据-取费表'!B35</f>
        <v>180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119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6637.12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-209</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6637.12</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4.3499999999999997E-2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-92</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-92</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119</v>
      </c>
      <c r="D16" s="437">
        <f ca="1">IF(B1="",'数据-汇总表'!E3,INDIRECT("'数据-取费表'!K"&amp;$K$1)+INDIRECT("'数据-取费表'!S"&amp;$K$1))</f>
        <v>6637.12</v>
      </c>
      <c r="E16" s="51">
        <f>'数据-取费表'!B35</f>
        <v>180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119</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2</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3</v>
      </c>
      <c r="D20" s="448">
        <f ca="1">ROUND(((1+F20)^'数据-取费表'!B20)-1,4)</f>
        <v>4.3499999999999997E-2</v>
      </c>
      <c r="E20" s="448"/>
      <c r="F20" s="457">
        <f ca="1">'数据-取费表'!B40</f>
        <v>4.3499999999999997E-2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2298</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2299</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62" t="s">
        <v>1394</v>
      </c>
      <c r="B24" s="3863"/>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62" t="s">
        <v>2296</v>
      </c>
      <c r="B25" s="3863"/>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62" t="s">
        <v>2297</v>
      </c>
      <c r="B26" s="3863"/>
      <c r="C26" s="3050"/>
      <c r="D26" s="3051"/>
      <c r="E26" s="3051"/>
      <c r="F26" s="3052">
        <f>'数据-取费表'!B48+'数据-取费表'!B49</f>
        <v>0</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64" t="s">
        <v>2295</v>
      </c>
      <c r="B27" s="3865"/>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1" t="str">
        <f>项目基本情况!B1</f>
        <v>北京市出让国有建设用地使用权预评估</v>
      </c>
      <c r="C37" s="3691"/>
      <c r="D37" s="3691"/>
      <c r="E37" s="3691"/>
      <c r="F37" s="3691"/>
      <c r="G37" s="3691"/>
      <c r="H37" s="3691"/>
      <c r="I37" s="3691"/>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9" t="s">
        <v>471</v>
      </c>
      <c r="D6" s="3890"/>
      <c r="E6" s="3889" t="s">
        <v>472</v>
      </c>
      <c r="F6" s="3890"/>
      <c r="G6" s="3889" t="s">
        <v>473</v>
      </c>
      <c r="H6" s="3890"/>
      <c r="I6" s="3889" t="s">
        <v>474</v>
      </c>
      <c r="J6" s="3890"/>
      <c r="K6" s="484" t="s">
        <v>475</v>
      </c>
      <c r="L6" s="1856"/>
      <c r="M6" s="1855"/>
      <c r="N6" s="1855"/>
      <c r="O6" s="1857"/>
      <c r="P6" s="3891" t="s">
        <v>476</v>
      </c>
      <c r="Q6" s="3892"/>
      <c r="R6" s="3875" t="s">
        <v>472</v>
      </c>
      <c r="S6" s="3876"/>
      <c r="T6" s="3875" t="s">
        <v>473</v>
      </c>
      <c r="U6" s="3876"/>
      <c r="V6" s="3897" t="s">
        <v>474</v>
      </c>
      <c r="W6" s="3897"/>
      <c r="X6" s="1380"/>
      <c r="Y6" s="3875" t="s">
        <v>476</v>
      </c>
      <c r="Z6" s="3876"/>
      <c r="AA6" s="3870" t="s">
        <v>472</v>
      </c>
      <c r="AB6" s="3871" t="s">
        <v>473</v>
      </c>
      <c r="AC6" s="3870" t="s">
        <v>474</v>
      </c>
    </row>
    <row r="7" spans="1:30" ht="20.25">
      <c r="A7" s="485"/>
      <c r="B7" s="486"/>
      <c r="C7" s="3900" t="s">
        <v>2192</v>
      </c>
      <c r="D7" s="3901"/>
      <c r="E7" s="3900" t="s">
        <v>2193</v>
      </c>
      <c r="F7" s="3901"/>
      <c r="G7" s="3900" t="s">
        <v>2194</v>
      </c>
      <c r="H7" s="3901"/>
      <c r="I7" s="3900" t="s">
        <v>2195</v>
      </c>
      <c r="J7" s="3901"/>
      <c r="K7" s="484"/>
      <c r="L7" s="1856"/>
      <c r="M7" s="1855"/>
      <c r="N7" s="1855"/>
      <c r="O7" s="1857"/>
      <c r="P7" s="3893"/>
      <c r="Q7" s="3894"/>
      <c r="R7" s="3877"/>
      <c r="S7" s="3878"/>
      <c r="T7" s="3877"/>
      <c r="U7" s="3878"/>
      <c r="V7" s="3897"/>
      <c r="W7" s="3897"/>
      <c r="X7" s="1380"/>
      <c r="Y7" s="3877"/>
      <c r="Z7" s="3878"/>
      <c r="AA7" s="3871"/>
      <c r="AB7" s="3871"/>
      <c r="AC7" s="3871"/>
    </row>
    <row r="8" spans="1:30" ht="21" thickBot="1">
      <c r="A8" s="485"/>
      <c r="B8" s="486"/>
      <c r="C8" s="3902" t="s">
        <v>2196</v>
      </c>
      <c r="D8" s="3903"/>
      <c r="E8" s="3902" t="s">
        <v>2196</v>
      </c>
      <c r="F8" s="3903"/>
      <c r="G8" s="3898" t="s">
        <v>2196</v>
      </c>
      <c r="H8" s="3899"/>
      <c r="I8" s="3898" t="s">
        <v>2196</v>
      </c>
      <c r="J8" s="3899"/>
      <c r="K8" s="484" t="s">
        <v>477</v>
      </c>
      <c r="L8" s="1856"/>
      <c r="M8" s="1855"/>
      <c r="N8" s="1855"/>
      <c r="O8" s="1857"/>
      <c r="P8" s="3895"/>
      <c r="Q8" s="3896"/>
      <c r="R8" s="3877"/>
      <c r="S8" s="3878"/>
      <c r="T8" s="3879"/>
      <c r="U8" s="3880"/>
      <c r="V8" s="3897"/>
      <c r="W8" s="3897"/>
      <c r="X8" s="1380"/>
      <c r="Y8" s="3879"/>
      <c r="Z8" s="3880"/>
      <c r="AA8" s="3872"/>
      <c r="AB8" s="3872"/>
      <c r="AC8" s="3872"/>
    </row>
    <row r="9" spans="1:30" s="1118" customFormat="1" ht="21" thickBot="1">
      <c r="A9" s="2392"/>
      <c r="B9" s="2399" t="s">
        <v>478</v>
      </c>
      <c r="C9" s="2391">
        <f>'数据-取费表'!B2</f>
        <v>45091</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73" t="s">
        <v>479</v>
      </c>
      <c r="Q9" s="3882"/>
      <c r="R9" s="1381" t="s">
        <v>5</v>
      </c>
      <c r="S9" s="1382">
        <f t="shared" ref="S9:S17" si="0">F9</f>
        <v>0</v>
      </c>
      <c r="T9" s="1381" t="s">
        <v>5</v>
      </c>
      <c r="U9" s="1382">
        <f t="shared" ref="U9:U17" si="1">H9</f>
        <v>0</v>
      </c>
      <c r="V9" s="1381" t="s">
        <v>5</v>
      </c>
      <c r="W9" s="1382">
        <f t="shared" ref="W9:W17" si="2">J9</f>
        <v>0</v>
      </c>
      <c r="X9" s="1383"/>
      <c r="Y9" s="3873" t="s">
        <v>479</v>
      </c>
      <c r="Z9" s="3874"/>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3" t="s">
        <v>482</v>
      </c>
      <c r="Q10" s="3874"/>
      <c r="R10" s="1381" t="s">
        <v>5</v>
      </c>
      <c r="S10" s="1382">
        <f t="shared" si="0"/>
        <v>0</v>
      </c>
      <c r="T10" s="1381" t="s">
        <v>5</v>
      </c>
      <c r="U10" s="1382">
        <f t="shared" si="1"/>
        <v>0</v>
      </c>
      <c r="V10" s="1381" t="s">
        <v>5</v>
      </c>
      <c r="W10" s="1382">
        <f t="shared" si="2"/>
        <v>0</v>
      </c>
      <c r="X10" s="1383"/>
      <c r="Y10" s="3873" t="s">
        <v>482</v>
      </c>
      <c r="Z10" s="3874"/>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1" t="s">
        <v>484</v>
      </c>
      <c r="Q11" s="1050" t="str">
        <f t="shared" ref="Q11:Q17" si="6">B11</f>
        <v>用途</v>
      </c>
      <c r="R11" s="1381" t="s">
        <v>5</v>
      </c>
      <c r="S11" s="1382">
        <f t="shared" si="0"/>
        <v>100</v>
      </c>
      <c r="T11" s="1381" t="s">
        <v>5</v>
      </c>
      <c r="U11" s="1382">
        <f t="shared" si="1"/>
        <v>100</v>
      </c>
      <c r="V11" s="1381" t="s">
        <v>5</v>
      </c>
      <c r="W11" s="1382">
        <f t="shared" si="2"/>
        <v>100</v>
      </c>
      <c r="X11" s="1383"/>
      <c r="Y11" s="3829"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123</v>
      </c>
      <c r="G12" s="500"/>
      <c r="H12" s="246">
        <f>ROUND(100/'数据-取费表'!G16,0)</f>
        <v>123</v>
      </c>
      <c r="I12" s="500"/>
      <c r="J12" s="246">
        <f>ROUND(100/'数据-取费表'!G16,0)</f>
        <v>123</v>
      </c>
      <c r="K12" s="501"/>
      <c r="L12" s="1861"/>
      <c r="M12" s="1855"/>
      <c r="N12" s="1855"/>
      <c r="O12" s="1862"/>
      <c r="P12" s="3881"/>
      <c r="Q12" s="1050" t="str">
        <f t="shared" si="6"/>
        <v>土地使用年限（年）</v>
      </c>
      <c r="R12" s="1381" t="s">
        <v>5</v>
      </c>
      <c r="S12" s="1382">
        <f t="shared" si="0"/>
        <v>123</v>
      </c>
      <c r="T12" s="1381" t="s">
        <v>5</v>
      </c>
      <c r="U12" s="1382">
        <f t="shared" si="1"/>
        <v>123</v>
      </c>
      <c r="V12" s="1381" t="s">
        <v>5</v>
      </c>
      <c r="W12" s="1382">
        <f t="shared" si="2"/>
        <v>123</v>
      </c>
      <c r="X12" s="1383"/>
      <c r="Y12" s="3829"/>
      <c r="Z12" s="1049" t="str">
        <f t="shared" si="7"/>
        <v>土地使用年限（年）</v>
      </c>
      <c r="AA12" s="1384">
        <f t="shared" si="3"/>
        <v>0.81300813008130079</v>
      </c>
      <c r="AB12" s="1384">
        <f t="shared" si="4"/>
        <v>0.81300813008130079</v>
      </c>
      <c r="AC12" s="1384">
        <f t="shared" si="5"/>
        <v>0.81300813008130079</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1"/>
      <c r="Q13" s="1050" t="str">
        <f t="shared" si="6"/>
        <v>容积率</v>
      </c>
      <c r="R13" s="1381" t="s">
        <v>5</v>
      </c>
      <c r="S13" s="1382" t="e">
        <f t="shared" si="0"/>
        <v>#N/A</v>
      </c>
      <c r="T13" s="1381" t="s">
        <v>5</v>
      </c>
      <c r="U13" s="1382" t="e">
        <f t="shared" si="1"/>
        <v>#N/A</v>
      </c>
      <c r="V13" s="1381" t="s">
        <v>5</v>
      </c>
      <c r="W13" s="1382" t="e">
        <f t="shared" si="2"/>
        <v>#N/A</v>
      </c>
      <c r="X13" s="1383"/>
      <c r="Y13" s="3829"/>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1"/>
      <c r="Q14" s="1050" t="str">
        <f t="shared" si="6"/>
        <v>配建</v>
      </c>
      <c r="R14" s="1381" t="s">
        <v>5</v>
      </c>
      <c r="S14" s="1382">
        <f t="shared" si="0"/>
        <v>100</v>
      </c>
      <c r="T14" s="1381" t="s">
        <v>5</v>
      </c>
      <c r="U14" s="1382">
        <f t="shared" si="1"/>
        <v>100</v>
      </c>
      <c r="V14" s="1381" t="s">
        <v>5</v>
      </c>
      <c r="W14" s="1382">
        <f t="shared" si="2"/>
        <v>100</v>
      </c>
      <c r="X14" s="1383"/>
      <c r="Y14" s="3829"/>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1"/>
      <c r="Q15" s="1050">
        <f t="shared" si="6"/>
        <v>111</v>
      </c>
      <c r="R15" s="1381" t="s">
        <v>5</v>
      </c>
      <c r="S15" s="1382">
        <f t="shared" si="0"/>
        <v>100</v>
      </c>
      <c r="T15" s="1381" t="s">
        <v>5</v>
      </c>
      <c r="U15" s="1382">
        <f t="shared" si="1"/>
        <v>100</v>
      </c>
      <c r="V15" s="1381" t="s">
        <v>5</v>
      </c>
      <c r="W15" s="1382">
        <f t="shared" si="2"/>
        <v>100</v>
      </c>
      <c r="X15" s="1383"/>
      <c r="Y15" s="3829"/>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1"/>
      <c r="Q16" s="1050">
        <f t="shared" si="6"/>
        <v>111</v>
      </c>
      <c r="R16" s="1381" t="s">
        <v>5</v>
      </c>
      <c r="S16" s="1382">
        <f t="shared" si="0"/>
        <v>100</v>
      </c>
      <c r="T16" s="1381" t="s">
        <v>5</v>
      </c>
      <c r="U16" s="1382">
        <f t="shared" si="1"/>
        <v>100</v>
      </c>
      <c r="V16" s="1381" t="s">
        <v>5</v>
      </c>
      <c r="W16" s="1382">
        <f t="shared" si="2"/>
        <v>100</v>
      </c>
      <c r="X16" s="1383"/>
      <c r="Y16" s="3829"/>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3" t="s">
        <v>489</v>
      </c>
      <c r="Q17" s="1385" t="str">
        <f t="shared" si="6"/>
        <v>居住社区成熟度</v>
      </c>
      <c r="R17" s="1386" t="s">
        <v>5</v>
      </c>
      <c r="S17" s="1387">
        <f t="shared" si="0"/>
        <v>100</v>
      </c>
      <c r="T17" s="1386" t="s">
        <v>5</v>
      </c>
      <c r="U17" s="1387">
        <f t="shared" si="1"/>
        <v>100</v>
      </c>
      <c r="V17" s="1386" t="s">
        <v>5</v>
      </c>
      <c r="W17" s="1387">
        <f t="shared" si="2"/>
        <v>100</v>
      </c>
      <c r="X17" s="1380"/>
      <c r="Y17" s="388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84"/>
      <c r="Q18" s="1385"/>
      <c r="R18" s="1386"/>
      <c r="S18" s="1387"/>
      <c r="T18" s="1386"/>
      <c r="U18" s="1387"/>
      <c r="V18" s="1386"/>
      <c r="W18" s="1387"/>
      <c r="X18" s="1380"/>
      <c r="Y18" s="388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4"/>
      <c r="Q19" s="1385" t="str">
        <f>B19</f>
        <v>商业繁华度</v>
      </c>
      <c r="R19" s="1386" t="s">
        <v>5</v>
      </c>
      <c r="S19" s="1387">
        <f>F19</f>
        <v>100</v>
      </c>
      <c r="T19" s="1386" t="s">
        <v>5</v>
      </c>
      <c r="U19" s="1387">
        <f>H19</f>
        <v>100</v>
      </c>
      <c r="V19" s="1386" t="s">
        <v>5</v>
      </c>
      <c r="W19" s="1387">
        <f>J19</f>
        <v>100</v>
      </c>
      <c r="X19" s="1380"/>
      <c r="Y19" s="388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84"/>
      <c r="Q20" s="1385"/>
      <c r="R20" s="1386"/>
      <c r="S20" s="1387"/>
      <c r="T20" s="1386"/>
      <c r="U20" s="1387"/>
      <c r="V20" s="1386"/>
      <c r="W20" s="1387"/>
      <c r="X20" s="1380"/>
      <c r="Y20" s="388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4"/>
      <c r="Q21" s="1385" t="str">
        <f>B21</f>
        <v>办公集聚程度</v>
      </c>
      <c r="R21" s="1386" t="s">
        <v>5</v>
      </c>
      <c r="S21" s="1387">
        <f>F21</f>
        <v>100</v>
      </c>
      <c r="T21" s="1386" t="s">
        <v>5</v>
      </c>
      <c r="U21" s="1387">
        <f>H21</f>
        <v>100</v>
      </c>
      <c r="V21" s="1386" t="s">
        <v>5</v>
      </c>
      <c r="W21" s="1387">
        <f>J21</f>
        <v>100</v>
      </c>
      <c r="X21" s="1380"/>
      <c r="Y21" s="388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84"/>
      <c r="Q22" s="1385"/>
      <c r="R22" s="1386"/>
      <c r="S22" s="1387"/>
      <c r="T22" s="1386"/>
      <c r="U22" s="1387"/>
      <c r="V22" s="1386"/>
      <c r="W22" s="1387"/>
      <c r="X22" s="1380"/>
      <c r="Y22" s="388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4"/>
      <c r="Q23" s="1385" t="str">
        <f>B23</f>
        <v>交通便捷度</v>
      </c>
      <c r="R23" s="1386" t="s">
        <v>5</v>
      </c>
      <c r="S23" s="1387">
        <f>F23</f>
        <v>100</v>
      </c>
      <c r="T23" s="1386" t="s">
        <v>5</v>
      </c>
      <c r="U23" s="1387">
        <f>H23</f>
        <v>100</v>
      </c>
      <c r="V23" s="1386" t="s">
        <v>5</v>
      </c>
      <c r="W23" s="1387">
        <f>J23</f>
        <v>100</v>
      </c>
      <c r="X23" s="1380"/>
      <c r="Y23" s="388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84"/>
      <c r="Q24" s="1385"/>
      <c r="R24" s="1386"/>
      <c r="S24" s="1387"/>
      <c r="T24" s="1386"/>
      <c r="U24" s="1387"/>
      <c r="V24" s="1386"/>
      <c r="W24" s="1387"/>
      <c r="X24" s="1380"/>
      <c r="Y24" s="3884"/>
      <c r="Z24" s="1388"/>
      <c r="AA24" s="1389">
        <v>1</v>
      </c>
      <c r="AB24" s="1389">
        <v>1</v>
      </c>
      <c r="AC24" s="1389">
        <v>1</v>
      </c>
    </row>
    <row r="25" spans="1:29" ht="20.25">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4"/>
      <c r="Q25" s="1385" t="str">
        <f t="shared" ref="Q25:Q39" si="8">B25</f>
        <v>区域土地利用方向</v>
      </c>
      <c r="R25" s="1386" t="s">
        <v>5</v>
      </c>
      <c r="S25" s="1387">
        <f>F25</f>
        <v>100</v>
      </c>
      <c r="T25" s="1386" t="s">
        <v>5</v>
      </c>
      <c r="U25" s="1387">
        <f>H25</f>
        <v>100</v>
      </c>
      <c r="V25" s="1386" t="s">
        <v>5</v>
      </c>
      <c r="W25" s="1387">
        <f>J25</f>
        <v>100</v>
      </c>
      <c r="X25" s="1380"/>
      <c r="Y25" s="388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4"/>
      <c r="Q26" s="1385"/>
      <c r="R26" s="1386"/>
      <c r="S26" s="1387"/>
      <c r="T26" s="1386"/>
      <c r="U26" s="1387"/>
      <c r="V26" s="1386"/>
      <c r="W26" s="1387"/>
      <c r="X26" s="1380"/>
      <c r="Y26" s="388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4"/>
      <c r="Q27" s="1385" t="str">
        <f t="shared" si="8"/>
        <v>自然及人文环境状况</v>
      </c>
      <c r="R27" s="1386" t="s">
        <v>5</v>
      </c>
      <c r="S27" s="1387">
        <f>F27</f>
        <v>100</v>
      </c>
      <c r="T27" s="1386" t="s">
        <v>5</v>
      </c>
      <c r="U27" s="1387">
        <f>H27</f>
        <v>100</v>
      </c>
      <c r="V27" s="1386" t="s">
        <v>5</v>
      </c>
      <c r="W27" s="1387">
        <f>J27</f>
        <v>100</v>
      </c>
      <c r="X27" s="1380"/>
      <c r="Y27" s="388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84"/>
      <c r="Q28" s="1385"/>
      <c r="R28" s="1386"/>
      <c r="S28" s="1387"/>
      <c r="T28" s="1386"/>
      <c r="U28" s="1387"/>
      <c r="V28" s="1386"/>
      <c r="W28" s="1387"/>
      <c r="X28" s="1380"/>
      <c r="Y28" s="388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4"/>
      <c r="Q29" s="1050" t="str">
        <f t="shared" si="8"/>
        <v>公共配套设施</v>
      </c>
      <c r="R29" s="1381" t="s">
        <v>5</v>
      </c>
      <c r="S29" s="1382">
        <f>F29</f>
        <v>100</v>
      </c>
      <c r="T29" s="1381" t="s">
        <v>5</v>
      </c>
      <c r="U29" s="1382">
        <f>H29</f>
        <v>100</v>
      </c>
      <c r="V29" s="1381" t="s">
        <v>5</v>
      </c>
      <c r="W29" s="1382">
        <f>J29</f>
        <v>100</v>
      </c>
      <c r="X29" s="1383"/>
      <c r="Y29" s="388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84"/>
      <c r="Q30" s="1050"/>
      <c r="R30" s="1381"/>
      <c r="S30" s="1382"/>
      <c r="T30" s="1381"/>
      <c r="U30" s="1382"/>
      <c r="V30" s="1381"/>
      <c r="W30" s="1382"/>
      <c r="X30" s="1383"/>
      <c r="Y30" s="388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4"/>
      <c r="Q31" s="2192" t="str">
        <f>B31</f>
        <v>基础设施水平</v>
      </c>
      <c r="R31" s="1381" t="s">
        <v>5</v>
      </c>
      <c r="S31" s="1382">
        <f>F31</f>
        <v>100</v>
      </c>
      <c r="T31" s="1381" t="s">
        <v>5</v>
      </c>
      <c r="U31" s="1382">
        <f>H31</f>
        <v>100</v>
      </c>
      <c r="V31" s="1381" t="s">
        <v>5</v>
      </c>
      <c r="W31" s="1382">
        <f>J31</f>
        <v>100</v>
      </c>
      <c r="X31" s="1383"/>
      <c r="Y31" s="388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84"/>
      <c r="Q32" s="2192"/>
      <c r="R32" s="1381"/>
      <c r="S32" s="1382"/>
      <c r="T32" s="1381"/>
      <c r="U32" s="1382"/>
      <c r="V32" s="1381"/>
      <c r="W32" s="1382"/>
      <c r="X32" s="1383"/>
      <c r="Y32" s="388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4"/>
      <c r="Q34" s="1385" t="str">
        <f t="shared" si="8"/>
        <v>毗邻道路的类型与等级</v>
      </c>
      <c r="R34" s="1386" t="s">
        <v>5</v>
      </c>
      <c r="S34" s="1387">
        <f t="shared" si="9"/>
        <v>100</v>
      </c>
      <c r="T34" s="1386" t="s">
        <v>5</v>
      </c>
      <c r="U34" s="1387">
        <f t="shared" si="10"/>
        <v>100</v>
      </c>
      <c r="V34" s="1386" t="s">
        <v>5</v>
      </c>
      <c r="W34" s="1387">
        <f t="shared" si="11"/>
        <v>100</v>
      </c>
      <c r="X34" s="1380"/>
      <c r="Y34" s="388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4"/>
      <c r="Q35" s="1385"/>
      <c r="R35" s="1386"/>
      <c r="S35" s="1387"/>
      <c r="T35" s="1386"/>
      <c r="U35" s="1387"/>
      <c r="V35" s="1386"/>
      <c r="W35" s="1387"/>
      <c r="X35" s="1380"/>
      <c r="Y35" s="388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4"/>
      <c r="Q36" s="1385" t="str">
        <f t="shared" si="8"/>
        <v>土地级别</v>
      </c>
      <c r="R36" s="1386" t="s">
        <v>5</v>
      </c>
      <c r="S36" s="1387">
        <f t="shared" si="9"/>
        <v>100</v>
      </c>
      <c r="T36" s="1386" t="s">
        <v>5</v>
      </c>
      <c r="U36" s="1387">
        <f t="shared" si="10"/>
        <v>100</v>
      </c>
      <c r="V36" s="1386" t="s">
        <v>5</v>
      </c>
      <c r="W36" s="1387">
        <f t="shared" si="11"/>
        <v>100</v>
      </c>
      <c r="X36" s="1380"/>
      <c r="Y36" s="388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4"/>
      <c r="Q37" s="1385">
        <f t="shared" si="8"/>
        <v>111</v>
      </c>
      <c r="R37" s="1386" t="s">
        <v>5</v>
      </c>
      <c r="S37" s="1387">
        <f t="shared" si="9"/>
        <v>100</v>
      </c>
      <c r="T37" s="1386" t="s">
        <v>5</v>
      </c>
      <c r="U37" s="1387">
        <f t="shared" si="10"/>
        <v>100</v>
      </c>
      <c r="V37" s="1386" t="s">
        <v>5</v>
      </c>
      <c r="W37" s="1387">
        <f t="shared" si="11"/>
        <v>100</v>
      </c>
      <c r="X37" s="1380"/>
      <c r="Y37" s="388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5" t="s">
        <v>499</v>
      </c>
      <c r="Q38" s="1385">
        <f t="shared" si="8"/>
        <v>111</v>
      </c>
      <c r="R38" s="1386" t="s">
        <v>5</v>
      </c>
      <c r="S38" s="1387">
        <f t="shared" si="9"/>
        <v>100</v>
      </c>
      <c r="T38" s="1386" t="s">
        <v>5</v>
      </c>
      <c r="U38" s="1387">
        <f t="shared" si="10"/>
        <v>100</v>
      </c>
      <c r="V38" s="1386" t="s">
        <v>5</v>
      </c>
      <c r="W38" s="1387">
        <f t="shared" si="11"/>
        <v>100</v>
      </c>
      <c r="X38" s="1380"/>
      <c r="Y38" s="388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6"/>
      <c r="Q39" s="1385">
        <f t="shared" si="8"/>
        <v>111</v>
      </c>
      <c r="R39" s="1390" t="s">
        <v>5</v>
      </c>
      <c r="S39" s="1391">
        <f t="shared" si="9"/>
        <v>100</v>
      </c>
      <c r="T39" s="1390" t="s">
        <v>5</v>
      </c>
      <c r="U39" s="1391">
        <f t="shared" si="10"/>
        <v>100</v>
      </c>
      <c r="V39" s="1390" t="s">
        <v>5</v>
      </c>
      <c r="W39" s="1391">
        <f t="shared" si="11"/>
        <v>100</v>
      </c>
      <c r="X39" s="1392"/>
      <c r="Y39" s="388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6"/>
      <c r="Q40" s="1385" t="str">
        <f>B40</f>
        <v>宗地面积</v>
      </c>
      <c r="R40" s="1386" t="s">
        <v>5</v>
      </c>
      <c r="S40" s="1387" t="e">
        <f t="shared" si="9"/>
        <v>#N/A</v>
      </c>
      <c r="T40" s="1386" t="s">
        <v>5</v>
      </c>
      <c r="U40" s="1387" t="e">
        <f t="shared" si="10"/>
        <v>#N/A</v>
      </c>
      <c r="V40" s="1386" t="s">
        <v>5</v>
      </c>
      <c r="W40" s="1387" t="e">
        <f t="shared" si="11"/>
        <v>#N/A</v>
      </c>
      <c r="X40" s="1380"/>
      <c r="Y40" s="388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6"/>
      <c r="Q41" s="1385" t="str">
        <f t="shared" ref="Q41:Q47" si="13">B41</f>
        <v>宗地形状</v>
      </c>
      <c r="R41" s="1386" t="s">
        <v>5</v>
      </c>
      <c r="S41" s="1387">
        <f t="shared" si="9"/>
        <v>100</v>
      </c>
      <c r="T41" s="1386" t="s">
        <v>5</v>
      </c>
      <c r="U41" s="1387">
        <f t="shared" si="10"/>
        <v>100</v>
      </c>
      <c r="V41" s="1386" t="s">
        <v>5</v>
      </c>
      <c r="W41" s="1387">
        <f t="shared" si="11"/>
        <v>100</v>
      </c>
      <c r="X41" s="1380"/>
      <c r="Y41" s="388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6"/>
      <c r="Q42" s="1385" t="str">
        <f t="shared" si="13"/>
        <v>临街宽度及深度</v>
      </c>
      <c r="R42" s="1386" t="s">
        <v>5</v>
      </c>
      <c r="S42" s="1387">
        <f t="shared" si="9"/>
        <v>100</v>
      </c>
      <c r="T42" s="1386" t="s">
        <v>5</v>
      </c>
      <c r="U42" s="1387">
        <f t="shared" si="10"/>
        <v>100</v>
      </c>
      <c r="V42" s="1386" t="s">
        <v>5</v>
      </c>
      <c r="W42" s="1387">
        <f t="shared" si="11"/>
        <v>100</v>
      </c>
      <c r="X42" s="1380"/>
      <c r="Y42" s="388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6"/>
      <c r="Q43" s="1385" t="str">
        <f t="shared" si="13"/>
        <v>宗地开发程度</v>
      </c>
      <c r="R43" s="1381" t="s">
        <v>5</v>
      </c>
      <c r="S43" s="1382">
        <f t="shared" si="9"/>
        <v>100</v>
      </c>
      <c r="T43" s="1381" t="s">
        <v>5</v>
      </c>
      <c r="U43" s="1382">
        <f t="shared" si="10"/>
        <v>100</v>
      </c>
      <c r="V43" s="1381" t="s">
        <v>5</v>
      </c>
      <c r="W43" s="1382">
        <f t="shared" si="11"/>
        <v>100</v>
      </c>
      <c r="X43" s="1383"/>
      <c r="Y43" s="388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6" t="s">
        <v>499</v>
      </c>
      <c r="Q44" s="1385" t="str">
        <f t="shared" si="13"/>
        <v>工程地质条件</v>
      </c>
      <c r="R44" s="1386" t="s">
        <v>5</v>
      </c>
      <c r="S44" s="1387">
        <f t="shared" si="9"/>
        <v>100</v>
      </c>
      <c r="T44" s="1386" t="s">
        <v>5</v>
      </c>
      <c r="U44" s="1387">
        <f t="shared" si="10"/>
        <v>100</v>
      </c>
      <c r="V44" s="1386" t="s">
        <v>5</v>
      </c>
      <c r="W44" s="1387">
        <f t="shared" si="11"/>
        <v>100</v>
      </c>
      <c r="X44" s="1380"/>
      <c r="Y44" s="388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6"/>
      <c r="Q45" s="1385">
        <f t="shared" si="13"/>
        <v>111</v>
      </c>
      <c r="R45" s="1386" t="s">
        <v>5</v>
      </c>
      <c r="S45" s="1387">
        <f t="shared" si="9"/>
        <v>100</v>
      </c>
      <c r="T45" s="1386" t="s">
        <v>5</v>
      </c>
      <c r="U45" s="1387">
        <f t="shared" si="10"/>
        <v>100</v>
      </c>
      <c r="V45" s="1386" t="s">
        <v>5</v>
      </c>
      <c r="W45" s="1387">
        <f t="shared" si="11"/>
        <v>100</v>
      </c>
      <c r="X45" s="1380"/>
      <c r="Y45" s="388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6"/>
      <c r="Q46" s="1385">
        <f t="shared" si="13"/>
        <v>111</v>
      </c>
      <c r="R46" s="1386" t="s">
        <v>5</v>
      </c>
      <c r="S46" s="1387">
        <f t="shared" si="9"/>
        <v>100</v>
      </c>
      <c r="T46" s="1386" t="s">
        <v>5</v>
      </c>
      <c r="U46" s="1387">
        <f t="shared" si="10"/>
        <v>100</v>
      </c>
      <c r="V46" s="1386" t="s">
        <v>5</v>
      </c>
      <c r="W46" s="1387">
        <f t="shared" si="11"/>
        <v>100</v>
      </c>
      <c r="X46" s="1380"/>
      <c r="Y46" s="388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6"/>
      <c r="Q47" s="1385">
        <f t="shared" si="13"/>
        <v>111</v>
      </c>
      <c r="R47" s="1390" t="s">
        <v>5</v>
      </c>
      <c r="S47" s="1391">
        <f t="shared" si="9"/>
        <v>100</v>
      </c>
      <c r="T47" s="1390" t="s">
        <v>5</v>
      </c>
      <c r="U47" s="1391">
        <f t="shared" si="10"/>
        <v>100</v>
      </c>
      <c r="V47" s="1390" t="s">
        <v>5</v>
      </c>
      <c r="W47" s="1391">
        <f t="shared" si="11"/>
        <v>100</v>
      </c>
      <c r="X47" s="1392"/>
      <c r="Y47" s="388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81" t="str">
        <f>A48</f>
        <v>成交单价</v>
      </c>
      <c r="Q48" s="3881"/>
      <c r="R48" s="3897">
        <f>E48</f>
        <v>0</v>
      </c>
      <c r="S48" s="3897"/>
      <c r="T48" s="3897">
        <f>G48</f>
        <v>0</v>
      </c>
      <c r="U48" s="3897"/>
      <c r="V48" s="3897">
        <f>I48</f>
        <v>0</v>
      </c>
      <c r="W48" s="3897"/>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81" t="str">
        <f>A49</f>
        <v>比较价格（元/平方米）</v>
      </c>
      <c r="Q49" s="3881"/>
      <c r="R49" s="3905" t="e">
        <f>ROUND(PRODUCT(R48,AA9:AA47),0)</f>
        <v>#DIV/0!</v>
      </c>
      <c r="S49" s="3905"/>
      <c r="T49" s="3905" t="e">
        <f>ROUND(PRODUCT(T48,AB9:AB47),0)</f>
        <v>#DIV/0!</v>
      </c>
      <c r="U49" s="3905"/>
      <c r="V49" s="3905" t="e">
        <f>ROUND(PRODUCT(V48,AC9:AC47),0)</f>
        <v>#DIV/0!</v>
      </c>
      <c r="W49" s="3905"/>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87" t="str">
        <f>A50</f>
        <v>估价对象XX用房的比较价格（楼面单价，元/平方米）</v>
      </c>
      <c r="Q50" s="3888"/>
      <c r="R50" s="3904" t="e">
        <f>ROUND(IF(D49="简单平均",AVERAGE(R49:W49),R49*F49+T49*H49+V49*J49),0)</f>
        <v>#DIV/0!</v>
      </c>
      <c r="S50" s="3904"/>
      <c r="T50" s="3904"/>
      <c r="U50" s="3904"/>
      <c r="V50" s="3904"/>
      <c r="W50" s="3904"/>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6637.12</v>
      </c>
      <c r="F58" s="604" t="e">
        <f t="shared" ref="F58:F66" si="14">ROUND(B58*E58/10000,0)</f>
        <v>#DIV/0!</v>
      </c>
      <c r="G58" s="3868"/>
      <c r="H58" s="3869"/>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112236.7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2023-6-1</v>
      </c>
      <c r="D69" s="2279">
        <f>EDATE(C69,-3)</f>
        <v>44986</v>
      </c>
      <c r="E69" s="2279">
        <f t="shared" ref="E69:N69" si="17">EDATE(D69,-3)</f>
        <v>44896</v>
      </c>
      <c r="F69" s="2279">
        <f t="shared" si="17"/>
        <v>44805</v>
      </c>
      <c r="G69" s="2279">
        <f t="shared" si="17"/>
        <v>44713</v>
      </c>
      <c r="H69" s="2279">
        <f t="shared" si="17"/>
        <v>44621</v>
      </c>
      <c r="I69" s="2279">
        <f t="shared" si="17"/>
        <v>44531</v>
      </c>
      <c r="J69" s="2279">
        <f t="shared" si="17"/>
        <v>44440</v>
      </c>
      <c r="K69" s="2279">
        <f t="shared" si="17"/>
        <v>44348</v>
      </c>
      <c r="L69" s="2279">
        <f t="shared" si="17"/>
        <v>44256</v>
      </c>
      <c r="M69" s="2279">
        <f t="shared" si="17"/>
        <v>44166</v>
      </c>
      <c r="N69" s="2279">
        <f t="shared" si="17"/>
        <v>44075</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15.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7" zoomScaleNormal="60" zoomScaleSheetLayoutView="100" workbookViewId="0">
      <selection activeCell="E3" sqref="E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112236.7</v>
      </c>
      <c r="E1" s="1261" t="s">
        <v>1779</v>
      </c>
      <c r="F1" s="2105">
        <f>D1</f>
        <v>112236.7</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6319</v>
      </c>
      <c r="C2" s="1262" t="s">
        <v>849</v>
      </c>
      <c r="D2" s="1263" t="s">
        <v>850</v>
      </c>
      <c r="E2" s="1264" t="s">
        <v>905</v>
      </c>
      <c r="F2" s="1263" t="s">
        <v>852</v>
      </c>
      <c r="G2" s="1457" t="str">
        <f>IF(E2="商业",项目基本情况!B43,IF(E2="办公",项目基本情况!C43,IF(E2="住宅",项目基本情况!D43,IF(E2="工业",项目基本情况!E43,项目基本情况!F43))))</f>
        <v>十一级</v>
      </c>
      <c r="H2" s="1263" t="s">
        <v>854</v>
      </c>
      <c r="I2" s="1458" t="str">
        <f>IF(E2="商业",项目基本情况!B44,IF(E2="办公",项目基本情况!C44,IF(E2="住宅",项目基本情况!D44,IF(E2="工业",项目基本情况!E44,项目基本情况!F44))))</f>
        <v>Ⅺ-顺1</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1.5418000000000001</v>
      </c>
      <c r="T2" s="2416">
        <f>ROUND($C$5*$C$22*$C$23*$C$24*S2*$C$28,0)</f>
        <v>869</v>
      </c>
      <c r="U2" s="2406"/>
      <c r="V2" s="2416">
        <f>ROUND(T2*U2/10000,0)</f>
        <v>0</v>
      </c>
      <c r="W2" s="1911"/>
      <c r="X2" s="1911"/>
      <c r="Y2" s="1911"/>
      <c r="Z2" s="1911"/>
      <c r="AA2" s="1911"/>
      <c r="AB2" s="1911"/>
      <c r="AC2" s="1912"/>
    </row>
    <row r="3" spans="1:39" ht="15.75">
      <c r="A3" s="1266" t="s">
        <v>1220</v>
      </c>
      <c r="B3" s="991">
        <f>ROUND(B2*10000/D1,0)</f>
        <v>563</v>
      </c>
      <c r="C3" s="1262" t="s">
        <v>855</v>
      </c>
      <c r="D3" s="1263" t="s">
        <v>856</v>
      </c>
      <c r="E3" s="1267" t="s">
        <v>2507</v>
      </c>
      <c r="F3" s="1268" t="s">
        <v>3267</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1.1883999999999999</v>
      </c>
      <c r="T3" s="2416">
        <f t="shared" ref="T3:T16" si="0">ROUND($C$5*$C$22*$C$23*$C$24*S3*$C$28,0)</f>
        <v>670</v>
      </c>
      <c r="U3" s="2406"/>
      <c r="V3" s="2416">
        <f t="shared" ref="V3:V16" si="1">ROUND(T3*U3/10000,0)</f>
        <v>0</v>
      </c>
      <c r="W3" s="1911"/>
      <c r="X3" s="1911"/>
      <c r="Y3" s="1911"/>
      <c r="Z3" s="1911"/>
      <c r="AA3" s="1911"/>
      <c r="AB3" s="1911"/>
      <c r="AC3" s="1912"/>
    </row>
    <row r="4" spans="1:39" ht="28.5">
      <c r="A4" s="1647" t="s">
        <v>1638</v>
      </c>
      <c r="B4" s="2106">
        <f>ROUND(B2*10000/F1,0)</f>
        <v>563</v>
      </c>
      <c r="C4" s="1650" t="s">
        <v>1613</v>
      </c>
      <c r="D4" s="1650">
        <f>ROUND(B2/(F1/666.67),0)</f>
        <v>38</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0.96940000000000004</v>
      </c>
      <c r="T4" s="2416">
        <f t="shared" si="0"/>
        <v>546</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630</v>
      </c>
      <c r="D5" s="2548">
        <f>ROUND(C6*C17+C20,0)</f>
        <v>630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0.82299999999999995</v>
      </c>
      <c r="T5" s="2416">
        <f t="shared" si="0"/>
        <v>464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630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0.74980000000000002</v>
      </c>
      <c r="T6" s="2416">
        <f t="shared" si="0"/>
        <v>422</v>
      </c>
      <c r="U6" s="2406"/>
      <c r="V6" s="2416">
        <f t="shared" si="1"/>
        <v>0</v>
      </c>
      <c r="W6" s="1911"/>
      <c r="X6" s="1911"/>
      <c r="Y6" s="1911"/>
      <c r="Z6" s="1911"/>
      <c r="AA6" s="1911"/>
      <c r="AB6" s="1911"/>
      <c r="AC6" s="1913"/>
      <c r="AD6" s="1274"/>
      <c r="AE6" s="1274"/>
      <c r="AF6" s="1274"/>
      <c r="AG6" s="1274"/>
      <c r="AH6" s="1274"/>
      <c r="AI6" s="1274"/>
      <c r="AJ6" s="1275"/>
    </row>
    <row r="7" spans="1:39" ht="15.75" thickBot="1">
      <c r="A7" s="3525" t="s">
        <v>3196</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十一级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14" t="s">
        <v>2060</v>
      </c>
      <c r="X8" s="391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13"/>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1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630</v>
      </c>
      <c r="N11" s="1643">
        <f>SUMPRODUCT((因素修正幅度!B358:B377=I2)*(因素修正幅度!C3:G3=E2)*(因素修正幅度!C358:G377))</f>
        <v>0.106</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3197</v>
      </c>
      <c r="B12" s="3506" t="s">
        <v>3198</v>
      </c>
      <c r="C12" s="3512">
        <v>1</v>
      </c>
      <c r="D12" s="3507" t="s">
        <v>3199</v>
      </c>
      <c r="E12" s="3508" t="s">
        <v>3200</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3201</v>
      </c>
      <c r="B13" s="1283" t="s">
        <v>874</v>
      </c>
      <c r="C13" s="3526">
        <f>ROUND(C16*D16*E16*F16*G16*H16*I16*J16,4)</f>
        <v>0</v>
      </c>
      <c r="D13" s="3544" t="s">
        <v>3202</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3203</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3204</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3205</v>
      </c>
      <c r="B17" s="3556" t="s">
        <v>3206</v>
      </c>
      <c r="C17" s="3564">
        <f>ROUND(IF(OR(E2="工业",E2="公共服务"),1,IF(AND(E18=0,E19=0),1,IF(AND(E18=J24,E19=G19),0.8,IF(E19=0,1+E17*(-0.2),1+E17*G17*(-0.2))))),4)</f>
        <v>1</v>
      </c>
      <c r="D17" s="3557" t="s">
        <v>3207</v>
      </c>
      <c r="E17" s="3564">
        <f>ROUND(G18/I18,2)</f>
        <v>0</v>
      </c>
      <c r="F17" s="3557" t="s">
        <v>3210</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3208</v>
      </c>
      <c r="E18" s="3563"/>
      <c r="F18" s="3560" t="s">
        <v>3211</v>
      </c>
      <c r="G18" s="3562">
        <f>ROUND(1-(1/(POWER(1+G24,E18))),4)</f>
        <v>0</v>
      </c>
      <c r="H18" s="3560" t="s">
        <v>3213</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3209</v>
      </c>
      <c r="E19" s="3565"/>
      <c r="F19" s="3561" t="s">
        <v>3212</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7" t="s">
        <v>1370</v>
      </c>
      <c r="B20" s="1278" t="s">
        <v>875</v>
      </c>
      <c r="C20" s="998">
        <f>ROUND(IF(F21="与级别开发程度一致",0,(G21-E21)/C21),0)</f>
        <v>0</v>
      </c>
      <c r="D20" s="3919" t="s">
        <v>879</v>
      </c>
      <c r="E20" s="3920"/>
      <c r="F20" s="3919" t="s">
        <v>876</v>
      </c>
      <c r="G20" s="3920"/>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8"/>
      <c r="B21" s="2607" t="s">
        <v>878</v>
      </c>
      <c r="C21" s="2608">
        <f>IF(E3="M4科研用地",SUMPRODUCT((修正!A2:A7=E3)*(修正!B1:M1=G2)*(修正!B2:M7)),SUMPRODUCT((修正!A2:A7=E2)*(修正!B1:M1=G2)*(修正!B2:M7)))</f>
        <v>1</v>
      </c>
      <c r="D21" s="2609" t="str">
        <f>IF(OR(G2="八级",G2="九级",G2="十级",G2="十一级",G2="十二级"),"五通一平","七通一平")</f>
        <v>五通一平</v>
      </c>
      <c r="E21" s="2599">
        <f>SUMPRODUCT((修正!B1:M1=G2)*(修正!B17:M17))</f>
        <v>185</v>
      </c>
      <c r="F21" s="2600" t="s">
        <v>3265</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45091</v>
      </c>
      <c r="H23" s="1298" t="s">
        <v>2247</v>
      </c>
      <c r="I23" s="2266" t="str">
        <f>IF(H23="季度增幅（自定义）",SUMIF(N25:N28,E2,O25:O28),"")</f>
        <v/>
      </c>
      <c r="J23" s="3566" t="s">
        <v>3266</v>
      </c>
      <c r="K23" s="2976"/>
      <c r="L23" s="2511" t="s">
        <v>2116</v>
      </c>
      <c r="M23" s="2512">
        <f>ROUND(SUMIF(地价!B2:F2,E2,地价!B41:F41),0)</f>
        <v>230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0.84730000000000005</v>
      </c>
      <c r="D24" s="2263" t="s">
        <v>897</v>
      </c>
      <c r="E24" s="2540">
        <f>存贷款利率!E22/100</f>
        <v>4.3499999999999997E-2</v>
      </c>
      <c r="F24" s="2263" t="s">
        <v>898</v>
      </c>
      <c r="G24" s="2264">
        <f>SUMIF(M30:Q30,E2,M33:Q33)</f>
        <v>0.05</v>
      </c>
      <c r="H24" s="2263" t="s">
        <v>899</v>
      </c>
      <c r="I24" s="2259">
        <f>SUMIF('数据-取费表'!C6:C15,E2,'数据-取费表'!F6:F15)/COUNTIF('数据-取费表'!C6:C15,E2)</f>
        <v>30.43</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3214</v>
      </c>
      <c r="D26" s="1002">
        <f>IF(E26=G26,F26,IF(G3&lt;10,ROUND(F26+(H26-F26)*(G3-E26)/(G26-E26),4),"——"))</f>
        <v>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3215</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6319</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563</v>
      </c>
      <c r="D33" s="1326">
        <f>'数据-基础表'!E13</f>
        <v>112236.7</v>
      </c>
      <c r="E33" s="1635">
        <f>ROUND(C33*D33/10000,0)</f>
        <v>6319</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13.5" thickBot="1">
      <c r="A34" s="1329"/>
      <c r="B34" s="1330" t="s">
        <v>918</v>
      </c>
      <c r="C34" s="997">
        <f>ROUND(IF(E2="工业",C33*M42,IF(B25="楼层修正",SUM(V2:V16)*M41*10000/D34,C33*M41)),0)</f>
        <v>84</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4.3499999999999997E-2</v>
      </c>
      <c r="M36" s="3643">
        <f ca="1">ROUND($L$36*(1+M31),3)</f>
        <v>5.3999999999999999E-2</v>
      </c>
      <c r="N36" s="3643">
        <f ca="1">ROUND($L$36*(1+N31),3)</f>
        <v>5.1999999999999998E-2</v>
      </c>
      <c r="O36" s="3643">
        <f ca="1">ROUND($L$36*(1+O31),3)</f>
        <v>0.05</v>
      </c>
      <c r="P36" s="3643">
        <f ca="1">ROUND($L$36*(1+P31),3)</f>
        <v>4.8000000000000001E-2</v>
      </c>
      <c r="Q36" s="3643">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1"/>
      <c r="B37" s="1344" t="s">
        <v>923</v>
      </c>
      <c r="C37" s="1005">
        <f>ROUND(D5*C22*C23*C24*C28*F37,0)</f>
        <v>282</v>
      </c>
      <c r="D37" s="1356"/>
      <c r="E37" s="996">
        <f>ROUND(C37*D37/10000,0)</f>
        <v>0</v>
      </c>
      <c r="F37" s="996">
        <f>SUMIF(修正!A57:A68,G2,修正!B57:B68)</f>
        <v>0.5</v>
      </c>
      <c r="G37" s="996">
        <f>ROUND(IF(E2="工业",C37*$M$42,C37*$M$41),0)</f>
        <v>42</v>
      </c>
      <c r="H37" s="996">
        <f>D37</f>
        <v>0</v>
      </c>
      <c r="I37" s="996">
        <f>ROUND(G37*H37/10000,0)</f>
        <v>0</v>
      </c>
      <c r="J37" s="3911"/>
      <c r="K37" s="3641" t="s">
        <v>3246</v>
      </c>
      <c r="L37" s="3642">
        <f ca="1">L36+K38</f>
        <v>4.8499999999999995E-2</v>
      </c>
      <c r="M37" s="3643">
        <f ca="1">ROUND($L$37*(1+M31),3)</f>
        <v>6.0999999999999999E-2</v>
      </c>
      <c r="N37" s="3643">
        <f t="shared" ref="N37:Q37" ca="1" si="3">ROUND($L$37*(1+N31),3)</f>
        <v>5.8000000000000003E-2</v>
      </c>
      <c r="O37" s="3643">
        <f t="shared" ca="1" si="3"/>
        <v>5.6000000000000001E-2</v>
      </c>
      <c r="P37" s="3643">
        <f t="shared" ca="1" si="3"/>
        <v>5.2999999999999999E-2</v>
      </c>
      <c r="Q37" s="3643">
        <f t="shared" ca="1" si="3"/>
        <v>5.6000000000000001E-2</v>
      </c>
      <c r="R37" s="1912"/>
      <c r="S37" s="1912"/>
      <c r="T37" s="1912"/>
      <c r="U37" s="1912"/>
      <c r="V37" s="1912"/>
      <c r="W37" s="1911"/>
      <c r="X37" s="1911"/>
      <c r="Y37" s="1911"/>
      <c r="Z37" s="1911"/>
      <c r="AA37" s="1911"/>
      <c r="AB37" s="1911"/>
      <c r="AC37" s="1912"/>
    </row>
    <row r="38" spans="1:44" ht="12.75">
      <c r="A38" s="3912"/>
      <c r="B38" s="1288" t="s">
        <v>924</v>
      </c>
      <c r="C38" s="1005">
        <f>ROUND(D5*C22*C23*C24*C28*F38,0)</f>
        <v>113</v>
      </c>
      <c r="D38" s="1356"/>
      <c r="E38" s="996">
        <f t="shared" ref="E38:E42" si="4">ROUND(C38*D38/10000,0)</f>
        <v>0</v>
      </c>
      <c r="F38" s="996">
        <f>SUMIF(修正!A57:A68,G2,修正!C57:C68)</f>
        <v>0.2</v>
      </c>
      <c r="G38" s="996">
        <f>ROUND(IF(E2="工业",C38*$M$42,C38*$M$41),0)</f>
        <v>17</v>
      </c>
      <c r="H38" s="996">
        <f t="shared" ref="H38:H42" si="5">D38</f>
        <v>0</v>
      </c>
      <c r="I38" s="996">
        <f t="shared" ref="I38:I42" si="6">ROUND(G38*H38/10000,0)</f>
        <v>0</v>
      </c>
      <c r="J38" s="3912"/>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12"/>
      <c r="B39" s="3570" t="s">
        <v>3219</v>
      </c>
      <c r="C39" s="1005">
        <f>ROUND(D5*C22*C23*C24*C28*F39,0)</f>
        <v>113</v>
      </c>
      <c r="D39" s="1356"/>
      <c r="E39" s="996">
        <f t="shared" si="4"/>
        <v>0</v>
      </c>
      <c r="F39" s="996">
        <f>SUMIF(修正!A57:A68,G2,修正!D57:D68)</f>
        <v>0.2</v>
      </c>
      <c r="G39" s="996">
        <f>ROUND(IF(E2="工业",C39*$M$42,C39*$M$41),0)</f>
        <v>17</v>
      </c>
      <c r="H39" s="996">
        <f t="shared" si="5"/>
        <v>0</v>
      </c>
      <c r="I39" s="996">
        <f t="shared" si="6"/>
        <v>0</v>
      </c>
      <c r="J39" s="391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113</v>
      </c>
      <c r="D40" s="1356"/>
      <c r="E40" s="996">
        <f t="shared" si="4"/>
        <v>0</v>
      </c>
      <c r="F40" s="1005">
        <f>SUMIF(修正!A57:A68,G2,修正!E57:E68)</f>
        <v>0.2</v>
      </c>
      <c r="G40" s="996">
        <f>ROUND(IF(E2="工业",C40*$M$42,C40*$M$41),0)</f>
        <v>17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f>IF(E2="工业",SUMIF(L1:L12,G2,N1:N12),"——")</f>
        <v>0.106</v>
      </c>
      <c r="G83" s="3601"/>
      <c r="H83" s="3602">
        <f t="shared" ref="H83:H90" si="23">IFERROR(ROUNDDOWN($F$83*I83/2,4),"——")</f>
        <v>1.37E-2</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f t="shared" si="23"/>
        <v>1.5900000000000001E-2</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f t="shared" si="23"/>
        <v>5.3E-3</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f t="shared" si="23"/>
        <v>2.5999999999999999E-3</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f t="shared" si="23"/>
        <v>3.0999999999999999E-3</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f t="shared" si="23"/>
        <v>6.3E-3</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2199</v>
      </c>
      <c r="C89" s="3597"/>
      <c r="D89" s="3598">
        <f t="shared" si="22"/>
        <v>0</v>
      </c>
      <c r="E89" s="3604"/>
      <c r="F89" s="3600"/>
      <c r="G89" s="3601"/>
      <c r="H89" s="3602">
        <f t="shared" si="23"/>
        <v>3.0999999999999999E-3</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f t="shared" si="23"/>
        <v>2.5999999999999999E-3</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3221</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3225</v>
      </c>
      <c r="B96" s="3577" t="s">
        <v>3226</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3227</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3234</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09" t="s">
        <v>1172</v>
      </c>
      <c r="B104" s="3909"/>
      <c r="C104" s="3909"/>
      <c r="D104" s="3909"/>
      <c r="E104" s="3909"/>
      <c r="F104" s="3909"/>
      <c r="G104" s="3909"/>
      <c r="H104" s="3909"/>
      <c r="I104" s="3909"/>
      <c r="J104" s="3909"/>
      <c r="K104" s="2103"/>
      <c r="L104" s="2103"/>
      <c r="M104" s="2103"/>
      <c r="N104" s="2103"/>
    </row>
    <row r="105" spans="1:36">
      <c r="A105" s="3910" t="s">
        <v>1161</v>
      </c>
      <c r="B105" s="3910" t="s">
        <v>1173</v>
      </c>
      <c r="C105" s="1041" t="s">
        <v>1174</v>
      </c>
      <c r="D105" s="1042"/>
      <c r="E105" s="1042"/>
      <c r="F105" s="1042"/>
      <c r="G105" s="1042"/>
      <c r="H105" s="1042"/>
      <c r="I105" s="1042"/>
      <c r="J105" s="1043"/>
      <c r="K105" s="1035"/>
      <c r="L105" s="1035"/>
      <c r="M105" s="1035"/>
      <c r="N105" s="1035"/>
    </row>
    <row r="106" spans="1:36">
      <c r="A106" s="3910"/>
      <c r="B106" s="3910"/>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7"/>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6" t="s">
        <v>1175</v>
      </c>
      <c r="B114" s="3906"/>
      <c r="C114" s="3906"/>
      <c r="D114" s="3906"/>
      <c r="E114" s="3906"/>
      <c r="F114" s="3906"/>
      <c r="G114" s="3906"/>
      <c r="H114" s="3906"/>
      <c r="I114" s="3906"/>
      <c r="J114" s="3906"/>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十一级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5">I119</f>
        <v>0.8306</v>
      </c>
      <c r="K119" s="3574">
        <f t="shared" si="35"/>
        <v>0.8306</v>
      </c>
      <c r="L119" s="3574">
        <f t="shared" si="35"/>
        <v>0.8306</v>
      </c>
      <c r="M119" s="3635">
        <f t="shared" si="35"/>
        <v>0.8306</v>
      </c>
    </row>
    <row r="120" spans="1:14" ht="12.75">
      <c r="A120" s="3632" t="s">
        <v>3239</v>
      </c>
      <c r="B120" s="3574">
        <f>ROUND(0.993-0.0112*B117,4)</f>
        <v>0.98180000000000001</v>
      </c>
      <c r="C120" s="3574">
        <f>B120</f>
        <v>0.98180000000000001</v>
      </c>
      <c r="D120" s="3574">
        <f>ROUND(0.9415-0.0142*B117,4)</f>
        <v>0.92730000000000001</v>
      </c>
      <c r="E120" s="3574">
        <f t="shared" ref="E120:H121" si="36">D120</f>
        <v>0.92730000000000001</v>
      </c>
      <c r="F120" s="3574">
        <f t="shared" si="36"/>
        <v>0.92730000000000001</v>
      </c>
      <c r="G120" s="3574">
        <f t="shared" si="36"/>
        <v>0.92730000000000001</v>
      </c>
      <c r="H120" s="3574">
        <f t="shared" si="36"/>
        <v>0.92730000000000001</v>
      </c>
      <c r="I120" s="3574">
        <f>ROUND(0.838-0.0182*B117,4)</f>
        <v>0.81979999999999997</v>
      </c>
      <c r="J120" s="3574">
        <f t="shared" si="35"/>
        <v>0.81979999999999997</v>
      </c>
      <c r="K120" s="3574">
        <f t="shared" si="35"/>
        <v>0.81979999999999997</v>
      </c>
      <c r="L120" s="3574">
        <f t="shared" si="35"/>
        <v>0.81979999999999997</v>
      </c>
      <c r="M120" s="3635">
        <f t="shared" si="35"/>
        <v>0.81979999999999997</v>
      </c>
    </row>
    <row r="121" spans="1:14" ht="12.75">
      <c r="A121" s="3632" t="s">
        <v>3240</v>
      </c>
      <c r="B121" s="3574">
        <f>ROUND(0.9448-0.0115*B117,4)</f>
        <v>0.93330000000000002</v>
      </c>
      <c r="C121" s="3574">
        <f>B121</f>
        <v>0.93330000000000002</v>
      </c>
      <c r="D121" s="3574">
        <f>ROUND(0.937-0.0145*B117,4)</f>
        <v>0.92249999999999999</v>
      </c>
      <c r="E121" s="3574">
        <f t="shared" si="36"/>
        <v>0.92249999999999999</v>
      </c>
      <c r="F121" s="3574">
        <f t="shared" si="36"/>
        <v>0.92249999999999999</v>
      </c>
      <c r="G121" s="3574">
        <f t="shared" si="36"/>
        <v>0.92249999999999999</v>
      </c>
      <c r="H121" s="3574">
        <f t="shared" si="36"/>
        <v>0.92249999999999999</v>
      </c>
      <c r="I121" s="3574">
        <f>ROUND(0.7965-0.0185*B117,4)</f>
        <v>0.77800000000000002</v>
      </c>
      <c r="J121" s="3574">
        <f t="shared" si="35"/>
        <v>0.77800000000000002</v>
      </c>
      <c r="K121" s="3574">
        <f t="shared" si="35"/>
        <v>0.77800000000000002</v>
      </c>
      <c r="L121" s="3574">
        <f t="shared" si="35"/>
        <v>0.77800000000000002</v>
      </c>
      <c r="M121" s="3635">
        <f t="shared" si="35"/>
        <v>0.77800000000000002</v>
      </c>
    </row>
    <row r="122" spans="1:14" ht="13.5"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5"/>
        <v>0.57150000000000001</v>
      </c>
      <c r="K122" s="3636">
        <f t="shared" si="35"/>
        <v>0.57150000000000001</v>
      </c>
      <c r="L122" s="3636">
        <f t="shared" si="35"/>
        <v>0.57150000000000001</v>
      </c>
      <c r="M122" s="3637">
        <f t="shared" si="35"/>
        <v>0.57150000000000001</v>
      </c>
    </row>
    <row r="123" spans="1:14" ht="12.75">
      <c r="A123" s="3634" t="s">
        <v>3222</v>
      </c>
      <c r="B123" s="3574">
        <f>ROUND(0.9404-0.0106*B117,4)</f>
        <v>0.92979999999999996</v>
      </c>
      <c r="C123" s="3574">
        <f>B123</f>
        <v>0.92979999999999996</v>
      </c>
      <c r="D123" s="3574">
        <f>ROUND(0.8955-0.0135*B117,4)</f>
        <v>0.88200000000000001</v>
      </c>
      <c r="E123" s="3574">
        <f t="shared" ref="E123:H123" si="37">D123</f>
        <v>0.88200000000000001</v>
      </c>
      <c r="F123" s="3574">
        <f t="shared" si="37"/>
        <v>0.88200000000000001</v>
      </c>
      <c r="G123" s="3574">
        <f t="shared" si="37"/>
        <v>0.88200000000000001</v>
      </c>
      <c r="H123" s="3574">
        <f t="shared" si="37"/>
        <v>0.88200000000000001</v>
      </c>
      <c r="I123" s="3574">
        <f>ROUND(0.7632-0.0166*B117,4)</f>
        <v>0.74660000000000004</v>
      </c>
      <c r="J123" s="3574">
        <f t="shared" si="35"/>
        <v>0.74660000000000004</v>
      </c>
      <c r="K123" s="3574">
        <f t="shared" si="35"/>
        <v>0.74660000000000004</v>
      </c>
      <c r="L123" s="3574">
        <f t="shared" si="35"/>
        <v>0.74660000000000004</v>
      </c>
      <c r="M123" s="3635">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12765</v>
      </c>
      <c r="C2" s="3009"/>
      <c r="D2" s="3009"/>
      <c r="E2" s="3009"/>
      <c r="F2" s="3009"/>
      <c r="G2" s="3009"/>
    </row>
    <row r="3" spans="1:25" s="1783" customFormat="1" ht="18" customHeight="1">
      <c r="A3" s="1237" t="s">
        <v>1218</v>
      </c>
      <c r="B3" s="412">
        <f ca="1">ROUND(B2*10000/'数据-汇总表'!E3,0)</f>
        <v>19233</v>
      </c>
      <c r="C3" s="3009"/>
      <c r="D3" s="3009"/>
      <c r="E3" s="3009"/>
      <c r="F3" s="3009"/>
      <c r="G3" s="3009"/>
    </row>
    <row r="4" spans="1:25" s="1783" customFormat="1" ht="18" customHeight="1">
      <c r="A4" s="413" t="s">
        <v>428</v>
      </c>
      <c r="B4" s="414">
        <f ca="1">ROUND(B2*10000/'数据-汇总表'!D3,0)</f>
        <v>1137</v>
      </c>
      <c r="C4" s="2963"/>
      <c r="D4" s="3009"/>
      <c r="E4" s="3009"/>
      <c r="F4" s="3009"/>
      <c r="G4" s="3009"/>
    </row>
    <row r="5" spans="1:25" s="1783" customFormat="1" ht="18" customHeight="1" thickBot="1">
      <c r="A5" s="416"/>
      <c r="B5" s="417">
        <f ca="1">ROUND(B2/('数据-汇总表'!D3/666.67),0)</f>
        <v>76</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14310</v>
      </c>
      <c r="D7" s="716"/>
      <c r="E7" s="717"/>
      <c r="F7" s="717"/>
      <c r="G7" s="2128" t="s">
        <v>3264</v>
      </c>
    </row>
    <row r="8" spans="1:25" s="1905" customFormat="1" ht="13.5" customHeight="1">
      <c r="A8" s="2119" t="s">
        <v>1786</v>
      </c>
      <c r="B8" s="2122" t="s">
        <v>1788</v>
      </c>
      <c r="C8" s="3012">
        <f>ROUND(D8*E8/10000,0)</f>
        <v>14310</v>
      </c>
      <c r="D8" s="3012">
        <f>'数据-基础表'!A3</f>
        <v>112236.7</v>
      </c>
      <c r="E8" s="3013">
        <f>'比较法-工业'!C44</f>
        <v>1275</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209</v>
      </c>
      <c r="D10" s="726"/>
      <c r="E10" s="716"/>
      <c r="F10" s="727"/>
      <c r="G10" s="725" t="s">
        <v>562</v>
      </c>
    </row>
    <row r="11" spans="1:25" s="1905" customFormat="1" ht="13.5" customHeight="1">
      <c r="A11" s="2119" t="s">
        <v>1786</v>
      </c>
      <c r="B11" s="719" t="s">
        <v>558</v>
      </c>
      <c r="C11" s="720">
        <f>'数据-取费表'!B29</f>
        <v>209</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209</v>
      </c>
      <c r="D13" s="3012">
        <f>'数据-汇总表'!E6</f>
        <v>6637.12</v>
      </c>
      <c r="E13" s="3012">
        <v>315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526</v>
      </c>
      <c r="D17" s="728"/>
      <c r="E17" s="729"/>
      <c r="F17" s="730">
        <f ca="1">存贷款利率!E3</f>
        <v>3.6499999999999998E-2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1307</v>
      </c>
      <c r="D18" s="728"/>
      <c r="E18" s="729"/>
      <c r="F18" s="1209">
        <v>0.09</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16352</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c r="A20" s="2119">
        <v>7</v>
      </c>
      <c r="B20" s="715" t="s">
        <v>569</v>
      </c>
      <c r="C20" s="716">
        <f ca="1">ROUND(C19*F20,0)</f>
        <v>1962</v>
      </c>
      <c r="D20" s="726"/>
      <c r="E20" s="716"/>
      <c r="F20" s="1209">
        <v>0.12</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18314</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12765</v>
      </c>
      <c r="D22" s="726"/>
      <c r="E22" s="716"/>
      <c r="F22" s="732">
        <f>'数据-取费表'!AP16</f>
        <v>0.69699999999999995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12765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B19" zoomScale="70" zoomScaleNormal="50" zoomScaleSheetLayoutView="70" workbookViewId="0">
      <selection activeCell="C36" sqref="C36:J36"/>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14310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21561</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1275</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85</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889" t="s">
        <v>471</v>
      </c>
      <c r="D6" s="3890"/>
      <c r="E6" s="3926" t="s">
        <v>472</v>
      </c>
      <c r="F6" s="3927"/>
      <c r="G6" s="3889" t="s">
        <v>473</v>
      </c>
      <c r="H6" s="3890"/>
      <c r="I6" s="3889" t="s">
        <v>474</v>
      </c>
      <c r="J6" s="3890"/>
      <c r="K6" s="484" t="s">
        <v>475</v>
      </c>
      <c r="L6" s="1856"/>
      <c r="M6" s="1857"/>
      <c r="N6" s="1857"/>
      <c r="O6" s="1857"/>
      <c r="P6" s="3891" t="s">
        <v>476</v>
      </c>
      <c r="Q6" s="3892"/>
      <c r="R6" s="3875" t="s">
        <v>472</v>
      </c>
      <c r="S6" s="3876"/>
      <c r="T6" s="3875" t="s">
        <v>473</v>
      </c>
      <c r="U6" s="3876"/>
      <c r="V6" s="3897" t="s">
        <v>474</v>
      </c>
      <c r="W6" s="3897"/>
      <c r="X6" s="1380"/>
      <c r="Y6" s="3875" t="s">
        <v>476</v>
      </c>
      <c r="Z6" s="3876"/>
      <c r="AA6" s="3870" t="s">
        <v>472</v>
      </c>
      <c r="AB6" s="3871" t="s">
        <v>473</v>
      </c>
      <c r="AC6" s="3870" t="s">
        <v>474</v>
      </c>
    </row>
    <row r="7" spans="1:29" ht="15">
      <c r="A7" s="485"/>
      <c r="B7" s="486"/>
      <c r="C7" s="3900" t="s">
        <v>2192</v>
      </c>
      <c r="D7" s="3901"/>
      <c r="E7" s="3928" t="str">
        <f>案例!F8</f>
        <v>顺义区M15号线后沙峪站A、B、C地块</v>
      </c>
      <c r="F7" s="3929"/>
      <c r="G7" s="3900" t="str">
        <f>案例!F9</f>
        <v>顺义区平各庄旧村改造一期土地一级开发项目</v>
      </c>
      <c r="H7" s="3901"/>
      <c r="I7" s="3900" t="str">
        <f>案例!F12</f>
        <v>顺义区薛大人庄村剩余1、2号地块土地一级开发项目</v>
      </c>
      <c r="J7" s="3901"/>
      <c r="K7" s="484"/>
      <c r="L7" s="1856"/>
      <c r="M7" s="1857"/>
      <c r="N7" s="1857"/>
      <c r="O7" s="1857"/>
      <c r="P7" s="3893"/>
      <c r="Q7" s="3894"/>
      <c r="R7" s="3877"/>
      <c r="S7" s="3878"/>
      <c r="T7" s="3877"/>
      <c r="U7" s="3878"/>
      <c r="V7" s="3897"/>
      <c r="W7" s="3897"/>
      <c r="X7" s="1380"/>
      <c r="Y7" s="3877"/>
      <c r="Z7" s="3878"/>
      <c r="AA7" s="3871"/>
      <c r="AB7" s="3871"/>
      <c r="AC7" s="3871"/>
    </row>
    <row r="8" spans="1:29" ht="15.75" thickBot="1">
      <c r="A8" s="487"/>
      <c r="B8" s="488"/>
      <c r="C8" s="3898" t="s">
        <v>2196</v>
      </c>
      <c r="D8" s="3899"/>
      <c r="E8" s="3930" t="s">
        <v>2196</v>
      </c>
      <c r="F8" s="3931"/>
      <c r="G8" s="3898" t="s">
        <v>2196</v>
      </c>
      <c r="H8" s="3899"/>
      <c r="I8" s="3898" t="s">
        <v>2196</v>
      </c>
      <c r="J8" s="3899"/>
      <c r="K8" s="484" t="s">
        <v>477</v>
      </c>
      <c r="L8" s="1856"/>
      <c r="M8" s="1857"/>
      <c r="N8" s="1857"/>
      <c r="O8" s="1857"/>
      <c r="P8" s="3895"/>
      <c r="Q8" s="3896"/>
      <c r="R8" s="3877"/>
      <c r="S8" s="3878"/>
      <c r="T8" s="3879"/>
      <c r="U8" s="3880"/>
      <c r="V8" s="3897"/>
      <c r="W8" s="3897"/>
      <c r="X8" s="1380"/>
      <c r="Y8" s="3879"/>
      <c r="Z8" s="3880"/>
      <c r="AA8" s="3872"/>
      <c r="AB8" s="3872"/>
      <c r="AC8" s="3872"/>
    </row>
    <row r="9" spans="1:29" s="1118" customFormat="1" ht="15.75" thickBot="1">
      <c r="A9" s="2392"/>
      <c r="B9" s="2399" t="s">
        <v>478</v>
      </c>
      <c r="C9" s="489">
        <f>'数据-取费表'!B2</f>
        <v>45091</v>
      </c>
      <c r="D9" s="490">
        <v>100</v>
      </c>
      <c r="E9" s="491">
        <v>45078</v>
      </c>
      <c r="F9" s="492">
        <f>SUMIF(66:66,YEAR(E9)&amp;"-"&amp;INT((MONTH(E9)+2)/3),67:67)</f>
        <v>100</v>
      </c>
      <c r="G9" s="493">
        <v>45078</v>
      </c>
      <c r="H9" s="490">
        <f>SUMIF(66:66,YEAR(G9)&amp;"-"&amp;INT((MONTH(G9)+2)/3),67:67)</f>
        <v>100</v>
      </c>
      <c r="I9" s="493">
        <v>45078</v>
      </c>
      <c r="J9" s="490">
        <f>SUMIF(66:66,YEAR(I9)&amp;"-"&amp;INT((MONTH(I9)+2)/3),67:67)</f>
        <v>100</v>
      </c>
      <c r="K9" s="494"/>
      <c r="L9" s="1858"/>
      <c r="M9" s="1859"/>
      <c r="N9" s="1859"/>
      <c r="O9" s="1859"/>
      <c r="P9" s="3873" t="s">
        <v>479</v>
      </c>
      <c r="Q9" s="3882"/>
      <c r="R9" s="1381" t="s">
        <v>5</v>
      </c>
      <c r="S9" s="1382">
        <f t="shared" ref="S9:S17" si="0">F9</f>
        <v>100</v>
      </c>
      <c r="T9" s="1381" t="s">
        <v>5</v>
      </c>
      <c r="U9" s="1382">
        <f t="shared" ref="U9:U17" si="1">H9</f>
        <v>100</v>
      </c>
      <c r="V9" s="1381" t="s">
        <v>5</v>
      </c>
      <c r="W9" s="1382">
        <f t="shared" ref="W9:W17" si="2">J9</f>
        <v>100</v>
      </c>
      <c r="X9" s="1383"/>
      <c r="Y9" s="3873" t="s">
        <v>479</v>
      </c>
      <c r="Z9" s="3874"/>
      <c r="AA9" s="1384">
        <f>D9/F9</f>
        <v>1</v>
      </c>
      <c r="AB9" s="1384">
        <f>D9/H9</f>
        <v>1</v>
      </c>
      <c r="AC9" s="1384">
        <f>D9/J9</f>
        <v>1</v>
      </c>
    </row>
    <row r="10" spans="1:29" s="1118" customFormat="1" ht="15.75" thickBot="1">
      <c r="A10" s="2393"/>
      <c r="B10" s="2400" t="s">
        <v>480</v>
      </c>
      <c r="C10" s="495" t="s">
        <v>481</v>
      </c>
      <c r="D10" s="490">
        <v>100</v>
      </c>
      <c r="E10" s="495" t="s">
        <v>3338</v>
      </c>
      <c r="F10" s="492">
        <f>SUMIF(69:69,E10,70:70)-SUMIF(69:69,C10,70:70)+100</f>
        <v>100</v>
      </c>
      <c r="G10" s="495" t="s">
        <v>3338</v>
      </c>
      <c r="H10" s="490">
        <f>SUMIF(69:69,G10,70:70)-SUMIF(69:69,C10,70:70)+100</f>
        <v>100</v>
      </c>
      <c r="I10" s="495" t="s">
        <v>3338</v>
      </c>
      <c r="J10" s="490">
        <f>SUMIF(69:69,I10,70:70)-SUMIF(69:69,C10,70:70)+100</f>
        <v>100</v>
      </c>
      <c r="K10" s="494"/>
      <c r="L10" s="1858"/>
      <c r="M10" s="1859"/>
      <c r="N10" s="1859"/>
      <c r="O10" s="1859"/>
      <c r="P10" s="3873" t="s">
        <v>482</v>
      </c>
      <c r="Q10" s="3874"/>
      <c r="R10" s="1381" t="s">
        <v>5</v>
      </c>
      <c r="S10" s="1382">
        <f t="shared" si="0"/>
        <v>100</v>
      </c>
      <c r="T10" s="1381" t="s">
        <v>5</v>
      </c>
      <c r="U10" s="1382">
        <f t="shared" si="1"/>
        <v>100</v>
      </c>
      <c r="V10" s="1381" t="s">
        <v>5</v>
      </c>
      <c r="W10" s="1382">
        <f t="shared" si="2"/>
        <v>100</v>
      </c>
      <c r="X10" s="1383"/>
      <c r="Y10" s="3873" t="s">
        <v>482</v>
      </c>
      <c r="Z10" s="3874"/>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1" t="s">
        <v>484</v>
      </c>
      <c r="Q11" s="1050" t="str">
        <f t="shared" ref="Q11:Q17" si="6">B11</f>
        <v>用途</v>
      </c>
      <c r="R11" s="1381" t="s">
        <v>5</v>
      </c>
      <c r="S11" s="1382">
        <f t="shared" si="0"/>
        <v>100</v>
      </c>
      <c r="T11" s="1381" t="s">
        <v>5</v>
      </c>
      <c r="U11" s="1382">
        <f t="shared" si="1"/>
        <v>100</v>
      </c>
      <c r="V11" s="1381" t="s">
        <v>5</v>
      </c>
      <c r="W11" s="1382">
        <f t="shared" si="2"/>
        <v>100</v>
      </c>
      <c r="X11" s="1383"/>
      <c r="Y11" s="3829"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f>C12</f>
        <v>50</v>
      </c>
      <c r="F12" s="3686">
        <v>100</v>
      </c>
      <c r="G12" s="498">
        <f>C12</f>
        <v>50</v>
      </c>
      <c r="H12" s="3686">
        <v>100</v>
      </c>
      <c r="I12" s="498">
        <f>C12</f>
        <v>50</v>
      </c>
      <c r="J12" s="3686">
        <v>100</v>
      </c>
      <c r="K12" s="501"/>
      <c r="L12" s="1861"/>
      <c r="M12" s="1900"/>
      <c r="N12" s="1900"/>
      <c r="O12" s="1862"/>
      <c r="P12" s="3881"/>
      <c r="Q12" s="1050" t="str">
        <f t="shared" si="6"/>
        <v>土地使用年限（年）</v>
      </c>
      <c r="R12" s="1381" t="s">
        <v>5</v>
      </c>
      <c r="S12" s="1382">
        <f t="shared" si="0"/>
        <v>100</v>
      </c>
      <c r="T12" s="1381" t="s">
        <v>5</v>
      </c>
      <c r="U12" s="1382">
        <f t="shared" si="1"/>
        <v>100</v>
      </c>
      <c r="V12" s="1381" t="s">
        <v>5</v>
      </c>
      <c r="W12" s="1382">
        <f t="shared" si="2"/>
        <v>100</v>
      </c>
      <c r="X12" s="1383"/>
      <c r="Y12" s="3829"/>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81"/>
      <c r="Q13" s="1050" t="str">
        <f t="shared" si="6"/>
        <v>容积率</v>
      </c>
      <c r="R13" s="1381" t="s">
        <v>5</v>
      </c>
      <c r="S13" s="1382">
        <f t="shared" si="0"/>
        <v>100</v>
      </c>
      <c r="T13" s="1381" t="s">
        <v>5</v>
      </c>
      <c r="U13" s="1382">
        <f t="shared" si="1"/>
        <v>100</v>
      </c>
      <c r="V13" s="1381" t="s">
        <v>5</v>
      </c>
      <c r="W13" s="1382">
        <f t="shared" si="2"/>
        <v>100</v>
      </c>
      <c r="X13" s="1383"/>
      <c r="Y13" s="3829"/>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1"/>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1"/>
      <c r="Q15" s="1050">
        <f t="shared" si="6"/>
        <v>111</v>
      </c>
      <c r="R15" s="1381" t="s">
        <v>5</v>
      </c>
      <c r="S15" s="1382">
        <f t="shared" si="0"/>
        <v>100</v>
      </c>
      <c r="T15" s="1381" t="s">
        <v>5</v>
      </c>
      <c r="U15" s="1382">
        <f t="shared" si="1"/>
        <v>100</v>
      </c>
      <c r="V15" s="1381" t="s">
        <v>5</v>
      </c>
      <c r="W15" s="1382">
        <f t="shared" si="2"/>
        <v>100</v>
      </c>
      <c r="X15" s="1383"/>
      <c r="Y15" s="3829"/>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1"/>
      <c r="Q16" s="1050">
        <f t="shared" si="6"/>
        <v>111</v>
      </c>
      <c r="R16" s="1381" t="s">
        <v>5</v>
      </c>
      <c r="S16" s="1382">
        <f t="shared" si="0"/>
        <v>100</v>
      </c>
      <c r="T16" s="1381" t="s">
        <v>5</v>
      </c>
      <c r="U16" s="1382">
        <f t="shared" si="1"/>
        <v>100</v>
      </c>
      <c r="V16" s="1381" t="s">
        <v>5</v>
      </c>
      <c r="W16" s="1382">
        <f t="shared" si="2"/>
        <v>100</v>
      </c>
      <c r="X16" s="1383"/>
      <c r="Y16" s="3829"/>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3" t="s">
        <v>489</v>
      </c>
      <c r="Q17" s="1385" t="str">
        <f t="shared" si="6"/>
        <v>产业集聚程度</v>
      </c>
      <c r="R17" s="1386" t="s">
        <v>5</v>
      </c>
      <c r="S17" s="1387">
        <f t="shared" si="0"/>
        <v>100</v>
      </c>
      <c r="T17" s="1386" t="s">
        <v>5</v>
      </c>
      <c r="U17" s="1387">
        <f t="shared" si="1"/>
        <v>100</v>
      </c>
      <c r="V17" s="1386" t="s">
        <v>5</v>
      </c>
      <c r="W17" s="1387">
        <f t="shared" si="2"/>
        <v>100</v>
      </c>
      <c r="X17" s="1380"/>
      <c r="Y17" s="388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4"/>
      <c r="Q18" s="1385"/>
      <c r="R18" s="1386"/>
      <c r="S18" s="1387"/>
      <c r="T18" s="1386"/>
      <c r="U18" s="1387"/>
      <c r="V18" s="1386"/>
      <c r="W18" s="1387"/>
      <c r="X18" s="1380"/>
      <c r="Y18" s="388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4"/>
      <c r="Q19" s="1385" t="str">
        <f>B19</f>
        <v>交通便捷度</v>
      </c>
      <c r="R19" s="1386" t="s">
        <v>5</v>
      </c>
      <c r="S19" s="1387">
        <f>F19</f>
        <v>100</v>
      </c>
      <c r="T19" s="1386" t="s">
        <v>5</v>
      </c>
      <c r="U19" s="1387">
        <f>H19</f>
        <v>100</v>
      </c>
      <c r="V19" s="1386" t="s">
        <v>5</v>
      </c>
      <c r="W19" s="1387">
        <f>J19</f>
        <v>100</v>
      </c>
      <c r="X19" s="1380"/>
      <c r="Y19" s="388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4"/>
      <c r="Q20" s="1385"/>
      <c r="R20" s="1386"/>
      <c r="S20" s="1387"/>
      <c r="T20" s="1386"/>
      <c r="U20" s="1387"/>
      <c r="V20" s="1386"/>
      <c r="W20" s="1387"/>
      <c r="X20" s="1380"/>
      <c r="Y20" s="3884"/>
      <c r="Z20" s="1388"/>
      <c r="AA20" s="1389">
        <v>1</v>
      </c>
      <c r="AB20" s="1389">
        <v>1</v>
      </c>
      <c r="AC20" s="1389">
        <v>1</v>
      </c>
    </row>
    <row r="21" spans="1:29" ht="15">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4"/>
      <c r="Q21" s="1385" t="str">
        <f t="shared" ref="Q21:Q35" si="8">B21</f>
        <v>区域土地利用方向</v>
      </c>
      <c r="R21" s="1386" t="s">
        <v>5</v>
      </c>
      <c r="S21" s="1387">
        <f>F21</f>
        <v>100</v>
      </c>
      <c r="T21" s="1386" t="s">
        <v>5</v>
      </c>
      <c r="U21" s="1387">
        <f>H21</f>
        <v>100</v>
      </c>
      <c r="V21" s="1386" t="s">
        <v>5</v>
      </c>
      <c r="W21" s="1387">
        <f>J21</f>
        <v>100</v>
      </c>
      <c r="X21" s="1380"/>
      <c r="Y21" s="388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4"/>
      <c r="Q22" s="1385"/>
      <c r="R22" s="1386"/>
      <c r="S22" s="1387"/>
      <c r="T22" s="1386"/>
      <c r="U22" s="1387"/>
      <c r="V22" s="1386"/>
      <c r="W22" s="1387"/>
      <c r="X22" s="1380"/>
      <c r="Y22" s="388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4"/>
      <c r="Q23" s="1385" t="str">
        <f t="shared" si="8"/>
        <v>环境状况</v>
      </c>
      <c r="R23" s="1386" t="s">
        <v>5</v>
      </c>
      <c r="S23" s="1387">
        <f>F23</f>
        <v>100</v>
      </c>
      <c r="T23" s="1386" t="s">
        <v>5</v>
      </c>
      <c r="U23" s="1387">
        <f>H23</f>
        <v>100</v>
      </c>
      <c r="V23" s="1386" t="s">
        <v>5</v>
      </c>
      <c r="W23" s="1387">
        <f>J23</f>
        <v>100</v>
      </c>
      <c r="X23" s="1380"/>
      <c r="Y23" s="388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4"/>
      <c r="Q24" s="1385"/>
      <c r="R24" s="1386"/>
      <c r="S24" s="1387"/>
      <c r="T24" s="1386"/>
      <c r="U24" s="1387"/>
      <c r="V24" s="1386"/>
      <c r="W24" s="1387"/>
      <c r="X24" s="1380"/>
      <c r="Y24" s="388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4"/>
      <c r="Q25" s="1050" t="str">
        <f t="shared" si="8"/>
        <v>公共配套设施</v>
      </c>
      <c r="R25" s="1381" t="s">
        <v>5</v>
      </c>
      <c r="S25" s="1382">
        <f>F25</f>
        <v>100</v>
      </c>
      <c r="T25" s="1381" t="s">
        <v>5</v>
      </c>
      <c r="U25" s="1382">
        <f>H25</f>
        <v>100</v>
      </c>
      <c r="V25" s="1381" t="s">
        <v>5</v>
      </c>
      <c r="W25" s="1382">
        <f>J25</f>
        <v>100</v>
      </c>
      <c r="X25" s="1383"/>
      <c r="Y25" s="388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4"/>
      <c r="Q26" s="1050"/>
      <c r="R26" s="1381"/>
      <c r="S26" s="1382"/>
      <c r="T26" s="1381"/>
      <c r="U26" s="1382"/>
      <c r="V26" s="1381"/>
      <c r="W26" s="1382"/>
      <c r="X26" s="1383"/>
      <c r="Y26" s="388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4"/>
      <c r="Q27" s="2192" t="str">
        <f>B27</f>
        <v>基础设施水平</v>
      </c>
      <c r="R27" s="1381" t="s">
        <v>5</v>
      </c>
      <c r="S27" s="1382">
        <f>F27</f>
        <v>100</v>
      </c>
      <c r="T27" s="1381" t="s">
        <v>5</v>
      </c>
      <c r="U27" s="1382">
        <f>H27</f>
        <v>100</v>
      </c>
      <c r="V27" s="1381" t="s">
        <v>5</v>
      </c>
      <c r="W27" s="1382">
        <f>J27</f>
        <v>100</v>
      </c>
      <c r="X27" s="1383"/>
      <c r="Y27" s="388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4"/>
      <c r="Q28" s="2192"/>
      <c r="R28" s="1381"/>
      <c r="S28" s="1382"/>
      <c r="T28" s="1381"/>
      <c r="U28" s="1382"/>
      <c r="V28" s="1381"/>
      <c r="W28" s="1382"/>
      <c r="X28" s="1383"/>
      <c r="Y28" s="388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4"/>
      <c r="Q30" s="1385" t="str">
        <f t="shared" si="8"/>
        <v>毗邻道路的类型与等级</v>
      </c>
      <c r="R30" s="1386" t="s">
        <v>5</v>
      </c>
      <c r="S30" s="1387">
        <f t="shared" si="9"/>
        <v>100</v>
      </c>
      <c r="T30" s="1386" t="s">
        <v>5</v>
      </c>
      <c r="U30" s="1387">
        <f t="shared" si="10"/>
        <v>100</v>
      </c>
      <c r="V30" s="1386" t="s">
        <v>5</v>
      </c>
      <c r="W30" s="1387">
        <f t="shared" si="11"/>
        <v>100</v>
      </c>
      <c r="X30" s="1380"/>
      <c r="Y30" s="388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4"/>
      <c r="Q31" s="1385"/>
      <c r="R31" s="1386"/>
      <c r="S31" s="1387"/>
      <c r="T31" s="1386"/>
      <c r="U31" s="1387"/>
      <c r="V31" s="1386"/>
      <c r="W31" s="1387"/>
      <c r="X31" s="1380"/>
      <c r="Y31" s="3884"/>
      <c r="Z31" s="1388"/>
      <c r="AA31" s="1389">
        <v>1</v>
      </c>
      <c r="AB31" s="1389">
        <v>1</v>
      </c>
      <c r="AC31" s="1389">
        <v>1</v>
      </c>
    </row>
    <row r="32" spans="1:29" ht="15">
      <c r="A32" s="502"/>
      <c r="B32" s="497" t="s">
        <v>498</v>
      </c>
      <c r="C32" s="2204" t="str">
        <f>估价对象房地状况!G23</f>
        <v>十一级</v>
      </c>
      <c r="D32" s="510">
        <v>100</v>
      </c>
      <c r="E32" s="550" t="s">
        <v>1154</v>
      </c>
      <c r="F32" s="510">
        <f>SUMIF(100:100,E32,101:101)-SUMIF(100:100,C32,101:101)+100</f>
        <v>102</v>
      </c>
      <c r="G32" s="550" t="s">
        <v>1154</v>
      </c>
      <c r="H32" s="510">
        <f>SUMIF(100:100,G32,101:101)-SUMIF(100:100,C32,101:101)+100</f>
        <v>102</v>
      </c>
      <c r="I32" s="550" t="s">
        <v>1153</v>
      </c>
      <c r="J32" s="510">
        <f>SUMIF(100:100,I32,101:101)-SUMIF(100:100,C32,101:101)+100</f>
        <v>102.5</v>
      </c>
      <c r="K32" s="554">
        <v>0.5</v>
      </c>
      <c r="L32" s="1865"/>
      <c r="M32" s="1857"/>
      <c r="N32" s="1857"/>
      <c r="O32" s="1864"/>
      <c r="P32" s="3884"/>
      <c r="Q32" s="1385" t="str">
        <f t="shared" si="8"/>
        <v>土地级别</v>
      </c>
      <c r="R32" s="1386" t="s">
        <v>5</v>
      </c>
      <c r="S32" s="1387">
        <f t="shared" si="9"/>
        <v>102</v>
      </c>
      <c r="T32" s="1386" t="s">
        <v>5</v>
      </c>
      <c r="U32" s="1387">
        <f t="shared" si="10"/>
        <v>102</v>
      </c>
      <c r="V32" s="1386" t="s">
        <v>5</v>
      </c>
      <c r="W32" s="1387">
        <f t="shared" si="11"/>
        <v>102.5</v>
      </c>
      <c r="X32" s="1380"/>
      <c r="Y32" s="3884"/>
      <c r="Z32" s="1388" t="str">
        <f t="shared" si="12"/>
        <v>土地级别</v>
      </c>
      <c r="AA32" s="1389">
        <f t="shared" si="3"/>
        <v>0.98039215686274506</v>
      </c>
      <c r="AB32" s="1389">
        <f t="shared" si="4"/>
        <v>0.98039215686274506</v>
      </c>
      <c r="AC32" s="1389">
        <f t="shared" si="5"/>
        <v>0.97560975609756095</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4"/>
      <c r="Q33" s="1385">
        <f t="shared" si="8"/>
        <v>111</v>
      </c>
      <c r="R33" s="1386" t="s">
        <v>5</v>
      </c>
      <c r="S33" s="1387">
        <f t="shared" si="9"/>
        <v>100</v>
      </c>
      <c r="T33" s="1386" t="s">
        <v>5</v>
      </c>
      <c r="U33" s="1387">
        <f t="shared" si="10"/>
        <v>100</v>
      </c>
      <c r="V33" s="1386" t="s">
        <v>5</v>
      </c>
      <c r="W33" s="1387">
        <f t="shared" si="11"/>
        <v>100</v>
      </c>
      <c r="X33" s="1380"/>
      <c r="Y33" s="388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5" t="s">
        <v>499</v>
      </c>
      <c r="Q34" s="1385">
        <f t="shared" si="8"/>
        <v>111</v>
      </c>
      <c r="R34" s="1386" t="s">
        <v>5</v>
      </c>
      <c r="S34" s="1387">
        <f t="shared" si="9"/>
        <v>100</v>
      </c>
      <c r="T34" s="1386" t="s">
        <v>5</v>
      </c>
      <c r="U34" s="1387">
        <f t="shared" si="10"/>
        <v>100</v>
      </c>
      <c r="V34" s="1386" t="s">
        <v>5</v>
      </c>
      <c r="W34" s="1387">
        <f t="shared" si="11"/>
        <v>100</v>
      </c>
      <c r="X34" s="1380"/>
      <c r="Y34" s="388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6"/>
      <c r="Q35" s="1385">
        <f t="shared" si="8"/>
        <v>111</v>
      </c>
      <c r="R35" s="1390" t="s">
        <v>5</v>
      </c>
      <c r="S35" s="1391">
        <f t="shared" si="9"/>
        <v>100</v>
      </c>
      <c r="T35" s="1390" t="s">
        <v>5</v>
      </c>
      <c r="U35" s="1391">
        <f t="shared" si="10"/>
        <v>100</v>
      </c>
      <c r="V35" s="1390" t="s">
        <v>5</v>
      </c>
      <c r="W35" s="1391">
        <f t="shared" si="11"/>
        <v>100</v>
      </c>
      <c r="X35" s="1392"/>
      <c r="Y35" s="3886"/>
      <c r="Z35" s="1393">
        <f t="shared" si="12"/>
        <v>111</v>
      </c>
      <c r="AA35" s="1389">
        <f t="shared" si="3"/>
        <v>1</v>
      </c>
      <c r="AB35" s="1389">
        <f t="shared" si="4"/>
        <v>1</v>
      </c>
      <c r="AC35" s="1389">
        <f t="shared" si="5"/>
        <v>1</v>
      </c>
    </row>
    <row r="36" spans="1:29" ht="15">
      <c r="A36" s="2387" t="s">
        <v>2037</v>
      </c>
      <c r="B36" s="565" t="s">
        <v>501</v>
      </c>
      <c r="C36" s="566">
        <f>'数据-基础表'!A3</f>
        <v>112236.7</v>
      </c>
      <c r="D36" s="567">
        <v>100</v>
      </c>
      <c r="E36" s="566">
        <f>案例!K8*10000</f>
        <v>847241.00000000012</v>
      </c>
      <c r="F36" s="567">
        <f>LOOKUP(E36,109:109,110:110)-LOOKUP(C36,109:109,110:110)+100</f>
        <v>94</v>
      </c>
      <c r="G36" s="566">
        <f>案例!K9*10000</f>
        <v>455400</v>
      </c>
      <c r="H36" s="567">
        <f>LOOKUP(G36,109:109,110:110)-LOOKUP(C36,109:109,110:110)+100</f>
        <v>96</v>
      </c>
      <c r="I36" s="568">
        <f>案例!K12*10000</f>
        <v>242500</v>
      </c>
      <c r="J36" s="567">
        <f>LOOKUP(I36,109:109,110:110)-LOOKUP(C36,109:109,110:110)+100</f>
        <v>98</v>
      </c>
      <c r="K36" s="551"/>
      <c r="L36" s="1865"/>
      <c r="M36" s="1857"/>
      <c r="N36" s="1857"/>
      <c r="O36" s="1864"/>
      <c r="P36" s="3886"/>
      <c r="Q36" s="1385" t="str">
        <f>B36</f>
        <v>宗地面积</v>
      </c>
      <c r="R36" s="1386" t="s">
        <v>5</v>
      </c>
      <c r="S36" s="1387">
        <f t="shared" si="9"/>
        <v>94</v>
      </c>
      <c r="T36" s="1386" t="s">
        <v>5</v>
      </c>
      <c r="U36" s="1387">
        <f t="shared" si="10"/>
        <v>96</v>
      </c>
      <c r="V36" s="1386" t="s">
        <v>5</v>
      </c>
      <c r="W36" s="1387">
        <f t="shared" si="11"/>
        <v>98</v>
      </c>
      <c r="X36" s="1380"/>
      <c r="Y36" s="3886"/>
      <c r="Z36" s="1388" t="str">
        <f t="shared" si="12"/>
        <v>宗地面积</v>
      </c>
      <c r="AA36" s="1389">
        <f t="shared" si="3"/>
        <v>1.0638297872340425</v>
      </c>
      <c r="AB36" s="1389">
        <f t="shared" si="4"/>
        <v>1.0416666666666667</v>
      </c>
      <c r="AC36" s="1389">
        <f t="shared" si="5"/>
        <v>1.0204081632653061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6"/>
      <c r="Q37" s="1385" t="str">
        <f t="shared" ref="Q37:Q42" si="13">B37</f>
        <v>宗地形状</v>
      </c>
      <c r="R37" s="1386" t="s">
        <v>5</v>
      </c>
      <c r="S37" s="1387">
        <f t="shared" si="9"/>
        <v>100</v>
      </c>
      <c r="T37" s="1386" t="s">
        <v>5</v>
      </c>
      <c r="U37" s="1387">
        <f t="shared" si="10"/>
        <v>100</v>
      </c>
      <c r="V37" s="1386" t="s">
        <v>5</v>
      </c>
      <c r="W37" s="1387">
        <f t="shared" si="11"/>
        <v>100</v>
      </c>
      <c r="X37" s="1380"/>
      <c r="Y37" s="388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6"/>
      <c r="Q38" s="1385" t="str">
        <f t="shared" si="13"/>
        <v>宗地开发程度</v>
      </c>
      <c r="R38" s="1381" t="s">
        <v>5</v>
      </c>
      <c r="S38" s="1382">
        <f t="shared" si="9"/>
        <v>100</v>
      </c>
      <c r="T38" s="1381" t="s">
        <v>5</v>
      </c>
      <c r="U38" s="1382">
        <f t="shared" si="10"/>
        <v>100</v>
      </c>
      <c r="V38" s="1381" t="s">
        <v>5</v>
      </c>
      <c r="W38" s="1382">
        <f t="shared" si="11"/>
        <v>100</v>
      </c>
      <c r="X38" s="1383"/>
      <c r="Y38" s="388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6" t="s">
        <v>549</v>
      </c>
      <c r="Q39" s="1385" t="str">
        <f t="shared" si="13"/>
        <v>工程地质条件</v>
      </c>
      <c r="R39" s="1386" t="s">
        <v>5</v>
      </c>
      <c r="S39" s="1387">
        <f t="shared" si="9"/>
        <v>100</v>
      </c>
      <c r="T39" s="1386" t="s">
        <v>5</v>
      </c>
      <c r="U39" s="1387">
        <f t="shared" si="10"/>
        <v>100</v>
      </c>
      <c r="V39" s="1386" t="s">
        <v>5</v>
      </c>
      <c r="W39" s="1387">
        <f t="shared" si="11"/>
        <v>100</v>
      </c>
      <c r="X39" s="1380"/>
      <c r="Y39" s="388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6"/>
      <c r="Q40" s="1385">
        <f t="shared" si="13"/>
        <v>111</v>
      </c>
      <c r="R40" s="1386" t="s">
        <v>5</v>
      </c>
      <c r="S40" s="1387">
        <f t="shared" si="9"/>
        <v>100</v>
      </c>
      <c r="T40" s="1386" t="s">
        <v>5</v>
      </c>
      <c r="U40" s="1387">
        <f t="shared" si="10"/>
        <v>100</v>
      </c>
      <c r="V40" s="1386" t="s">
        <v>5</v>
      </c>
      <c r="W40" s="1387">
        <f t="shared" si="11"/>
        <v>100</v>
      </c>
      <c r="X40" s="1380"/>
      <c r="Y40" s="388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6"/>
      <c r="Q41" s="1385">
        <f t="shared" si="13"/>
        <v>111</v>
      </c>
      <c r="R41" s="1386" t="s">
        <v>5</v>
      </c>
      <c r="S41" s="1387">
        <f t="shared" si="9"/>
        <v>100</v>
      </c>
      <c r="T41" s="1386" t="s">
        <v>5</v>
      </c>
      <c r="U41" s="1387">
        <f t="shared" si="10"/>
        <v>100</v>
      </c>
      <c r="V41" s="1386" t="s">
        <v>5</v>
      </c>
      <c r="W41" s="1387">
        <f t="shared" si="11"/>
        <v>100</v>
      </c>
      <c r="X41" s="1380"/>
      <c r="Y41" s="388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6"/>
      <c r="Q42" s="1385">
        <f t="shared" si="13"/>
        <v>111</v>
      </c>
      <c r="R42" s="1390" t="s">
        <v>5</v>
      </c>
      <c r="S42" s="1391">
        <f t="shared" si="9"/>
        <v>100</v>
      </c>
      <c r="T42" s="1390" t="s">
        <v>5</v>
      </c>
      <c r="U42" s="1391">
        <f t="shared" si="10"/>
        <v>100</v>
      </c>
      <c r="V42" s="1390" t="s">
        <v>5</v>
      </c>
      <c r="W42" s="1391">
        <f t="shared" si="11"/>
        <v>100</v>
      </c>
      <c r="X42" s="1392"/>
      <c r="Y42" s="3886"/>
      <c r="Z42" s="1393">
        <f t="shared" si="12"/>
        <v>111</v>
      </c>
      <c r="AA42" s="1389">
        <f t="shared" si="3"/>
        <v>1</v>
      </c>
      <c r="AB42" s="1389">
        <f t="shared" si="4"/>
        <v>1</v>
      </c>
      <c r="AC42" s="1389">
        <f t="shared" si="5"/>
        <v>1</v>
      </c>
    </row>
    <row r="43" spans="1:29" ht="15">
      <c r="A43" s="577" t="s">
        <v>505</v>
      </c>
      <c r="B43" s="578" t="s">
        <v>2197</v>
      </c>
      <c r="C43" s="579" t="s">
        <v>0</v>
      </c>
      <c r="D43" s="580"/>
      <c r="E43" s="581">
        <f>ROUND(案例!X8,0)</f>
        <v>1590</v>
      </c>
      <c r="F43" s="582"/>
      <c r="G43" s="583">
        <f>ROUND(案例!X9,0)</f>
        <v>1140</v>
      </c>
      <c r="H43" s="584"/>
      <c r="I43" s="581">
        <f>ROUND(案例!X12,0)</f>
        <v>1008</v>
      </c>
      <c r="J43" s="584"/>
      <c r="K43" s="1201"/>
      <c r="L43" s="1867"/>
      <c r="M43" s="1857"/>
      <c r="N43" s="1857"/>
      <c r="O43" s="1868"/>
      <c r="P43" s="3881" t="str">
        <f>A43</f>
        <v>成交单价</v>
      </c>
      <c r="Q43" s="3881"/>
      <c r="R43" s="3897">
        <f>E43</f>
        <v>1590</v>
      </c>
      <c r="S43" s="3897"/>
      <c r="T43" s="3897">
        <f>G43</f>
        <v>1140</v>
      </c>
      <c r="U43" s="3897"/>
      <c r="V43" s="3897">
        <f>I43</f>
        <v>1008</v>
      </c>
      <c r="W43" s="3897"/>
      <c r="X43" s="1375"/>
      <c r="Y43" s="1394"/>
      <c r="Z43" s="1375"/>
      <c r="AA43" s="1375"/>
      <c r="AB43" s="1375"/>
      <c r="AC43" s="1375"/>
    </row>
    <row r="44" spans="1:29" ht="15.75" thickBot="1">
      <c r="A44" s="585" t="s">
        <v>1975</v>
      </c>
      <c r="B44" s="586"/>
      <c r="C44" s="587">
        <f>R45</f>
        <v>1275</v>
      </c>
      <c r="D44" s="2757" t="s">
        <v>2261</v>
      </c>
      <c r="E44" s="587">
        <f>R44</f>
        <v>1658</v>
      </c>
      <c r="F44" s="2758"/>
      <c r="G44" s="588">
        <f>T44</f>
        <v>1164</v>
      </c>
      <c r="H44" s="2758"/>
      <c r="I44" s="587">
        <f>V44</f>
        <v>1003</v>
      </c>
      <c r="J44" s="2758"/>
      <c r="K44" s="2759">
        <f>F44+H44+J44</f>
        <v>0</v>
      </c>
      <c r="L44" s="1867"/>
      <c r="M44" s="1857"/>
      <c r="N44" s="1857"/>
      <c r="O44" s="1868"/>
      <c r="P44" s="3881" t="str">
        <f>A44</f>
        <v>比较价格（元/平方米）</v>
      </c>
      <c r="Q44" s="3881"/>
      <c r="R44" s="3905">
        <f>ROUND(PRODUCT(R43,AA9:AA42),0)</f>
        <v>1658</v>
      </c>
      <c r="S44" s="3905"/>
      <c r="T44" s="3905">
        <f>ROUND(PRODUCT(T43,AB9:AB42),0)</f>
        <v>1164</v>
      </c>
      <c r="U44" s="3905"/>
      <c r="V44" s="3905">
        <f>ROUND(PRODUCT(V43,AC9:AC42),0)</f>
        <v>1003</v>
      </c>
      <c r="W44" s="3905"/>
      <c r="X44" s="1375"/>
      <c r="Y44" s="1375"/>
      <c r="Z44" s="1375"/>
      <c r="AA44" s="1375"/>
      <c r="AB44" s="1375"/>
      <c r="AC44" s="1375"/>
    </row>
    <row r="45" spans="1:29" ht="15.75" thickBot="1">
      <c r="A45" s="589" t="s">
        <v>2198</v>
      </c>
      <c r="B45" s="590"/>
      <c r="C45" s="591">
        <f>R45</f>
        <v>1275</v>
      </c>
      <c r="D45" s="591"/>
      <c r="E45" s="591"/>
      <c r="F45" s="591"/>
      <c r="G45" s="591"/>
      <c r="H45" s="591"/>
      <c r="I45" s="591"/>
      <c r="J45" s="591"/>
      <c r="K45" s="1202"/>
      <c r="L45" s="1867"/>
      <c r="M45" s="1857"/>
      <c r="N45" s="1857"/>
      <c r="O45" s="1868"/>
      <c r="P45" s="3887" t="str">
        <f>A45</f>
        <v>估价对象XX用房的比较价格（楼面单价，元/平方米）</v>
      </c>
      <c r="Q45" s="3888"/>
      <c r="R45" s="3925">
        <f>ROUND(IF(D44="简单平均",AVERAGE(R44:W44),R44*F44+T44*H44+V44*J44),0)</f>
        <v>1275</v>
      </c>
      <c r="S45" s="3925"/>
      <c r="T45" s="3925"/>
      <c r="U45" s="3925"/>
      <c r="V45" s="3925"/>
      <c r="W45" s="3925"/>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4.2767295597484267E-2</v>
      </c>
      <c r="F48" s="595" t="str">
        <f>IF(OR(E48&gt;=0.3,E48&lt;=-0.3),"超过30%","")</f>
        <v/>
      </c>
      <c r="G48" s="594">
        <f>IF(G43&lt;G44,G44/G43-1,G43/G44-1)</f>
        <v>2.1052631578947434E-2</v>
      </c>
      <c r="H48" s="595" t="str">
        <f>IF(OR(G48&gt;=0.3,G48&lt;=-0.3),"超过30%","")</f>
        <v/>
      </c>
      <c r="I48" s="594">
        <f>IF(I43&lt;I44,I44/I43-1,I43/I44-1)</f>
        <v>4.9850448654038537E-3</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0.42439862542955331</v>
      </c>
      <c r="F49" s="595" t="str">
        <f>IF(OR(E49&gt;=0.2,E49&lt;=-0.2),"超过20%","")</f>
        <v>超过20%</v>
      </c>
      <c r="G49" s="594">
        <f>IF(G44&lt;I44,I44/G44-1,G44/I44-1)</f>
        <v>0.16051844466600196</v>
      </c>
      <c r="H49" s="595" t="str">
        <f>IF(OR(G49&gt;=0.2,G49&lt;=-0.2),"超过20%","")</f>
        <v/>
      </c>
      <c r="I49" s="594">
        <f>IF(I44&lt;E44,E44/I44-1,I44/E44-1)</f>
        <v>0.6530408773678964</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0.39473684210526305</v>
      </c>
      <c r="F50" s="595" t="str">
        <f>IF(OR(E50&gt;=0.3,E50&lt;=-0.3),"超过30%","")</f>
        <v>超过30%</v>
      </c>
      <c r="G50" s="594">
        <f>IF(G43&lt;I43,I43/G43-1,G43/I43-1)</f>
        <v>0.13095238095238093</v>
      </c>
      <c r="H50" s="595" t="str">
        <f>IF(OR(G50&gt;=0.3,G50&lt;=-0.3),"超过30%","")</f>
        <v/>
      </c>
      <c r="I50" s="594">
        <f>IF(I43&lt;E43,E43/I43-1,I43/E43-1)</f>
        <v>0.57738095238095233</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1" t="s">
        <v>1642</v>
      </c>
      <c r="H52" s="392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1275</v>
      </c>
      <c r="C53" s="603">
        <v>1</v>
      </c>
      <c r="D53" s="1947">
        <v>1</v>
      </c>
      <c r="E53" s="603">
        <f>'数据-汇总表'!E8+'数据-汇总表'!E9</f>
        <v>6637.12</v>
      </c>
      <c r="F53" s="1706">
        <f t="shared" ref="F53:F61" si="14">ROUND(B53*E53/10000,0)</f>
        <v>846</v>
      </c>
      <c r="G53" s="3923"/>
      <c r="H53" s="3924"/>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112236.7</v>
      </c>
      <c r="F62" s="612">
        <f>IF(B43="楼面地价",SUM(F53:F61),ROUND(C45*E62/10000,0))</f>
        <v>14310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2023-6-1</v>
      </c>
      <c r="D64" s="2279">
        <f>EDATE(C64,-3)</f>
        <v>44986</v>
      </c>
      <c r="E64" s="2279">
        <f t="shared" ref="E64:N64" si="17">EDATE(D64,-3)</f>
        <v>44896</v>
      </c>
      <c r="F64" s="2279">
        <f t="shared" si="17"/>
        <v>44805</v>
      </c>
      <c r="G64" s="2279">
        <f t="shared" si="17"/>
        <v>44713</v>
      </c>
      <c r="H64" s="2279">
        <f t="shared" si="17"/>
        <v>44621</v>
      </c>
      <c r="I64" s="2279">
        <f t="shared" si="17"/>
        <v>44531</v>
      </c>
      <c r="J64" s="2279">
        <f t="shared" si="17"/>
        <v>44440</v>
      </c>
      <c r="K64" s="2279">
        <f t="shared" si="17"/>
        <v>44348</v>
      </c>
      <c r="L64" s="2279">
        <f t="shared" si="17"/>
        <v>44256</v>
      </c>
      <c r="M64" s="2279">
        <f t="shared" si="17"/>
        <v>44166</v>
      </c>
      <c r="N64" s="2279">
        <f t="shared" si="17"/>
        <v>44075</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1（含）-2</v>
      </c>
      <c r="D75" s="650" t="str">
        <f t="shared" ref="D75:L75" si="19">D76&amp;"（含）"&amp;"-"&amp;E76</f>
        <v>2（含）-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1</v>
      </c>
      <c r="D76" s="511">
        <v>2</v>
      </c>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15.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87" t="s">
        <v>3339</v>
      </c>
      <c r="D100" s="3687" t="s">
        <v>3340</v>
      </c>
      <c r="E100" s="3687" t="s">
        <v>3341</v>
      </c>
      <c r="F100" s="3687" t="s">
        <v>3342</v>
      </c>
      <c r="G100" s="3687" t="s">
        <v>3343</v>
      </c>
      <c r="H100" s="3687" t="s">
        <v>3344</v>
      </c>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99.5</v>
      </c>
      <c r="E101" s="647">
        <f t="shared" si="23"/>
        <v>99</v>
      </c>
      <c r="F101" s="647">
        <f t="shared" si="23"/>
        <v>98.5</v>
      </c>
      <c r="G101" s="647">
        <f t="shared" si="23"/>
        <v>98</v>
      </c>
      <c r="H101" s="647">
        <f t="shared" si="23"/>
        <v>97.5</v>
      </c>
      <c r="I101" s="647">
        <f t="shared" si="23"/>
        <v>97</v>
      </c>
      <c r="J101" s="647">
        <f t="shared" si="23"/>
        <v>96.5</v>
      </c>
      <c r="K101" s="647">
        <f t="shared" si="23"/>
        <v>96</v>
      </c>
      <c r="L101" s="647">
        <f t="shared" si="23"/>
        <v>95.5</v>
      </c>
      <c r="M101" s="647">
        <f t="shared" si="23"/>
        <v>95</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4">C109&amp;"(含)"&amp;"-"&amp;D109</f>
        <v>0(含)-200000</v>
      </c>
      <c r="D108" s="672" t="str">
        <f t="shared" si="24"/>
        <v>200000(含)-400000</v>
      </c>
      <c r="E108" s="672" t="str">
        <f t="shared" si="24"/>
        <v>400000(含)-500000</v>
      </c>
      <c r="F108" s="672" t="str">
        <f t="shared" si="24"/>
        <v>500000(含)-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200000</v>
      </c>
      <c r="E109" s="698">
        <v>400000</v>
      </c>
      <c r="F109" s="698">
        <v>500000</v>
      </c>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98</v>
      </c>
      <c r="E110" s="694">
        <v>96</v>
      </c>
      <c r="F110" s="694">
        <v>94</v>
      </c>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3" t="s">
        <v>2741</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2767</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2739</v>
      </c>
      <c r="B7" s="3247">
        <v>2.5</v>
      </c>
      <c r="C7" s="3247">
        <v>2.5</v>
      </c>
      <c r="D7" s="3247">
        <v>2</v>
      </c>
      <c r="E7" s="3247">
        <v>2</v>
      </c>
      <c r="F7" s="3247">
        <v>2</v>
      </c>
      <c r="G7" s="3247">
        <v>2</v>
      </c>
      <c r="H7" s="3247">
        <v>2</v>
      </c>
      <c r="I7" s="3248">
        <v>1.5</v>
      </c>
      <c r="J7" s="3248">
        <v>1.5</v>
      </c>
      <c r="K7" s="3248">
        <v>1.5</v>
      </c>
      <c r="L7" s="3248">
        <v>1.5</v>
      </c>
      <c r="M7" s="3249">
        <v>1.5</v>
      </c>
    </row>
    <row r="8" spans="1:13">
      <c r="A8" s="1027" t="s">
        <v>2768</v>
      </c>
      <c r="B8" s="3250">
        <v>80</v>
      </c>
      <c r="C8" s="3250">
        <v>80</v>
      </c>
      <c r="D8" s="3250">
        <v>70</v>
      </c>
      <c r="E8" s="3250">
        <v>70</v>
      </c>
      <c r="F8" s="3250">
        <v>70</v>
      </c>
      <c r="G8" s="3250">
        <v>70</v>
      </c>
      <c r="H8" s="3250">
        <v>70</v>
      </c>
      <c r="I8" s="3250">
        <v>60</v>
      </c>
      <c r="J8" s="3250">
        <v>60</v>
      </c>
      <c r="K8" s="3250">
        <v>60</v>
      </c>
      <c r="L8" s="3250">
        <v>60</v>
      </c>
      <c r="M8" s="3251">
        <v>60</v>
      </c>
    </row>
    <row r="9" spans="1:13">
      <c r="A9" s="1009" t="s">
        <v>2769</v>
      </c>
      <c r="B9" s="3252">
        <v>70</v>
      </c>
      <c r="C9" s="3252">
        <v>70</v>
      </c>
      <c r="D9" s="3252">
        <v>60</v>
      </c>
      <c r="E9" s="3252">
        <v>60</v>
      </c>
      <c r="F9" s="3252">
        <v>60</v>
      </c>
      <c r="G9" s="3252">
        <v>60</v>
      </c>
      <c r="H9" s="3252">
        <v>60</v>
      </c>
      <c r="I9" s="3252">
        <v>50</v>
      </c>
      <c r="J9" s="3252">
        <v>50</v>
      </c>
      <c r="K9" s="3252">
        <v>50</v>
      </c>
      <c r="L9" s="3252">
        <v>50</v>
      </c>
      <c r="M9" s="3253">
        <v>50</v>
      </c>
    </row>
    <row r="10" spans="1:13">
      <c r="A10" s="1009" t="s">
        <v>2770</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2771</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2772</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2773</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2774</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2775</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2458</v>
      </c>
      <c r="B19" s="3256" t="s">
        <v>2459</v>
      </c>
      <c r="C19" s="3257" t="s">
        <v>2460</v>
      </c>
      <c r="D19" s="3258"/>
      <c r="E19" s="3252" t="s">
        <v>2461</v>
      </c>
      <c r="F19" s="1033"/>
      <c r="G19" s="1033"/>
    </row>
    <row r="20" spans="1:13" s="1408" customFormat="1">
      <c r="A20" s="3936" t="s">
        <v>2452</v>
      </c>
      <c r="B20" s="3939" t="s">
        <v>2462</v>
      </c>
      <c r="C20" s="3259" t="s">
        <v>2463</v>
      </c>
      <c r="D20" s="3260"/>
      <c r="E20" s="3261">
        <v>1</v>
      </c>
      <c r="F20" s="3262" t="s">
        <v>2464</v>
      </c>
      <c r="G20" s="1035"/>
      <c r="H20" s="1025"/>
      <c r="I20" s="1025"/>
    </row>
    <row r="21" spans="1:13" s="1408" customFormat="1">
      <c r="A21" s="3937"/>
      <c r="B21" s="3935"/>
      <c r="C21" s="3263" t="s">
        <v>2465</v>
      </c>
      <c r="D21" s="3264"/>
      <c r="E21" s="3265">
        <v>1</v>
      </c>
      <c r="F21" s="3262" t="s">
        <v>2466</v>
      </c>
      <c r="G21" s="1035"/>
      <c r="H21" s="1025"/>
      <c r="I21" s="1025"/>
    </row>
    <row r="22" spans="1:13" s="1408" customFormat="1">
      <c r="A22" s="3937"/>
      <c r="B22" s="3935"/>
      <c r="C22" s="3263" t="s">
        <v>2467</v>
      </c>
      <c r="D22" s="3264"/>
      <c r="E22" s="3265">
        <v>0.9</v>
      </c>
      <c r="F22" s="3262" t="s">
        <v>2468</v>
      </c>
      <c r="G22" s="1035"/>
      <c r="H22" s="1025"/>
      <c r="I22" s="1025"/>
    </row>
    <row r="23" spans="1:13" s="1408" customFormat="1">
      <c r="A23" s="3937"/>
      <c r="B23" s="3935"/>
      <c r="C23" s="3263" t="s">
        <v>2469</v>
      </c>
      <c r="D23" s="3264"/>
      <c r="E23" s="3265">
        <v>0.9</v>
      </c>
      <c r="F23" s="3262" t="s">
        <v>2470</v>
      </c>
      <c r="G23" s="1035"/>
      <c r="H23" s="1025"/>
      <c r="I23" s="1025"/>
    </row>
    <row r="24" spans="1:13" s="1408" customFormat="1">
      <c r="A24" s="3937"/>
      <c r="B24" s="3935"/>
      <c r="C24" s="3263" t="s">
        <v>2471</v>
      </c>
      <c r="D24" s="3264"/>
      <c r="E24" s="3265">
        <v>0.8</v>
      </c>
      <c r="F24" s="3262" t="s">
        <v>2472</v>
      </c>
      <c r="G24" s="1035"/>
      <c r="H24" s="1025"/>
      <c r="I24" s="1025"/>
    </row>
    <row r="25" spans="1:13" s="1408" customFormat="1" ht="14.25" thickBot="1">
      <c r="A25" s="3938"/>
      <c r="B25" s="3940"/>
      <c r="C25" s="3266" t="s">
        <v>2473</v>
      </c>
      <c r="D25" s="3267"/>
      <c r="E25" s="3268">
        <v>0.8</v>
      </c>
      <c r="F25" s="3262" t="s">
        <v>2474</v>
      </c>
      <c r="G25" s="1035"/>
      <c r="H25" s="1025"/>
      <c r="I25" s="1025"/>
    </row>
    <row r="26" spans="1:13" s="1408" customFormat="1" ht="14.25" thickBot="1">
      <c r="A26" s="3269" t="s">
        <v>2453</v>
      </c>
      <c r="B26" s="3270" t="s">
        <v>2462</v>
      </c>
      <c r="C26" s="3271" t="s">
        <v>2475</v>
      </c>
      <c r="D26" s="3272"/>
      <c r="E26" s="3273">
        <v>1</v>
      </c>
      <c r="F26" s="3262" t="s">
        <v>2476</v>
      </c>
      <c r="G26" s="1035"/>
      <c r="H26" s="1025"/>
      <c r="I26" s="1025"/>
    </row>
    <row r="27" spans="1:13" s="1408" customFormat="1">
      <c r="A27" s="3941" t="s">
        <v>2457</v>
      </c>
      <c r="B27" s="3939" t="s">
        <v>2457</v>
      </c>
      <c r="C27" s="3259" t="s">
        <v>2477</v>
      </c>
      <c r="D27" s="3260"/>
      <c r="E27" s="3261">
        <v>1</v>
      </c>
      <c r="F27" s="3262" t="s">
        <v>2478</v>
      </c>
      <c r="G27" s="1035"/>
      <c r="H27" s="1025"/>
      <c r="I27" s="1025"/>
    </row>
    <row r="28" spans="1:13" s="1408" customFormat="1">
      <c r="A28" s="3942"/>
      <c r="B28" s="3935"/>
      <c r="C28" s="3263" t="s">
        <v>2479</v>
      </c>
      <c r="D28" s="3264"/>
      <c r="E28" s="3265">
        <v>1</v>
      </c>
      <c r="F28" s="3262" t="s">
        <v>2480</v>
      </c>
      <c r="G28" s="1035"/>
      <c r="H28" s="1025"/>
      <c r="I28" s="1025"/>
    </row>
    <row r="29" spans="1:13" s="1408" customFormat="1">
      <c r="A29" s="3942"/>
      <c r="B29" s="3935"/>
      <c r="C29" s="3263" t="s">
        <v>2481</v>
      </c>
      <c r="D29" s="3264"/>
      <c r="E29" s="3265">
        <v>0.8</v>
      </c>
      <c r="F29" s="3262" t="s">
        <v>2482</v>
      </c>
      <c r="G29" s="1035"/>
      <c r="H29" s="1025"/>
      <c r="I29" s="1025"/>
    </row>
    <row r="30" spans="1:13" s="1408" customFormat="1">
      <c r="A30" s="3942"/>
      <c r="B30" s="3935"/>
      <c r="C30" s="3263" t="s">
        <v>2483</v>
      </c>
      <c r="D30" s="3264"/>
      <c r="E30" s="3265">
        <v>0.8</v>
      </c>
      <c r="F30" s="3262" t="s">
        <v>2484</v>
      </c>
      <c r="G30" s="1035"/>
      <c r="H30" s="1025"/>
      <c r="I30" s="1025"/>
    </row>
    <row r="31" spans="1:13" s="1408" customFormat="1">
      <c r="A31" s="3942"/>
      <c r="B31" s="3935"/>
      <c r="C31" s="3263" t="s">
        <v>2485</v>
      </c>
      <c r="D31" s="3264"/>
      <c r="E31" s="3265">
        <v>0.8</v>
      </c>
      <c r="F31" s="3262" t="s">
        <v>2486</v>
      </c>
      <c r="G31" s="1035"/>
      <c r="H31" s="1025"/>
      <c r="I31" s="1025"/>
    </row>
    <row r="32" spans="1:13" s="1408" customFormat="1">
      <c r="A32" s="3942"/>
      <c r="B32" s="3935"/>
      <c r="C32" s="3263" t="s">
        <v>2487</v>
      </c>
      <c r="D32" s="3264"/>
      <c r="E32" s="3265">
        <v>0.7</v>
      </c>
      <c r="F32" s="3262" t="s">
        <v>2488</v>
      </c>
      <c r="G32" s="1035"/>
      <c r="H32" s="1025"/>
      <c r="I32" s="1025"/>
    </row>
    <row r="33" spans="1:9" s="1408" customFormat="1">
      <c r="A33" s="3942"/>
      <c r="B33" s="3935"/>
      <c r="C33" s="3263" t="s">
        <v>2489</v>
      </c>
      <c r="D33" s="3264"/>
      <c r="E33" s="3265">
        <v>0.8</v>
      </c>
      <c r="F33" s="3262" t="s">
        <v>2490</v>
      </c>
      <c r="G33" s="1035"/>
      <c r="H33" s="1025"/>
      <c r="I33" s="1025"/>
    </row>
    <row r="34" spans="1:9" s="1408" customFormat="1">
      <c r="A34" s="3942"/>
      <c r="B34" s="3935"/>
      <c r="C34" s="3263" t="s">
        <v>2491</v>
      </c>
      <c r="D34" s="3264"/>
      <c r="E34" s="3265">
        <v>0.6</v>
      </c>
      <c r="F34" s="3262" t="s">
        <v>2492</v>
      </c>
      <c r="G34" s="1035"/>
      <c r="H34" s="1025"/>
      <c r="I34" s="1025"/>
    </row>
    <row r="35" spans="1:9" s="1408" customFormat="1">
      <c r="A35" s="3942"/>
      <c r="B35" s="3935"/>
      <c r="C35" s="3263" t="s">
        <v>2493</v>
      </c>
      <c r="D35" s="3264"/>
      <c r="E35" s="3265">
        <v>0.2</v>
      </c>
      <c r="F35" s="3262" t="s">
        <v>2494</v>
      </c>
      <c r="G35" s="1035"/>
      <c r="H35" s="1025"/>
      <c r="I35" s="1025"/>
    </row>
    <row r="36" spans="1:9" s="1408" customFormat="1">
      <c r="A36" s="3942"/>
      <c r="B36" s="3935"/>
      <c r="C36" s="3263" t="s">
        <v>2495</v>
      </c>
      <c r="D36" s="3264"/>
      <c r="E36" s="3265">
        <v>0.2</v>
      </c>
      <c r="F36" s="3262" t="s">
        <v>2496</v>
      </c>
      <c r="G36" s="1035"/>
      <c r="H36" s="1025"/>
      <c r="I36" s="1025"/>
    </row>
    <row r="37" spans="1:9" s="1408" customFormat="1">
      <c r="A37" s="3942"/>
      <c r="B37" s="3933" t="s">
        <v>2497</v>
      </c>
      <c r="C37" s="3263" t="s">
        <v>2498</v>
      </c>
      <c r="D37" s="3264"/>
      <c r="E37" s="3265">
        <v>0.6</v>
      </c>
      <c r="F37" s="3262" t="s">
        <v>2499</v>
      </c>
      <c r="G37" s="1035"/>
      <c r="H37" s="1025"/>
      <c r="I37" s="1025"/>
    </row>
    <row r="38" spans="1:9" s="1408" customFormat="1">
      <c r="A38" s="3942"/>
      <c r="B38" s="3935"/>
      <c r="C38" s="3263" t="s">
        <v>2500</v>
      </c>
      <c r="D38" s="3264"/>
      <c r="E38" s="3265">
        <v>0.6</v>
      </c>
      <c r="F38" s="3262" t="s">
        <v>2501</v>
      </c>
      <c r="G38" s="1035"/>
      <c r="H38" s="1025"/>
      <c r="I38" s="1025"/>
    </row>
    <row r="39" spans="1:9" s="1408" customFormat="1" ht="14.25" thickBot="1">
      <c r="A39" s="3943"/>
      <c r="B39" s="3940"/>
      <c r="C39" s="3266" t="s">
        <v>2502</v>
      </c>
      <c r="D39" s="3267"/>
      <c r="E39" s="3268">
        <v>0.6</v>
      </c>
      <c r="F39" s="3262" t="s">
        <v>2503</v>
      </c>
      <c r="G39" s="1035"/>
      <c r="H39" s="1025"/>
      <c r="I39" s="1025"/>
    </row>
    <row r="40" spans="1:9" s="1408" customFormat="1" ht="14.25" thickBot="1">
      <c r="A40" s="3269" t="s">
        <v>2454</v>
      </c>
      <c r="B40" s="3270" t="s">
        <v>2454</v>
      </c>
      <c r="C40" s="3271" t="s">
        <v>2504</v>
      </c>
      <c r="D40" s="3272"/>
      <c r="E40" s="3273">
        <v>1</v>
      </c>
      <c r="F40" s="3262" t="s">
        <v>2505</v>
      </c>
      <c r="G40" s="1035"/>
      <c r="H40" s="1025"/>
      <c r="I40" s="1025"/>
    </row>
    <row r="41" spans="1:9" s="1408" customFormat="1">
      <c r="A41" s="3936" t="s">
        <v>2455</v>
      </c>
      <c r="B41" s="3939" t="s">
        <v>2506</v>
      </c>
      <c r="C41" s="3259" t="s">
        <v>2507</v>
      </c>
      <c r="D41" s="3260"/>
      <c r="E41" s="3261">
        <v>1</v>
      </c>
      <c r="F41" s="3262" t="s">
        <v>2508</v>
      </c>
      <c r="G41" s="1035"/>
      <c r="H41" s="1025"/>
      <c r="I41" s="1025"/>
    </row>
    <row r="42" spans="1:9" s="1408" customFormat="1">
      <c r="A42" s="3937"/>
      <c r="B42" s="3935"/>
      <c r="C42" s="3263" t="s">
        <v>2509</v>
      </c>
      <c r="D42" s="3264"/>
      <c r="E42" s="3265">
        <v>1</v>
      </c>
      <c r="F42" s="3262" t="s">
        <v>2510</v>
      </c>
      <c r="G42" s="1035"/>
      <c r="H42" s="1025"/>
      <c r="I42" s="1025"/>
    </row>
    <row r="43" spans="1:9" s="1408" customFormat="1">
      <c r="A43" s="3937"/>
      <c r="B43" s="3934"/>
      <c r="C43" s="3263" t="s">
        <v>2511</v>
      </c>
      <c r="D43" s="3264"/>
      <c r="E43" s="3265">
        <v>1.5</v>
      </c>
      <c r="F43" s="3262" t="s">
        <v>2512</v>
      </c>
      <c r="G43" s="1035"/>
      <c r="H43" s="1025"/>
      <c r="I43" s="1025"/>
    </row>
    <row r="44" spans="1:9" s="1408" customFormat="1">
      <c r="A44" s="3937"/>
      <c r="B44" s="3274" t="s">
        <v>2457</v>
      </c>
      <c r="C44" s="3263" t="s">
        <v>2456</v>
      </c>
      <c r="D44" s="3264"/>
      <c r="E44" s="3265">
        <v>2</v>
      </c>
      <c r="F44" s="3262" t="s">
        <v>2513</v>
      </c>
      <c r="G44" s="1035"/>
      <c r="H44" s="1025"/>
      <c r="I44" s="1025"/>
    </row>
    <row r="45" spans="1:9" s="1408" customFormat="1">
      <c r="A45" s="3937"/>
      <c r="B45" s="3933" t="s">
        <v>2514</v>
      </c>
      <c r="C45" s="3263" t="s">
        <v>2515</v>
      </c>
      <c r="D45" s="3264"/>
      <c r="E45" s="3265">
        <v>1</v>
      </c>
      <c r="F45" s="3262" t="s">
        <v>2516</v>
      </c>
      <c r="G45" s="1035"/>
      <c r="H45" s="1025"/>
      <c r="I45" s="1025"/>
    </row>
    <row r="46" spans="1:9" s="1408" customFormat="1">
      <c r="A46" s="3937"/>
      <c r="B46" s="3935"/>
      <c r="C46" s="3263" t="s">
        <v>2517</v>
      </c>
      <c r="D46" s="3264"/>
      <c r="E46" s="3265">
        <v>1</v>
      </c>
      <c r="F46" s="3262" t="s">
        <v>2518</v>
      </c>
      <c r="G46" s="1035"/>
      <c r="H46" s="1025"/>
      <c r="I46" s="1025"/>
    </row>
    <row r="47" spans="1:9" s="1408" customFormat="1">
      <c r="A47" s="3937"/>
      <c r="B47" s="3935"/>
      <c r="C47" s="3263" t="s">
        <v>2519</v>
      </c>
      <c r="D47" s="3264"/>
      <c r="E47" s="3265">
        <v>1</v>
      </c>
      <c r="F47" s="3262" t="s">
        <v>2520</v>
      </c>
      <c r="G47" s="1035"/>
      <c r="H47" s="1025"/>
      <c r="I47" s="1025"/>
    </row>
    <row r="48" spans="1:9" s="1408" customFormat="1">
      <c r="A48" s="3937"/>
      <c r="B48" s="3935"/>
      <c r="C48" s="3263" t="s">
        <v>2521</v>
      </c>
      <c r="D48" s="3264"/>
      <c r="E48" s="3265">
        <v>1</v>
      </c>
      <c r="F48" s="3262" t="s">
        <v>2522</v>
      </c>
      <c r="G48" s="1035"/>
      <c r="H48" s="1025"/>
      <c r="I48" s="1025"/>
    </row>
    <row r="49" spans="1:9" s="1408" customFormat="1">
      <c r="A49" s="3937"/>
      <c r="B49" s="3935"/>
      <c r="C49" s="3263" t="s">
        <v>2523</v>
      </c>
      <c r="D49" s="3264"/>
      <c r="E49" s="3265">
        <v>1</v>
      </c>
      <c r="F49" s="3262" t="s">
        <v>2524</v>
      </c>
      <c r="G49" s="1035"/>
      <c r="H49" s="1025"/>
      <c r="I49" s="1025"/>
    </row>
    <row r="50" spans="1:9" s="1408" customFormat="1">
      <c r="A50" s="3937"/>
      <c r="B50" s="3935"/>
      <c r="C50" s="3263" t="s">
        <v>2525</v>
      </c>
      <c r="D50" s="3264"/>
      <c r="E50" s="3265">
        <v>1</v>
      </c>
      <c r="F50" s="3262" t="s">
        <v>2526</v>
      </c>
      <c r="G50" s="1035"/>
      <c r="H50" s="1025"/>
      <c r="I50" s="1025"/>
    </row>
    <row r="51" spans="1:9" s="1408" customFormat="1" ht="14.25" thickBot="1">
      <c r="A51" s="3938"/>
      <c r="B51" s="3940"/>
      <c r="C51" s="3266" t="s">
        <v>2527</v>
      </c>
      <c r="D51" s="3267"/>
      <c r="E51" s="3268">
        <v>1</v>
      </c>
      <c r="F51" s="3262"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4">
        <v>1</v>
      </c>
      <c r="B73" s="3933" t="s">
        <v>2530</v>
      </c>
      <c r="C73" s="3252" t="s">
        <v>2531</v>
      </c>
      <c r="D73" s="3252" t="s">
        <v>2532</v>
      </c>
      <c r="E73" s="3275">
        <v>0.2</v>
      </c>
      <c r="F73" s="3274">
        <v>25</v>
      </c>
      <c r="H73" s="1025">
        <f>SUMIF(C71:C139,基准地价!C8,E71:E139)</f>
        <v>0</v>
      </c>
    </row>
    <row r="74" spans="1:8" s="1025" customFormat="1" ht="24">
      <c r="A74" s="3274">
        <v>2</v>
      </c>
      <c r="B74" s="3935"/>
      <c r="C74" s="3252" t="s">
        <v>2533</v>
      </c>
      <c r="D74" s="3252" t="s">
        <v>2534</v>
      </c>
      <c r="E74" s="3275">
        <v>0.2</v>
      </c>
      <c r="F74" s="3274">
        <v>25</v>
      </c>
    </row>
    <row r="75" spans="1:8" s="1025" customFormat="1" ht="24">
      <c r="A75" s="3274">
        <v>3</v>
      </c>
      <c r="B75" s="3935"/>
      <c r="C75" s="3252" t="s">
        <v>2535</v>
      </c>
      <c r="D75" s="3252" t="s">
        <v>2536</v>
      </c>
      <c r="E75" s="3275">
        <v>0.2</v>
      </c>
      <c r="F75" s="3274">
        <v>25</v>
      </c>
    </row>
    <row r="76" spans="1:8" s="1025" customFormat="1">
      <c r="A76" s="3274">
        <v>4</v>
      </c>
      <c r="B76" s="3935"/>
      <c r="C76" s="3252" t="s">
        <v>2537</v>
      </c>
      <c r="D76" s="3252" t="s">
        <v>2538</v>
      </c>
      <c r="E76" s="3275">
        <v>0.15</v>
      </c>
      <c r="F76" s="3274">
        <v>20</v>
      </c>
    </row>
    <row r="77" spans="1:8" s="1025" customFormat="1" ht="24">
      <c r="A77" s="3274">
        <v>5</v>
      </c>
      <c r="B77" s="3935"/>
      <c r="C77" s="3252" t="s">
        <v>2539</v>
      </c>
      <c r="D77" s="3252" t="s">
        <v>2540</v>
      </c>
      <c r="E77" s="3275">
        <v>0.15</v>
      </c>
      <c r="F77" s="3274">
        <v>20</v>
      </c>
    </row>
    <row r="78" spans="1:8" s="1025" customFormat="1" ht="24">
      <c r="A78" s="3274">
        <v>6</v>
      </c>
      <c r="B78" s="3935"/>
      <c r="C78" s="3252" t="s">
        <v>2541</v>
      </c>
      <c r="D78" s="3252" t="s">
        <v>2542</v>
      </c>
      <c r="E78" s="3275">
        <v>0.15</v>
      </c>
      <c r="F78" s="3274">
        <v>20</v>
      </c>
    </row>
    <row r="79" spans="1:8" s="1025" customFormat="1" ht="24">
      <c r="A79" s="3274">
        <v>7</v>
      </c>
      <c r="B79" s="3935"/>
      <c r="C79" s="3252" t="s">
        <v>2543</v>
      </c>
      <c r="D79" s="3252" t="s">
        <v>2544</v>
      </c>
      <c r="E79" s="3275">
        <v>0.15</v>
      </c>
      <c r="F79" s="3274">
        <v>20</v>
      </c>
    </row>
    <row r="80" spans="1:8" s="1025" customFormat="1" ht="24">
      <c r="A80" s="3274">
        <v>8</v>
      </c>
      <c r="B80" s="3935"/>
      <c r="C80" s="3252" t="s">
        <v>2545</v>
      </c>
      <c r="D80" s="3252" t="s">
        <v>2546</v>
      </c>
      <c r="E80" s="3275">
        <v>0.1</v>
      </c>
      <c r="F80" s="3274">
        <v>15</v>
      </c>
    </row>
    <row r="81" spans="1:6" s="1025" customFormat="1" ht="24">
      <c r="A81" s="3274">
        <v>9</v>
      </c>
      <c r="B81" s="3935"/>
      <c r="C81" s="3252" t="s">
        <v>2547</v>
      </c>
      <c r="D81" s="3252" t="s">
        <v>2548</v>
      </c>
      <c r="E81" s="3275">
        <v>0.1</v>
      </c>
      <c r="F81" s="3274">
        <v>15</v>
      </c>
    </row>
    <row r="82" spans="1:6" s="1025" customFormat="1" ht="24">
      <c r="A82" s="3274">
        <v>10</v>
      </c>
      <c r="B82" s="3935"/>
      <c r="C82" s="3252" t="s">
        <v>2549</v>
      </c>
      <c r="D82" s="3252" t="s">
        <v>2550</v>
      </c>
      <c r="E82" s="3275">
        <v>0.1</v>
      </c>
      <c r="F82" s="3274">
        <v>15</v>
      </c>
    </row>
    <row r="83" spans="1:6" s="1025" customFormat="1" ht="24">
      <c r="A83" s="3274">
        <v>11</v>
      </c>
      <c r="B83" s="3935"/>
      <c r="C83" s="3252" t="s">
        <v>2551</v>
      </c>
      <c r="D83" s="3252" t="s">
        <v>2552</v>
      </c>
      <c r="E83" s="3275">
        <v>0.1</v>
      </c>
      <c r="F83" s="3274">
        <v>15</v>
      </c>
    </row>
    <row r="84" spans="1:6" s="1025" customFormat="1" ht="24">
      <c r="A84" s="3274">
        <v>12</v>
      </c>
      <c r="B84" s="3935"/>
      <c r="C84" s="3252" t="s">
        <v>2553</v>
      </c>
      <c r="D84" s="3252" t="s">
        <v>2554</v>
      </c>
      <c r="E84" s="3275">
        <v>0.1</v>
      </c>
      <c r="F84" s="3274">
        <v>15</v>
      </c>
    </row>
    <row r="85" spans="1:6" s="1025" customFormat="1">
      <c r="A85" s="3274">
        <v>13</v>
      </c>
      <c r="B85" s="3935"/>
      <c r="C85" s="3252" t="s">
        <v>2555</v>
      </c>
      <c r="D85" s="3252" t="s">
        <v>2556</v>
      </c>
      <c r="E85" s="3275">
        <v>0.1</v>
      </c>
      <c r="F85" s="3274">
        <v>15</v>
      </c>
    </row>
    <row r="86" spans="1:6" s="1025" customFormat="1">
      <c r="A86" s="3274">
        <v>14</v>
      </c>
      <c r="B86" s="3935"/>
      <c r="C86" s="3252" t="s">
        <v>2557</v>
      </c>
      <c r="D86" s="3252" t="s">
        <v>2558</v>
      </c>
      <c r="E86" s="3275">
        <v>0.1</v>
      </c>
      <c r="F86" s="3274">
        <v>15</v>
      </c>
    </row>
    <row r="87" spans="1:6" s="1025" customFormat="1">
      <c r="A87" s="3274">
        <v>15</v>
      </c>
      <c r="B87" s="3935"/>
      <c r="C87" s="3252" t="s">
        <v>2559</v>
      </c>
      <c r="D87" s="3252" t="s">
        <v>2560</v>
      </c>
      <c r="E87" s="3275">
        <v>0.1</v>
      </c>
      <c r="F87" s="3274">
        <v>15</v>
      </c>
    </row>
    <row r="88" spans="1:6" s="1025" customFormat="1" ht="24">
      <c r="A88" s="3274">
        <v>16</v>
      </c>
      <c r="B88" s="3935"/>
      <c r="C88" s="3252" t="s">
        <v>2561</v>
      </c>
      <c r="D88" s="3252" t="s">
        <v>2562</v>
      </c>
      <c r="E88" s="3275">
        <v>0.1</v>
      </c>
      <c r="F88" s="3274">
        <v>15</v>
      </c>
    </row>
    <row r="89" spans="1:6" s="1025" customFormat="1" ht="24">
      <c r="A89" s="3274">
        <v>17</v>
      </c>
      <c r="B89" s="3934"/>
      <c r="C89" s="3252" t="s">
        <v>2563</v>
      </c>
      <c r="D89" s="3252" t="s">
        <v>2564</v>
      </c>
      <c r="E89" s="3275">
        <v>0.1</v>
      </c>
      <c r="F89" s="3274">
        <v>15</v>
      </c>
    </row>
    <row r="90" spans="1:6" s="1025" customFormat="1">
      <c r="A90" s="3274">
        <v>18</v>
      </c>
      <c r="B90" s="3933" t="s">
        <v>2565</v>
      </c>
      <c r="C90" s="3252" t="s">
        <v>2566</v>
      </c>
      <c r="D90" s="3252" t="s">
        <v>2567</v>
      </c>
      <c r="E90" s="3275">
        <v>0.2</v>
      </c>
      <c r="F90" s="3274">
        <v>25</v>
      </c>
    </row>
    <row r="91" spans="1:6" s="1025" customFormat="1" ht="24">
      <c r="A91" s="3274">
        <v>19</v>
      </c>
      <c r="B91" s="3935"/>
      <c r="C91" s="3252" t="s">
        <v>2568</v>
      </c>
      <c r="D91" s="3252" t="s">
        <v>2569</v>
      </c>
      <c r="E91" s="3275">
        <v>0.2</v>
      </c>
      <c r="F91" s="3274">
        <v>25</v>
      </c>
    </row>
    <row r="92" spans="1:6" s="1025" customFormat="1">
      <c r="A92" s="3274">
        <v>20</v>
      </c>
      <c r="B92" s="3935"/>
      <c r="C92" s="3252" t="s">
        <v>2570</v>
      </c>
      <c r="D92" s="3252" t="s">
        <v>2571</v>
      </c>
      <c r="E92" s="3275">
        <v>0.15</v>
      </c>
      <c r="F92" s="3274">
        <v>20</v>
      </c>
    </row>
    <row r="93" spans="1:6" s="1025" customFormat="1" ht="24">
      <c r="A93" s="3274">
        <v>21</v>
      </c>
      <c r="B93" s="3935"/>
      <c r="C93" s="3252" t="s">
        <v>2572</v>
      </c>
      <c r="D93" s="3252" t="s">
        <v>2573</v>
      </c>
      <c r="E93" s="3275">
        <v>0.15</v>
      </c>
      <c r="F93" s="3274">
        <v>20</v>
      </c>
    </row>
    <row r="94" spans="1:6" s="1025" customFormat="1" ht="24">
      <c r="A94" s="3274">
        <v>22</v>
      </c>
      <c r="B94" s="3935"/>
      <c r="C94" s="3252" t="s">
        <v>2574</v>
      </c>
      <c r="D94" s="3252" t="s">
        <v>2575</v>
      </c>
      <c r="E94" s="3275">
        <v>0.15</v>
      </c>
      <c r="F94" s="3274">
        <v>20</v>
      </c>
    </row>
    <row r="95" spans="1:6" s="1025" customFormat="1" ht="36">
      <c r="A95" s="3274">
        <v>23</v>
      </c>
      <c r="B95" s="3935"/>
      <c r="C95" s="3252" t="s">
        <v>2576</v>
      </c>
      <c r="D95" s="3252" t="s">
        <v>2577</v>
      </c>
      <c r="E95" s="3275">
        <v>0.15</v>
      </c>
      <c r="F95" s="3274">
        <v>20</v>
      </c>
    </row>
    <row r="96" spans="1:6" s="1025" customFormat="1">
      <c r="A96" s="3274">
        <v>24</v>
      </c>
      <c r="B96" s="3935"/>
      <c r="C96" s="3252" t="s">
        <v>2578</v>
      </c>
      <c r="D96" s="3252" t="s">
        <v>2579</v>
      </c>
      <c r="E96" s="3275">
        <v>0.1</v>
      </c>
      <c r="F96" s="3274">
        <v>15</v>
      </c>
    </row>
    <row r="97" spans="1:6" s="1025" customFormat="1" ht="24">
      <c r="A97" s="3274">
        <v>25</v>
      </c>
      <c r="B97" s="3935"/>
      <c r="C97" s="3252" t="s">
        <v>2580</v>
      </c>
      <c r="D97" s="3252" t="s">
        <v>2581</v>
      </c>
      <c r="E97" s="3275">
        <v>0.1</v>
      </c>
      <c r="F97" s="3274">
        <v>15</v>
      </c>
    </row>
    <row r="98" spans="1:6" s="1025" customFormat="1" ht="24">
      <c r="A98" s="3274">
        <v>26</v>
      </c>
      <c r="B98" s="3935"/>
      <c r="C98" s="3252" t="s">
        <v>2582</v>
      </c>
      <c r="D98" s="3252" t="s">
        <v>2583</v>
      </c>
      <c r="E98" s="3275">
        <v>0.1</v>
      </c>
      <c r="F98" s="3274">
        <v>15</v>
      </c>
    </row>
    <row r="99" spans="1:6" s="1025" customFormat="1" ht="24">
      <c r="A99" s="3274">
        <v>27</v>
      </c>
      <c r="B99" s="3935"/>
      <c r="C99" s="3252" t="s">
        <v>2584</v>
      </c>
      <c r="D99" s="3252" t="s">
        <v>2585</v>
      </c>
      <c r="E99" s="3275">
        <v>0.1</v>
      </c>
      <c r="F99" s="3274">
        <v>15</v>
      </c>
    </row>
    <row r="100" spans="1:6" s="1025" customFormat="1" ht="24">
      <c r="A100" s="3274">
        <v>28</v>
      </c>
      <c r="B100" s="3935"/>
      <c r="C100" s="3252" t="s">
        <v>2586</v>
      </c>
      <c r="D100" s="3252" t="s">
        <v>2587</v>
      </c>
      <c r="E100" s="3275">
        <v>0.1</v>
      </c>
      <c r="F100" s="3274">
        <v>15</v>
      </c>
    </row>
    <row r="101" spans="1:6" s="1025" customFormat="1" ht="24">
      <c r="A101" s="3274">
        <v>29</v>
      </c>
      <c r="B101" s="3935"/>
      <c r="C101" s="3252" t="s">
        <v>2588</v>
      </c>
      <c r="D101" s="3252" t="s">
        <v>2589</v>
      </c>
      <c r="E101" s="3275">
        <v>0.1</v>
      </c>
      <c r="F101" s="3274">
        <v>15</v>
      </c>
    </row>
    <row r="102" spans="1:6" s="1025" customFormat="1" ht="24">
      <c r="A102" s="3274">
        <v>30</v>
      </c>
      <c r="B102" s="3935"/>
      <c r="C102" s="3252" t="s">
        <v>2590</v>
      </c>
      <c r="D102" s="3252" t="s">
        <v>2591</v>
      </c>
      <c r="E102" s="3275">
        <v>0.1</v>
      </c>
      <c r="F102" s="3274">
        <v>15</v>
      </c>
    </row>
    <row r="103" spans="1:6" s="1025" customFormat="1" ht="24">
      <c r="A103" s="3274">
        <v>31</v>
      </c>
      <c r="B103" s="3935"/>
      <c r="C103" s="3252" t="s">
        <v>2592</v>
      </c>
      <c r="D103" s="3252" t="s">
        <v>2593</v>
      </c>
      <c r="E103" s="3275">
        <v>0.1</v>
      </c>
      <c r="F103" s="3274">
        <v>15</v>
      </c>
    </row>
    <row r="104" spans="1:6" s="1025" customFormat="1" ht="24">
      <c r="A104" s="3274">
        <v>32</v>
      </c>
      <c r="B104" s="3935"/>
      <c r="C104" s="3252" t="s">
        <v>2594</v>
      </c>
      <c r="D104" s="3252" t="s">
        <v>2595</v>
      </c>
      <c r="E104" s="3275">
        <v>0.1</v>
      </c>
      <c r="F104" s="3274">
        <v>15</v>
      </c>
    </row>
    <row r="105" spans="1:6" s="1025" customFormat="1" ht="24">
      <c r="A105" s="3274">
        <v>33</v>
      </c>
      <c r="B105" s="3935"/>
      <c r="C105" s="3252" t="s">
        <v>2596</v>
      </c>
      <c r="D105" s="3252" t="s">
        <v>2597</v>
      </c>
      <c r="E105" s="3275">
        <v>0.1</v>
      </c>
      <c r="F105" s="3274">
        <v>15</v>
      </c>
    </row>
    <row r="106" spans="1:6" s="1025" customFormat="1" ht="24">
      <c r="A106" s="3274">
        <v>34</v>
      </c>
      <c r="B106" s="3934"/>
      <c r="C106" s="3252" t="s">
        <v>2598</v>
      </c>
      <c r="D106" s="3252" t="s">
        <v>2599</v>
      </c>
      <c r="E106" s="3275">
        <v>0.1</v>
      </c>
      <c r="F106" s="3274">
        <v>15</v>
      </c>
    </row>
    <row r="107" spans="1:6" s="1025" customFormat="1" ht="24">
      <c r="A107" s="3274">
        <v>35</v>
      </c>
      <c r="B107" s="3933" t="s">
        <v>2600</v>
      </c>
      <c r="C107" s="3274" t="s">
        <v>2601</v>
      </c>
      <c r="D107" s="3252" t="s">
        <v>2602</v>
      </c>
      <c r="E107" s="3275">
        <v>0.15</v>
      </c>
      <c r="F107" s="3274">
        <v>20</v>
      </c>
    </row>
    <row r="108" spans="1:6" s="1025" customFormat="1" ht="24">
      <c r="A108" s="3274">
        <v>36</v>
      </c>
      <c r="B108" s="3935"/>
      <c r="C108" s="3274" t="s">
        <v>2603</v>
      </c>
      <c r="D108" s="3252" t="s">
        <v>2604</v>
      </c>
      <c r="E108" s="3275">
        <v>0.15</v>
      </c>
      <c r="F108" s="3274">
        <v>20</v>
      </c>
    </row>
    <row r="109" spans="1:6" s="1025" customFormat="1" ht="24">
      <c r="A109" s="3274">
        <v>37</v>
      </c>
      <c r="B109" s="3935"/>
      <c r="C109" s="3274" t="s">
        <v>2605</v>
      </c>
      <c r="D109" s="3252" t="s">
        <v>2606</v>
      </c>
      <c r="E109" s="3275">
        <v>0.15</v>
      </c>
      <c r="F109" s="3274">
        <v>20</v>
      </c>
    </row>
    <row r="110" spans="1:6" s="1025" customFormat="1">
      <c r="A110" s="3274">
        <v>38</v>
      </c>
      <c r="B110" s="3935"/>
      <c r="C110" s="3274" t="s">
        <v>2607</v>
      </c>
      <c r="D110" s="3252" t="s">
        <v>2608</v>
      </c>
      <c r="E110" s="3275">
        <v>0.1</v>
      </c>
      <c r="F110" s="3274">
        <v>15</v>
      </c>
    </row>
    <row r="111" spans="1:6" s="1025" customFormat="1" ht="24">
      <c r="A111" s="3274">
        <v>39</v>
      </c>
      <c r="B111" s="3935"/>
      <c r="C111" s="3274" t="s">
        <v>2609</v>
      </c>
      <c r="D111" s="3252" t="s">
        <v>2610</v>
      </c>
      <c r="E111" s="3275">
        <v>0.1</v>
      </c>
      <c r="F111" s="3274">
        <v>15</v>
      </c>
    </row>
    <row r="112" spans="1:6" s="1025" customFormat="1" ht="24">
      <c r="A112" s="3274">
        <v>40</v>
      </c>
      <c r="B112" s="3934"/>
      <c r="C112" s="3274" t="s">
        <v>2611</v>
      </c>
      <c r="D112" s="3252" t="s">
        <v>2612</v>
      </c>
      <c r="E112" s="3275">
        <v>0.1</v>
      </c>
      <c r="F112" s="3274">
        <v>15</v>
      </c>
    </row>
    <row r="113" spans="1:6" s="1025" customFormat="1" ht="24">
      <c r="A113" s="3274">
        <v>41</v>
      </c>
      <c r="B113" s="3932" t="s">
        <v>2613</v>
      </c>
      <c r="C113" s="3274" t="s">
        <v>2614</v>
      </c>
      <c r="D113" s="3252" t="s">
        <v>2615</v>
      </c>
      <c r="E113" s="3275">
        <v>0.1</v>
      </c>
      <c r="F113" s="3274">
        <v>15</v>
      </c>
    </row>
    <row r="114" spans="1:6" s="1025" customFormat="1">
      <c r="A114" s="3274">
        <v>42</v>
      </c>
      <c r="B114" s="3932"/>
      <c r="C114" s="3274" t="s">
        <v>2616</v>
      </c>
      <c r="D114" s="3252" t="s">
        <v>2617</v>
      </c>
      <c r="E114" s="3275">
        <v>0.1</v>
      </c>
      <c r="F114" s="3274">
        <v>15</v>
      </c>
    </row>
    <row r="115" spans="1:6" s="1025" customFormat="1" ht="24">
      <c r="A115" s="3274">
        <v>43</v>
      </c>
      <c r="B115" s="3932"/>
      <c r="C115" s="3274" t="s">
        <v>2618</v>
      </c>
      <c r="D115" s="3252" t="s">
        <v>2619</v>
      </c>
      <c r="E115" s="3275">
        <v>0.1</v>
      </c>
      <c r="F115" s="3274">
        <v>15</v>
      </c>
    </row>
    <row r="116" spans="1:6" s="1025" customFormat="1" ht="24">
      <c r="A116" s="3274">
        <v>44</v>
      </c>
      <c r="B116" s="3933" t="s">
        <v>2620</v>
      </c>
      <c r="C116" s="3274" t="s">
        <v>2621</v>
      </c>
      <c r="D116" s="3252" t="s">
        <v>2622</v>
      </c>
      <c r="E116" s="3275">
        <v>0.1</v>
      </c>
      <c r="F116" s="3274">
        <v>15</v>
      </c>
    </row>
    <row r="117" spans="1:6" s="1025" customFormat="1" ht="24">
      <c r="A117" s="3274">
        <v>45</v>
      </c>
      <c r="B117" s="3934"/>
      <c r="C117" s="3252" t="s">
        <v>2623</v>
      </c>
      <c r="D117" s="3252" t="s">
        <v>2624</v>
      </c>
      <c r="E117" s="3275">
        <v>0.1</v>
      </c>
      <c r="F117" s="3274">
        <v>15</v>
      </c>
    </row>
    <row r="118" spans="1:6" s="1025" customFormat="1" ht="24">
      <c r="A118" s="3274">
        <v>46</v>
      </c>
      <c r="B118" s="3933" t="s">
        <v>2625</v>
      </c>
      <c r="C118" s="3274" t="s">
        <v>2626</v>
      </c>
      <c r="D118" s="3252" t="s">
        <v>2627</v>
      </c>
      <c r="E118" s="3275">
        <v>0.1</v>
      </c>
      <c r="F118" s="3274">
        <v>15</v>
      </c>
    </row>
    <row r="119" spans="1:6" s="1025" customFormat="1" ht="24">
      <c r="A119" s="3274">
        <v>47</v>
      </c>
      <c r="B119" s="3934"/>
      <c r="C119" s="3274" t="s">
        <v>2628</v>
      </c>
      <c r="D119" s="3252" t="s">
        <v>2629</v>
      </c>
      <c r="E119" s="3275">
        <v>0.1</v>
      </c>
      <c r="F119" s="3274">
        <v>15</v>
      </c>
    </row>
    <row r="120" spans="1:6" s="1025" customFormat="1" ht="24">
      <c r="A120" s="3274">
        <v>48</v>
      </c>
      <c r="B120" s="3933" t="s">
        <v>2630</v>
      </c>
      <c r="C120" s="3274" t="s">
        <v>2631</v>
      </c>
      <c r="D120" s="3252" t="s">
        <v>2632</v>
      </c>
      <c r="E120" s="3275">
        <v>0.1</v>
      </c>
      <c r="F120" s="3274">
        <v>15</v>
      </c>
    </row>
    <row r="121" spans="1:6" s="1025" customFormat="1">
      <c r="A121" s="3274">
        <v>49</v>
      </c>
      <c r="B121" s="3934"/>
      <c r="C121" s="3274" t="s">
        <v>2633</v>
      </c>
      <c r="D121" s="3252" t="s">
        <v>2634</v>
      </c>
      <c r="E121" s="3275">
        <v>0.1</v>
      </c>
      <c r="F121" s="3274">
        <v>15</v>
      </c>
    </row>
    <row r="122" spans="1:6" s="1025" customFormat="1" ht="24">
      <c r="A122" s="3274">
        <v>50</v>
      </c>
      <c r="B122" s="3932" t="s">
        <v>2635</v>
      </c>
      <c r="C122" s="3274" t="s">
        <v>2636</v>
      </c>
      <c r="D122" s="3252" t="s">
        <v>2637</v>
      </c>
      <c r="E122" s="3275">
        <v>0.1</v>
      </c>
      <c r="F122" s="3274">
        <v>15</v>
      </c>
    </row>
    <row r="123" spans="1:6" s="1025" customFormat="1" ht="24">
      <c r="A123" s="3274">
        <v>51</v>
      </c>
      <c r="B123" s="3932"/>
      <c r="C123" s="3274" t="s">
        <v>2638</v>
      </c>
      <c r="D123" s="3252" t="s">
        <v>2639</v>
      </c>
      <c r="E123" s="3275">
        <v>0.1</v>
      </c>
      <c r="F123" s="3274">
        <v>15</v>
      </c>
    </row>
    <row r="124" spans="1:6" s="1025" customFormat="1" ht="24">
      <c r="A124" s="3274">
        <v>52</v>
      </c>
      <c r="B124" s="3932" t="s">
        <v>2640</v>
      </c>
      <c r="C124" s="3274" t="s">
        <v>2641</v>
      </c>
      <c r="D124" s="3252" t="s">
        <v>2642</v>
      </c>
      <c r="E124" s="3275">
        <v>0.1</v>
      </c>
      <c r="F124" s="3274">
        <v>15</v>
      </c>
    </row>
    <row r="125" spans="1:6" s="1025" customFormat="1" ht="24">
      <c r="A125" s="3274">
        <v>53</v>
      </c>
      <c r="B125" s="3932"/>
      <c r="C125" s="3274" t="s">
        <v>2643</v>
      </c>
      <c r="D125" s="3252" t="s">
        <v>2644</v>
      </c>
      <c r="E125" s="3275">
        <v>0.1</v>
      </c>
      <c r="F125" s="3274">
        <v>15</v>
      </c>
    </row>
    <row r="126" spans="1:6" ht="24">
      <c r="A126" s="3274">
        <v>54</v>
      </c>
      <c r="B126" s="3274" t="s">
        <v>2645</v>
      </c>
      <c r="C126" s="3274" t="s">
        <v>2646</v>
      </c>
      <c r="D126" s="3252" t="s">
        <v>2647</v>
      </c>
      <c r="E126" s="3275">
        <v>0.1</v>
      </c>
      <c r="F126" s="3274">
        <v>15</v>
      </c>
    </row>
    <row r="127" spans="1:6">
      <c r="A127" s="3274">
        <v>55</v>
      </c>
      <c r="B127" s="3932" t="s">
        <v>2648</v>
      </c>
      <c r="C127" s="3274" t="s">
        <v>2649</v>
      </c>
      <c r="D127" s="3252" t="s">
        <v>2650</v>
      </c>
      <c r="E127" s="3275">
        <v>0.1</v>
      </c>
      <c r="F127" s="3274">
        <v>15</v>
      </c>
    </row>
    <row r="128" spans="1:6">
      <c r="A128" s="3274">
        <v>56</v>
      </c>
      <c r="B128" s="3932"/>
      <c r="C128" s="3274" t="s">
        <v>2651</v>
      </c>
      <c r="D128" s="3252" t="s">
        <v>2652</v>
      </c>
      <c r="E128" s="3275">
        <v>0.1</v>
      </c>
      <c r="F128" s="3274">
        <v>15</v>
      </c>
    </row>
    <row r="129" spans="1:14" ht="24">
      <c r="A129" s="3274">
        <v>57</v>
      </c>
      <c r="B129" s="3932"/>
      <c r="C129" s="3274" t="s">
        <v>2653</v>
      </c>
      <c r="D129" s="3252" t="s">
        <v>2654</v>
      </c>
      <c r="E129" s="3275">
        <v>0.1</v>
      </c>
      <c r="F129" s="3274">
        <v>15</v>
      </c>
    </row>
    <row r="130" spans="1:14" ht="24">
      <c r="A130" s="3274">
        <v>58</v>
      </c>
      <c r="B130" s="3932" t="s">
        <v>2655</v>
      </c>
      <c r="C130" s="3274" t="s">
        <v>2656</v>
      </c>
      <c r="D130" s="3252" t="s">
        <v>2657</v>
      </c>
      <c r="E130" s="3275">
        <v>0.1</v>
      </c>
      <c r="F130" s="3274">
        <v>15</v>
      </c>
    </row>
    <row r="131" spans="1:14" ht="24">
      <c r="A131" s="3274">
        <v>59</v>
      </c>
      <c r="B131" s="3932"/>
      <c r="C131" s="3274" t="s">
        <v>2658</v>
      </c>
      <c r="D131" s="3252" t="s">
        <v>2659</v>
      </c>
      <c r="E131" s="3275">
        <v>0.1</v>
      </c>
      <c r="F131" s="3274">
        <v>15</v>
      </c>
    </row>
    <row r="132" spans="1:14" ht="24">
      <c r="A132" s="3274">
        <v>60</v>
      </c>
      <c r="B132" s="3933" t="s">
        <v>2660</v>
      </c>
      <c r="C132" s="3274" t="s">
        <v>2661</v>
      </c>
      <c r="D132" s="3252" t="s">
        <v>2662</v>
      </c>
      <c r="E132" s="3275">
        <v>0.1</v>
      </c>
      <c r="F132" s="3274">
        <v>15</v>
      </c>
    </row>
    <row r="133" spans="1:14" ht="24">
      <c r="A133" s="3274">
        <v>61</v>
      </c>
      <c r="B133" s="3934"/>
      <c r="C133" s="3274" t="s">
        <v>2663</v>
      </c>
      <c r="D133" s="3252" t="s">
        <v>2664</v>
      </c>
      <c r="E133" s="3275">
        <v>0.1</v>
      </c>
      <c r="F133" s="3274">
        <v>15</v>
      </c>
    </row>
    <row r="134" spans="1:14" ht="24">
      <c r="A134" s="3274">
        <v>62</v>
      </c>
      <c r="B134" s="3274" t="s">
        <v>2665</v>
      </c>
      <c r="C134" s="3274" t="s">
        <v>2666</v>
      </c>
      <c r="D134" s="3252" t="s">
        <v>2667</v>
      </c>
      <c r="E134" s="3275">
        <v>0.1</v>
      </c>
      <c r="F134" s="3274">
        <v>15</v>
      </c>
    </row>
    <row r="135" spans="1:14" ht="24">
      <c r="A135" s="3274">
        <v>63</v>
      </c>
      <c r="B135" s="3932" t="s">
        <v>2668</v>
      </c>
      <c r="C135" s="3274" t="s">
        <v>2669</v>
      </c>
      <c r="D135" s="3252" t="s">
        <v>2670</v>
      </c>
      <c r="E135" s="3275">
        <v>0.1</v>
      </c>
      <c r="F135" s="3274">
        <v>15</v>
      </c>
    </row>
    <row r="136" spans="1:14">
      <c r="A136" s="3274">
        <v>64</v>
      </c>
      <c r="B136" s="3932"/>
      <c r="C136" s="3274" t="s">
        <v>2671</v>
      </c>
      <c r="D136" s="3252" t="s">
        <v>2672</v>
      </c>
      <c r="E136" s="3275">
        <v>0.1</v>
      </c>
      <c r="F136" s="3274">
        <v>15</v>
      </c>
    </row>
    <row r="137" spans="1:14" ht="24">
      <c r="A137" s="3274">
        <v>65</v>
      </c>
      <c r="B137" s="3274" t="s">
        <v>2673</v>
      </c>
      <c r="C137" s="3274" t="s">
        <v>2674</v>
      </c>
      <c r="D137" s="3252" t="s">
        <v>2675</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44" t="s">
        <v>2816</v>
      </c>
      <c r="B1" s="3944"/>
      <c r="C1" s="3944"/>
      <c r="D1" s="3944"/>
      <c r="E1" s="3944"/>
      <c r="F1" s="3944"/>
      <c r="G1" s="3945"/>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2817</v>
      </c>
      <c r="B2" s="3419"/>
      <c r="C2" s="3419"/>
      <c r="D2" s="3419"/>
      <c r="E2" s="3419"/>
      <c r="F2" s="3419"/>
      <c r="G2" s="3414" t="s">
        <v>2818</v>
      </c>
      <c r="J2" s="3443" t="s">
        <v>2824</v>
      </c>
      <c r="K2" s="3423" t="s">
        <v>2826</v>
      </c>
      <c r="L2" s="3423" t="s">
        <v>2828</v>
      </c>
      <c r="M2" s="3423" t="s">
        <v>2834</v>
      </c>
      <c r="N2" s="3423" t="s">
        <v>2844</v>
      </c>
      <c r="O2" s="3423" t="s">
        <v>2859</v>
      </c>
      <c r="P2" s="3423" t="s">
        <v>2896</v>
      </c>
      <c r="Q2" s="3423" t="s">
        <v>2927</v>
      </c>
      <c r="R2" s="3423" t="s">
        <v>2955</v>
      </c>
      <c r="S2" s="3423" t="s">
        <v>2990</v>
      </c>
      <c r="T2" s="3423" t="s">
        <v>3010</v>
      </c>
      <c r="U2" s="3423" t="s">
        <v>3022</v>
      </c>
    </row>
    <row r="3" spans="1:21" s="1012" customFormat="1" ht="19.5" customHeight="1">
      <c r="A3" s="3946" t="s">
        <v>2819</v>
      </c>
      <c r="B3" s="3415"/>
      <c r="C3" s="3416" t="s">
        <v>2796</v>
      </c>
      <c r="D3" s="3416" t="s">
        <v>2820</v>
      </c>
      <c r="E3" s="3416" t="s">
        <v>2798</v>
      </c>
      <c r="F3" s="3416" t="s">
        <v>2821</v>
      </c>
      <c r="G3" s="3416" t="s">
        <v>2740</v>
      </c>
      <c r="H3" s="1015"/>
      <c r="J3" s="3443" t="s">
        <v>2825</v>
      </c>
      <c r="K3" s="3423" t="s">
        <v>973</v>
      </c>
      <c r="L3" s="3423" t="s">
        <v>974</v>
      </c>
      <c r="M3" s="3423" t="s">
        <v>975</v>
      </c>
      <c r="N3" s="3423" t="s">
        <v>976</v>
      </c>
      <c r="O3" s="3423" t="s">
        <v>977</v>
      </c>
      <c r="P3" s="3423" t="s">
        <v>978</v>
      </c>
      <c r="Q3" s="3423" t="s">
        <v>979</v>
      </c>
      <c r="R3" s="3423" t="s">
        <v>980</v>
      </c>
      <c r="S3" s="3423" t="s">
        <v>981</v>
      </c>
      <c r="T3" s="3423" t="s">
        <v>3011</v>
      </c>
      <c r="U3" s="3423" t="s">
        <v>3023</v>
      </c>
    </row>
    <row r="4" spans="1:21" s="1012" customFormat="1" ht="19.5" customHeight="1" thickBot="1">
      <c r="A4" s="3947"/>
      <c r="B4" s="3417" t="s">
        <v>2822</v>
      </c>
      <c r="C4" s="3417" t="s">
        <v>2823</v>
      </c>
      <c r="D4" s="3417" t="s">
        <v>2823</v>
      </c>
      <c r="E4" s="3417" t="s">
        <v>2823</v>
      </c>
      <c r="F4" s="3418" t="s">
        <v>2823</v>
      </c>
      <c r="G4" s="3418" t="s">
        <v>2823</v>
      </c>
      <c r="H4" s="1015"/>
      <c r="J4" s="3443" t="s">
        <v>982</v>
      </c>
      <c r="K4" s="3423" t="s">
        <v>983</v>
      </c>
      <c r="L4" s="3423" t="s">
        <v>984</v>
      </c>
      <c r="M4" s="3423" t="s">
        <v>985</v>
      </c>
      <c r="N4" s="3423" t="s">
        <v>986</v>
      </c>
      <c r="O4" s="3423" t="s">
        <v>987</v>
      </c>
      <c r="P4" s="3423" t="s">
        <v>988</v>
      </c>
      <c r="Q4" s="3423" t="s">
        <v>989</v>
      </c>
      <c r="R4" s="3423" t="s">
        <v>2956</v>
      </c>
      <c r="S4" s="3423" t="s">
        <v>2991</v>
      </c>
      <c r="T4" s="3423" t="s">
        <v>3012</v>
      </c>
      <c r="U4" s="3423" t="s">
        <v>3024</v>
      </c>
    </row>
    <row r="5" spans="1:21" ht="14.25" customHeight="1">
      <c r="A5" s="3420" t="s">
        <v>990</v>
      </c>
      <c r="B5" s="3421" t="s">
        <v>2824</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2957</v>
      </c>
      <c r="S5" s="3423" t="s">
        <v>2992</v>
      </c>
      <c r="T5" s="3423" t="s">
        <v>999</v>
      </c>
      <c r="U5" s="3423" t="s">
        <v>3025</v>
      </c>
    </row>
    <row r="6" spans="1:21" ht="14.25" customHeight="1">
      <c r="A6" s="3423" t="s">
        <v>990</v>
      </c>
      <c r="B6" s="3423" t="s">
        <v>2825</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2928</v>
      </c>
      <c r="R6" s="3423" t="s">
        <v>2958</v>
      </c>
      <c r="S6" s="3423" t="s">
        <v>1008</v>
      </c>
      <c r="T6" s="3423" t="s">
        <v>3013</v>
      </c>
      <c r="U6" s="3423" t="s">
        <v>3026</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2929</v>
      </c>
      <c r="R7" s="3423" t="s">
        <v>2959</v>
      </c>
      <c r="S7" s="3423" t="s">
        <v>2993</v>
      </c>
      <c r="T7" s="3423" t="s">
        <v>3014</v>
      </c>
      <c r="U7" s="1289" t="s">
        <v>3027</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2930</v>
      </c>
      <c r="R8" s="3423" t="s">
        <v>1021</v>
      </c>
      <c r="S8" s="3423" t="s">
        <v>2994</v>
      </c>
      <c r="T8" s="3423" t="s">
        <v>3015</v>
      </c>
      <c r="U8" s="3423" t="s">
        <v>3028</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2931</v>
      </c>
      <c r="R9" s="3423" t="s">
        <v>1029</v>
      </c>
      <c r="S9" s="3423" t="s">
        <v>1030</v>
      </c>
      <c r="T9" s="3423" t="s">
        <v>1047</v>
      </c>
    </row>
    <row r="10" spans="1:21" ht="14.25" customHeight="1">
      <c r="A10" s="3420" t="s">
        <v>1031</v>
      </c>
      <c r="B10" s="3421" t="s">
        <v>2826</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3016</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2897</v>
      </c>
      <c r="Q11" s="3423" t="s">
        <v>1038</v>
      </c>
      <c r="R11" s="3423" t="s">
        <v>1046</v>
      </c>
      <c r="S11" s="3423" t="s">
        <v>2995</v>
      </c>
      <c r="T11" s="3423" t="s">
        <v>3017</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2898</v>
      </c>
      <c r="Q12" s="3423" t="s">
        <v>2932</v>
      </c>
      <c r="R12" s="3423" t="s">
        <v>2960</v>
      </c>
      <c r="S12" s="3423" t="s">
        <v>2996</v>
      </c>
      <c r="T12" s="3423" t="s">
        <v>3018</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2899</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2961</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630</v>
      </c>
      <c r="K15" s="3423" t="s">
        <v>1070</v>
      </c>
      <c r="L15" s="3423" t="s">
        <v>1071</v>
      </c>
      <c r="M15" s="3423" t="s">
        <v>1072</v>
      </c>
      <c r="N15" s="3423" t="s">
        <v>1073</v>
      </c>
      <c r="O15" s="3423" t="s">
        <v>1074</v>
      </c>
      <c r="P15" s="3423" t="s">
        <v>2900</v>
      </c>
      <c r="Q15" s="3423" t="s">
        <v>2933</v>
      </c>
      <c r="R15" s="3423" t="s">
        <v>1090</v>
      </c>
      <c r="S15" s="3423" t="s">
        <v>2997</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2901</v>
      </c>
      <c r="Q16" s="3423" t="s">
        <v>1075</v>
      </c>
      <c r="R16" s="3423" t="s">
        <v>1098</v>
      </c>
      <c r="S16" s="3423" t="s">
        <v>1054</v>
      </c>
      <c r="T16" s="3423" t="s">
        <v>3019</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2902</v>
      </c>
      <c r="Q17" s="3423" t="s">
        <v>2934</v>
      </c>
      <c r="R17" s="3423" t="s">
        <v>1104</v>
      </c>
      <c r="S17" s="3423" t="s">
        <v>2998</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2903</v>
      </c>
      <c r="Q18" s="3423" t="s">
        <v>1089</v>
      </c>
      <c r="R18" s="3423" t="s">
        <v>2962</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2904</v>
      </c>
      <c r="Q19" s="3423" t="s">
        <v>1097</v>
      </c>
      <c r="R19" s="3423" t="s">
        <v>2963</v>
      </c>
      <c r="S19" s="3423" t="s">
        <v>1113</v>
      </c>
      <c r="T19" s="3423" t="s">
        <v>3020</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2905</v>
      </c>
      <c r="Q20" s="3423" t="s">
        <v>2935</v>
      </c>
      <c r="R20" s="3423" t="s">
        <v>1139</v>
      </c>
      <c r="S20" s="3423" t="s">
        <v>2999</v>
      </c>
      <c r="T20" s="3423" t="s">
        <v>1126</v>
      </c>
    </row>
    <row r="21" spans="1:20" ht="14.25" customHeight="1">
      <c r="A21" s="3423" t="s">
        <v>1031</v>
      </c>
      <c r="B21" s="1289" t="s">
        <v>1055</v>
      </c>
      <c r="C21" s="3423">
        <v>32370</v>
      </c>
      <c r="D21" s="3423">
        <v>26730</v>
      </c>
      <c r="E21" s="3423">
        <v>26640</v>
      </c>
      <c r="F21" s="3429"/>
      <c r="G21" s="3430">
        <v>19440</v>
      </c>
      <c r="K21" s="3432" t="s">
        <v>2827</v>
      </c>
      <c r="L21" s="3423" t="s">
        <v>1115</v>
      </c>
      <c r="M21" s="3423" t="s">
        <v>1116</v>
      </c>
      <c r="N21" s="3423" t="s">
        <v>1117</v>
      </c>
      <c r="O21" s="3423" t="s">
        <v>1118</v>
      </c>
      <c r="P21" s="3423" t="s">
        <v>1112</v>
      </c>
      <c r="Q21" s="3423" t="s">
        <v>1132</v>
      </c>
      <c r="R21" s="3423" t="s">
        <v>1142</v>
      </c>
      <c r="S21" s="3423" t="s">
        <v>3000</v>
      </c>
      <c r="T21" s="3423" t="s">
        <v>3021</v>
      </c>
    </row>
    <row r="22" spans="1:20" ht="14.25" customHeight="1">
      <c r="A22" s="3423" t="s">
        <v>1031</v>
      </c>
      <c r="B22" s="1289" t="s">
        <v>1062</v>
      </c>
      <c r="C22" s="3423">
        <v>29830</v>
      </c>
      <c r="D22" s="3423">
        <v>27600</v>
      </c>
      <c r="E22" s="3423">
        <v>28150</v>
      </c>
      <c r="F22" s="3429"/>
      <c r="G22" s="3430">
        <v>20080</v>
      </c>
      <c r="L22" s="3432" t="s">
        <v>2829</v>
      </c>
      <c r="M22" s="3423" t="s">
        <v>1120</v>
      </c>
      <c r="N22" s="3423" t="s">
        <v>1121</v>
      </c>
      <c r="O22" s="3423" t="s">
        <v>1122</v>
      </c>
      <c r="P22" s="3423" t="s">
        <v>2906</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2830</v>
      </c>
      <c r="M23" s="3423" t="s">
        <v>1127</v>
      </c>
      <c r="N23" s="3423" t="s">
        <v>1128</v>
      </c>
      <c r="O23" s="3423" t="s">
        <v>2860</v>
      </c>
      <c r="P23" s="3423" t="s">
        <v>2907</v>
      </c>
      <c r="Q23" s="3423" t="s">
        <v>1138</v>
      </c>
      <c r="R23" s="3423" t="s">
        <v>1147</v>
      </c>
      <c r="S23" s="3423" t="s">
        <v>3001</v>
      </c>
    </row>
    <row r="24" spans="1:20" ht="14.25" customHeight="1">
      <c r="A24" s="3423" t="s">
        <v>1031</v>
      </c>
      <c r="B24" s="1289" t="s">
        <v>1078</v>
      </c>
      <c r="C24" s="3423">
        <v>27930</v>
      </c>
      <c r="D24" s="3423">
        <v>32260</v>
      </c>
      <c r="E24" s="3423">
        <v>32120</v>
      </c>
      <c r="F24" s="3429"/>
      <c r="G24" s="3430">
        <v>23470</v>
      </c>
      <c r="L24" s="3432" t="s">
        <v>2831</v>
      </c>
      <c r="M24" s="3423" t="s">
        <v>1130</v>
      </c>
      <c r="N24" s="3423" t="s">
        <v>1131</v>
      </c>
      <c r="O24" s="3423" t="s">
        <v>2861</v>
      </c>
      <c r="P24" s="3423" t="s">
        <v>1134</v>
      </c>
      <c r="Q24" s="3423" t="s">
        <v>2936</v>
      </c>
      <c r="R24" s="3423" t="s">
        <v>2964</v>
      </c>
      <c r="S24" s="3423" t="s">
        <v>3002</v>
      </c>
    </row>
    <row r="25" spans="1:20" ht="14.25" customHeight="1">
      <c r="A25" s="3423" t="s">
        <v>1031</v>
      </c>
      <c r="B25" s="1289" t="s">
        <v>1083</v>
      </c>
      <c r="C25" s="3423">
        <v>32230</v>
      </c>
      <c r="D25" s="3423">
        <v>29640</v>
      </c>
      <c r="E25" s="3423">
        <v>29510</v>
      </c>
      <c r="F25" s="3429"/>
      <c r="G25" s="3430">
        <v>21560</v>
      </c>
      <c r="L25" s="3432" t="s">
        <v>2832</v>
      </c>
      <c r="M25" s="3423" t="s">
        <v>2835</v>
      </c>
      <c r="N25" s="3423" t="s">
        <v>1133</v>
      </c>
      <c r="O25" s="3423" t="s">
        <v>1141</v>
      </c>
      <c r="P25" s="3423" t="s">
        <v>1137</v>
      </c>
      <c r="Q25" s="3423" t="s">
        <v>1124</v>
      </c>
      <c r="R25" s="3423" t="s">
        <v>1119</v>
      </c>
      <c r="S25" s="3423" t="s">
        <v>3003</v>
      </c>
    </row>
    <row r="26" spans="1:20" ht="14.25" customHeight="1">
      <c r="A26" s="3423" t="s">
        <v>1031</v>
      </c>
      <c r="B26" s="1289" t="s">
        <v>1092</v>
      </c>
      <c r="C26" s="3423">
        <v>31690</v>
      </c>
      <c r="D26" s="3423">
        <v>27650</v>
      </c>
      <c r="E26" s="3423">
        <v>28200</v>
      </c>
      <c r="F26" s="3429"/>
      <c r="G26" s="3430">
        <v>20110</v>
      </c>
      <c r="L26" s="3432" t="s">
        <v>2833</v>
      </c>
      <c r="M26" s="3423" t="s">
        <v>2836</v>
      </c>
      <c r="N26" s="3423" t="s">
        <v>1136</v>
      </c>
      <c r="O26" s="3423" t="s">
        <v>1143</v>
      </c>
      <c r="P26" s="3423" t="s">
        <v>2908</v>
      </c>
      <c r="Q26" s="3423" t="s">
        <v>2937</v>
      </c>
      <c r="R26" s="3423" t="s">
        <v>1125</v>
      </c>
      <c r="S26" s="3423" t="s">
        <v>3004</v>
      </c>
    </row>
    <row r="27" spans="1:20" ht="14.25" customHeight="1">
      <c r="A27" s="3423" t="s">
        <v>1031</v>
      </c>
      <c r="B27" s="1289" t="s">
        <v>1099</v>
      </c>
      <c r="C27" s="3423">
        <v>29610</v>
      </c>
      <c r="D27" s="3423">
        <v>27770</v>
      </c>
      <c r="E27" s="3423">
        <v>28300</v>
      </c>
      <c r="F27" s="3429"/>
      <c r="G27" s="3430">
        <v>20210</v>
      </c>
      <c r="M27" s="3423" t="s">
        <v>2837</v>
      </c>
      <c r="N27" s="3423" t="s">
        <v>1140</v>
      </c>
      <c r="O27" s="3423" t="s">
        <v>1146</v>
      </c>
      <c r="P27" s="3423" t="s">
        <v>1123</v>
      </c>
      <c r="Q27" s="3423" t="s">
        <v>2938</v>
      </c>
      <c r="R27" s="3423" t="s">
        <v>2965</v>
      </c>
      <c r="S27" s="3423" t="s">
        <v>3005</v>
      </c>
    </row>
    <row r="28" spans="1:20" ht="14.25" customHeight="1">
      <c r="A28" s="3437" t="s">
        <v>1031</v>
      </c>
      <c r="B28" s="2601" t="s">
        <v>1107</v>
      </c>
      <c r="C28" s="1287"/>
      <c r="D28" s="1287">
        <v>31520</v>
      </c>
      <c r="E28" s="1287">
        <v>31410</v>
      </c>
      <c r="F28" s="3434"/>
      <c r="G28" s="3435">
        <v>22940</v>
      </c>
      <c r="M28" s="3423" t="s">
        <v>2838</v>
      </c>
      <c r="N28" s="3423" t="s">
        <v>2845</v>
      </c>
      <c r="O28" s="3423" t="s">
        <v>2862</v>
      </c>
      <c r="P28" s="3423" t="s">
        <v>2909</v>
      </c>
      <c r="Q28" s="3423" t="s">
        <v>2939</v>
      </c>
      <c r="R28" s="3423" t="s">
        <v>2966</v>
      </c>
      <c r="S28" s="3432" t="s">
        <v>3006</v>
      </c>
    </row>
    <row r="29" spans="1:20" ht="14.25" customHeight="1" thickBot="1">
      <c r="A29" s="3438" t="s">
        <v>1031</v>
      </c>
      <c r="B29" s="3426" t="s">
        <v>2827</v>
      </c>
      <c r="C29" s="3426"/>
      <c r="D29" s="3426">
        <v>29460</v>
      </c>
      <c r="E29" s="3426">
        <v>28640</v>
      </c>
      <c r="F29" s="3427"/>
      <c r="G29" s="3439">
        <v>21430</v>
      </c>
      <c r="M29" s="3432" t="s">
        <v>2839</v>
      </c>
      <c r="N29" s="3423" t="s">
        <v>2846</v>
      </c>
      <c r="O29" s="3423" t="s">
        <v>2863</v>
      </c>
      <c r="P29" s="3423" t="s">
        <v>2910</v>
      </c>
      <c r="Q29" s="3423" t="s">
        <v>2940</v>
      </c>
      <c r="R29" s="3423" t="s">
        <v>2967</v>
      </c>
      <c r="S29" s="3432" t="s">
        <v>1129</v>
      </c>
    </row>
    <row r="30" spans="1:20" ht="14.25" customHeight="1">
      <c r="A30" s="3437" t="s">
        <v>1145</v>
      </c>
      <c r="B30" s="1289" t="s">
        <v>2828</v>
      </c>
      <c r="C30" s="1289">
        <v>26890</v>
      </c>
      <c r="D30" s="1289">
        <v>26770</v>
      </c>
      <c r="E30" s="1289">
        <v>25700</v>
      </c>
      <c r="F30" s="3424">
        <v>8180</v>
      </c>
      <c r="G30" s="3424">
        <v>18740</v>
      </c>
      <c r="I30" s="1022"/>
      <c r="M30" s="3432" t="s">
        <v>2840</v>
      </c>
      <c r="N30" s="3423" t="s">
        <v>2847</v>
      </c>
      <c r="O30" s="3423" t="s">
        <v>2864</v>
      </c>
      <c r="P30" s="3423" t="s">
        <v>2911</v>
      </c>
      <c r="Q30" s="3423" t="s">
        <v>2941</v>
      </c>
      <c r="R30" s="3423" t="s">
        <v>2968</v>
      </c>
      <c r="S30" s="3432" t="s">
        <v>3007</v>
      </c>
    </row>
    <row r="31" spans="1:20" ht="14.25" customHeight="1">
      <c r="A31" s="3423" t="s">
        <v>1145</v>
      </c>
      <c r="B31" s="1289" t="s">
        <v>974</v>
      </c>
      <c r="C31" s="3423">
        <v>24550</v>
      </c>
      <c r="D31" s="3423">
        <v>23990</v>
      </c>
      <c r="E31" s="3423">
        <v>22930</v>
      </c>
      <c r="F31" s="3429">
        <v>7470</v>
      </c>
      <c r="G31" s="3429">
        <v>16790</v>
      </c>
      <c r="I31" s="1022"/>
      <c r="M31" s="3432" t="s">
        <v>2841</v>
      </c>
      <c r="N31" s="3423" t="s">
        <v>2848</v>
      </c>
      <c r="O31" s="3423" t="s">
        <v>2865</v>
      </c>
      <c r="P31" s="3423" t="s">
        <v>2912</v>
      </c>
      <c r="Q31" s="3423" t="s">
        <v>2942</v>
      </c>
      <c r="R31" s="3423" t="s">
        <v>2969</v>
      </c>
      <c r="S31" s="3432" t="s">
        <v>3008</v>
      </c>
    </row>
    <row r="32" spans="1:20" ht="14.25" customHeight="1">
      <c r="A32" s="3423" t="s">
        <v>1145</v>
      </c>
      <c r="B32" s="1289" t="s">
        <v>984</v>
      </c>
      <c r="C32" s="3423">
        <v>27210</v>
      </c>
      <c r="D32" s="3423">
        <v>23240</v>
      </c>
      <c r="E32" s="3423">
        <v>23260</v>
      </c>
      <c r="F32" s="3429">
        <v>7130</v>
      </c>
      <c r="G32" s="3429">
        <v>16270</v>
      </c>
      <c r="I32" s="1022"/>
      <c r="M32" s="3432" t="s">
        <v>2842</v>
      </c>
      <c r="N32" s="3423" t="s">
        <v>2849</v>
      </c>
      <c r="O32" s="3423" t="s">
        <v>1149</v>
      </c>
      <c r="P32" s="3423" t="s">
        <v>2913</v>
      </c>
      <c r="Q32" s="3423" t="s">
        <v>1148</v>
      </c>
      <c r="R32" s="3423" t="s">
        <v>2970</v>
      </c>
      <c r="S32" s="3432" t="s">
        <v>3009</v>
      </c>
    </row>
    <row r="33" spans="1:18" ht="14.25" customHeight="1">
      <c r="A33" s="3423" t="s">
        <v>1145</v>
      </c>
      <c r="B33" s="1289" t="s">
        <v>993</v>
      </c>
      <c r="C33" s="3423">
        <v>27300</v>
      </c>
      <c r="D33" s="3423">
        <v>22980</v>
      </c>
      <c r="E33" s="3423">
        <v>24260</v>
      </c>
      <c r="F33" s="3429">
        <v>5860</v>
      </c>
      <c r="G33" s="3429">
        <v>16090</v>
      </c>
      <c r="I33" s="1022"/>
      <c r="M33" s="3432" t="s">
        <v>2843</v>
      </c>
      <c r="N33" s="3423" t="s">
        <v>2850</v>
      </c>
      <c r="O33" s="3423" t="s">
        <v>1150</v>
      </c>
      <c r="P33" s="3423" t="s">
        <v>2914</v>
      </c>
      <c r="Q33" s="3423" t="s">
        <v>2943</v>
      </c>
      <c r="R33" s="3423" t="s">
        <v>2971</v>
      </c>
    </row>
    <row r="34" spans="1:18" ht="14.25" customHeight="1">
      <c r="A34" s="3423" t="s">
        <v>1145</v>
      </c>
      <c r="B34" s="1289" t="s">
        <v>1003</v>
      </c>
      <c r="C34" s="3423">
        <v>23090</v>
      </c>
      <c r="D34" s="3423">
        <v>23390</v>
      </c>
      <c r="E34" s="3423">
        <v>23510</v>
      </c>
      <c r="F34" s="3429">
        <v>6700</v>
      </c>
      <c r="G34" s="3429">
        <v>16370</v>
      </c>
      <c r="I34" s="1022"/>
      <c r="N34" s="3423" t="s">
        <v>2851</v>
      </c>
      <c r="O34" s="3423" t="s">
        <v>1151</v>
      </c>
      <c r="P34" s="3423" t="s">
        <v>2915</v>
      </c>
      <c r="Q34" s="3423" t="s">
        <v>2944</v>
      </c>
      <c r="R34" s="3423" t="s">
        <v>2972</v>
      </c>
    </row>
    <row r="35" spans="1:18" ht="14.25" customHeight="1">
      <c r="A35" s="3423" t="s">
        <v>1145</v>
      </c>
      <c r="B35" s="1289" t="s">
        <v>1010</v>
      </c>
      <c r="C35" s="3423">
        <v>27270</v>
      </c>
      <c r="D35" s="3423">
        <v>24270</v>
      </c>
      <c r="E35" s="3423">
        <v>24950</v>
      </c>
      <c r="F35" s="3429">
        <v>6600</v>
      </c>
      <c r="G35" s="3429">
        <v>16990</v>
      </c>
      <c r="I35" s="1022"/>
      <c r="N35" s="3423" t="s">
        <v>2852</v>
      </c>
      <c r="O35" s="3423" t="s">
        <v>2866</v>
      </c>
      <c r="P35" s="3423" t="s">
        <v>2916</v>
      </c>
      <c r="Q35" s="3423" t="s">
        <v>2945</v>
      </c>
      <c r="R35" s="3423" t="s">
        <v>2973</v>
      </c>
    </row>
    <row r="36" spans="1:18" ht="14.25" customHeight="1">
      <c r="A36" s="3423" t="s">
        <v>1145</v>
      </c>
      <c r="B36" s="1289" t="s">
        <v>1016</v>
      </c>
      <c r="C36" s="3423">
        <v>23490</v>
      </c>
      <c r="D36" s="3423">
        <v>23020</v>
      </c>
      <c r="E36" s="3423">
        <v>25230</v>
      </c>
      <c r="F36" s="3429">
        <v>6780</v>
      </c>
      <c r="G36" s="3429">
        <v>16120</v>
      </c>
      <c r="I36" s="1022"/>
      <c r="N36" s="3432" t="s">
        <v>2853</v>
      </c>
      <c r="O36" s="3460" t="s">
        <v>2867</v>
      </c>
      <c r="P36" s="3423" t="s">
        <v>2917</v>
      </c>
      <c r="Q36" s="3423" t="s">
        <v>2946</v>
      </c>
      <c r="R36" s="3423" t="s">
        <v>2974</v>
      </c>
    </row>
    <row r="37" spans="1:18" ht="14.25" customHeight="1">
      <c r="A37" s="3423" t="s">
        <v>1145</v>
      </c>
      <c r="B37" s="1289" t="s">
        <v>1023</v>
      </c>
      <c r="C37" s="3423">
        <v>24380</v>
      </c>
      <c r="D37" s="3423">
        <v>22240</v>
      </c>
      <c r="E37" s="3423">
        <v>25980</v>
      </c>
      <c r="F37" s="3429">
        <v>8160</v>
      </c>
      <c r="G37" s="3429">
        <v>15570</v>
      </c>
      <c r="I37" s="1023"/>
      <c r="N37" s="3432" t="s">
        <v>2854</v>
      </c>
      <c r="O37" s="3460" t="s">
        <v>2868</v>
      </c>
      <c r="P37" s="3423" t="s">
        <v>2918</v>
      </c>
      <c r="Q37" s="3423" t="s">
        <v>2947</v>
      </c>
      <c r="R37" s="3423" t="s">
        <v>2975</v>
      </c>
    </row>
    <row r="38" spans="1:18" ht="14.25" customHeight="1">
      <c r="A38" s="3423" t="s">
        <v>1145</v>
      </c>
      <c r="B38" s="1289" t="s">
        <v>1033</v>
      </c>
      <c r="C38" s="3423">
        <v>23120</v>
      </c>
      <c r="D38" s="3423">
        <v>24630</v>
      </c>
      <c r="E38" s="3423">
        <v>25030</v>
      </c>
      <c r="F38" s="3429">
        <v>7710</v>
      </c>
      <c r="G38" s="3429">
        <v>17240</v>
      </c>
      <c r="I38" s="1024"/>
      <c r="N38" s="3432" t="s">
        <v>2855</v>
      </c>
      <c r="O38" s="3460" t="s">
        <v>2869</v>
      </c>
      <c r="P38" s="3423" t="s">
        <v>2919</v>
      </c>
      <c r="Q38" s="3423" t="s">
        <v>2948</v>
      </c>
      <c r="R38" s="3423" t="s">
        <v>2976</v>
      </c>
    </row>
    <row r="39" spans="1:18" ht="14.25" customHeight="1">
      <c r="A39" s="3423" t="s">
        <v>1145</v>
      </c>
      <c r="B39" s="1289" t="s">
        <v>1042</v>
      </c>
      <c r="C39" s="3423">
        <v>22330</v>
      </c>
      <c r="D39" s="3423">
        <v>21140</v>
      </c>
      <c r="E39" s="3423">
        <v>23970</v>
      </c>
      <c r="F39" s="3429">
        <v>7940</v>
      </c>
      <c r="G39" s="3429">
        <v>14790</v>
      </c>
      <c r="I39" s="1024"/>
      <c r="N39" s="3432" t="s">
        <v>2856</v>
      </c>
      <c r="O39" s="3460" t="s">
        <v>2870</v>
      </c>
      <c r="P39" s="3423" t="s">
        <v>2920</v>
      </c>
      <c r="Q39" s="3423" t="s">
        <v>2949</v>
      </c>
      <c r="R39" s="3423" t="s">
        <v>2977</v>
      </c>
    </row>
    <row r="40" spans="1:18" ht="14.25" customHeight="1">
      <c r="A40" s="3423" t="s">
        <v>1145</v>
      </c>
      <c r="B40" s="1289" t="s">
        <v>1049</v>
      </c>
      <c r="C40" s="3423">
        <v>24740</v>
      </c>
      <c r="D40" s="3423">
        <v>24690</v>
      </c>
      <c r="E40" s="3423">
        <v>22610</v>
      </c>
      <c r="F40" s="3429"/>
      <c r="G40" s="3429">
        <v>17280</v>
      </c>
      <c r="I40" s="1024"/>
      <c r="N40" s="3432" t="s">
        <v>2857</v>
      </c>
      <c r="O40" s="3460" t="s">
        <v>2871</v>
      </c>
      <c r="P40" s="3423" t="s">
        <v>2921</v>
      </c>
      <c r="Q40" s="3423" t="s">
        <v>2950</v>
      </c>
      <c r="R40" s="3423" t="s">
        <v>2978</v>
      </c>
    </row>
    <row r="41" spans="1:18" ht="14.25" customHeight="1">
      <c r="A41" s="3423" t="s">
        <v>1145</v>
      </c>
      <c r="B41" s="1289" t="s">
        <v>1056</v>
      </c>
      <c r="C41" s="3423">
        <v>21220</v>
      </c>
      <c r="D41" s="3423">
        <v>21120</v>
      </c>
      <c r="E41" s="3423">
        <v>22590</v>
      </c>
      <c r="F41" s="3429"/>
      <c r="G41" s="3429">
        <v>14780</v>
      </c>
      <c r="I41" s="1024"/>
      <c r="N41" s="3432" t="s">
        <v>2858</v>
      </c>
      <c r="O41" s="3461" t="s">
        <v>2872</v>
      </c>
      <c r="P41" s="1289" t="s">
        <v>2922</v>
      </c>
      <c r="Q41" s="3432" t="s">
        <v>2951</v>
      </c>
      <c r="R41" s="1289" t="s">
        <v>2979</v>
      </c>
    </row>
    <row r="42" spans="1:18" ht="14.25" customHeight="1">
      <c r="A42" s="3423" t="s">
        <v>1145</v>
      </c>
      <c r="B42" s="1289" t="s">
        <v>1063</v>
      </c>
      <c r="C42" s="3423">
        <v>24800</v>
      </c>
      <c r="D42" s="3423">
        <v>22280</v>
      </c>
      <c r="E42" s="3423">
        <v>24350</v>
      </c>
      <c r="F42" s="3429"/>
      <c r="G42" s="3429">
        <v>15590</v>
      </c>
      <c r="I42" s="1024"/>
      <c r="O42" s="3423" t="s">
        <v>2873</v>
      </c>
      <c r="P42" s="3423" t="s">
        <v>2923</v>
      </c>
      <c r="Q42" s="3432" t="s">
        <v>2952</v>
      </c>
      <c r="R42" s="3423" t="s">
        <v>2980</v>
      </c>
    </row>
    <row r="43" spans="1:18" ht="14.25" customHeight="1">
      <c r="A43" s="3423" t="s">
        <v>1145</v>
      </c>
      <c r="B43" s="1289" t="s">
        <v>1071</v>
      </c>
      <c r="C43" s="3423">
        <v>21210</v>
      </c>
      <c r="D43" s="3423">
        <v>21160</v>
      </c>
      <c r="E43" s="3423">
        <v>22650</v>
      </c>
      <c r="F43" s="3429"/>
      <c r="G43" s="3429">
        <v>14800</v>
      </c>
      <c r="I43" s="1024"/>
      <c r="O43" s="3423" t="s">
        <v>2874</v>
      </c>
      <c r="P43" s="3423" t="s">
        <v>2924</v>
      </c>
      <c r="Q43" s="3432" t="s">
        <v>2953</v>
      </c>
      <c r="R43" s="3423" t="s">
        <v>2981</v>
      </c>
    </row>
    <row r="44" spans="1:18" ht="14.25" customHeight="1">
      <c r="A44" s="3423" t="s">
        <v>1145</v>
      </c>
      <c r="B44" s="1289" t="s">
        <v>1079</v>
      </c>
      <c r="C44" s="3423">
        <v>22370</v>
      </c>
      <c r="D44" s="3423">
        <v>23140</v>
      </c>
      <c r="E44" s="3423">
        <v>25090</v>
      </c>
      <c r="F44" s="3429"/>
      <c r="G44" s="3429">
        <v>16190</v>
      </c>
      <c r="I44" s="1024"/>
      <c r="O44" s="3423" t="s">
        <v>2875</v>
      </c>
      <c r="P44" s="3423" t="s">
        <v>2925</v>
      </c>
      <c r="Q44" s="3432" t="s">
        <v>2954</v>
      </c>
      <c r="R44" s="3423" t="s">
        <v>2982</v>
      </c>
    </row>
    <row r="45" spans="1:18" ht="14.25" customHeight="1">
      <c r="A45" s="3423" t="s">
        <v>1145</v>
      </c>
      <c r="B45" s="1289" t="s">
        <v>1084</v>
      </c>
      <c r="C45" s="3423">
        <v>21240</v>
      </c>
      <c r="D45" s="3423">
        <v>27050</v>
      </c>
      <c r="E45" s="3423">
        <v>28000</v>
      </c>
      <c r="F45" s="3429"/>
      <c r="G45" s="3429">
        <v>18940</v>
      </c>
      <c r="I45" s="1022"/>
      <c r="O45" s="3423" t="s">
        <v>2876</v>
      </c>
      <c r="P45" s="3423" t="s">
        <v>2926</v>
      </c>
      <c r="R45" s="3423" t="s">
        <v>2983</v>
      </c>
    </row>
    <row r="46" spans="1:18" ht="14.25" customHeight="1">
      <c r="A46" s="3423" t="s">
        <v>1145</v>
      </c>
      <c r="B46" s="1289" t="s">
        <v>1093</v>
      </c>
      <c r="C46" s="3423">
        <v>23240</v>
      </c>
      <c r="D46" s="3423">
        <v>23000</v>
      </c>
      <c r="E46" s="3423">
        <v>24980</v>
      </c>
      <c r="F46" s="3429"/>
      <c r="G46" s="3429">
        <v>16100</v>
      </c>
      <c r="I46" s="1024"/>
      <c r="O46" s="3423" t="s">
        <v>2877</v>
      </c>
      <c r="P46" s="3423"/>
      <c r="R46" s="3423" t="s">
        <v>2984</v>
      </c>
    </row>
    <row r="47" spans="1:18" ht="14.25" customHeight="1">
      <c r="A47" s="3423" t="s">
        <v>1145</v>
      </c>
      <c r="B47" s="2601" t="s">
        <v>1100</v>
      </c>
      <c r="C47" s="1287">
        <v>27150</v>
      </c>
      <c r="D47" s="1287">
        <v>23310</v>
      </c>
      <c r="E47" s="1287">
        <v>25150</v>
      </c>
      <c r="F47" s="3434"/>
      <c r="G47" s="3434">
        <v>16310</v>
      </c>
      <c r="I47" s="1024"/>
      <c r="O47" s="3423" t="s">
        <v>2878</v>
      </c>
      <c r="P47" s="3423"/>
      <c r="R47" s="3432" t="s">
        <v>2985</v>
      </c>
    </row>
    <row r="48" spans="1:18" ht="14.25" customHeight="1">
      <c r="A48" s="3423" t="s">
        <v>1145</v>
      </c>
      <c r="B48" s="3423" t="s">
        <v>1108</v>
      </c>
      <c r="C48" s="3423">
        <v>23100</v>
      </c>
      <c r="D48" s="3423">
        <v>21110</v>
      </c>
      <c r="E48" s="3423">
        <v>23080</v>
      </c>
      <c r="F48" s="3429"/>
      <c r="G48" s="3436">
        <v>14780</v>
      </c>
      <c r="I48" s="1022"/>
      <c r="O48" s="3423" t="s">
        <v>2879</v>
      </c>
      <c r="P48" s="3423"/>
      <c r="R48" s="3432" t="s">
        <v>2986</v>
      </c>
    </row>
    <row r="49" spans="1:18" ht="14.25" customHeight="1">
      <c r="A49" s="3423" t="s">
        <v>1145</v>
      </c>
      <c r="B49" s="1289" t="s">
        <v>1115</v>
      </c>
      <c r="C49" s="1289">
        <v>23400</v>
      </c>
      <c r="D49" s="1289">
        <v>22920</v>
      </c>
      <c r="E49" s="1289">
        <v>24900</v>
      </c>
      <c r="F49" s="3424"/>
      <c r="G49" s="3424">
        <v>16040</v>
      </c>
      <c r="I49" s="1024"/>
      <c r="O49" s="3423" t="s">
        <v>2880</v>
      </c>
      <c r="P49" s="3423"/>
      <c r="R49" s="3432" t="s">
        <v>2987</v>
      </c>
    </row>
    <row r="50" spans="1:18" ht="14.25" customHeight="1">
      <c r="A50" s="3423" t="s">
        <v>1145</v>
      </c>
      <c r="B50" s="3423" t="s">
        <v>2829</v>
      </c>
      <c r="C50" s="3423">
        <v>21200</v>
      </c>
      <c r="D50" s="3423">
        <v>26540</v>
      </c>
      <c r="E50" s="3423">
        <v>23200</v>
      </c>
      <c r="F50" s="3429"/>
      <c r="G50" s="3429">
        <v>18580</v>
      </c>
      <c r="I50" s="1024"/>
      <c r="O50" s="3432" t="s">
        <v>2881</v>
      </c>
      <c r="R50" s="3432" t="s">
        <v>2988</v>
      </c>
    </row>
    <row r="51" spans="1:18" ht="14.25" customHeight="1">
      <c r="A51" s="3423" t="s">
        <v>1145</v>
      </c>
      <c r="B51" s="3423" t="s">
        <v>2830</v>
      </c>
      <c r="C51" s="3423">
        <v>23000</v>
      </c>
      <c r="D51" s="3423">
        <v>23460</v>
      </c>
      <c r="E51" s="3423">
        <v>25290</v>
      </c>
      <c r="F51" s="3429"/>
      <c r="G51" s="3429">
        <v>16420</v>
      </c>
      <c r="I51" s="1024"/>
      <c r="O51" s="3432" t="s">
        <v>2882</v>
      </c>
      <c r="R51" s="3432" t="s">
        <v>2989</v>
      </c>
    </row>
    <row r="52" spans="1:18" ht="14.25" customHeight="1">
      <c r="A52" s="3423" t="s">
        <v>1145</v>
      </c>
      <c r="B52" s="3423" t="s">
        <v>2831</v>
      </c>
      <c r="C52" s="3423">
        <v>26660</v>
      </c>
      <c r="D52" s="3423">
        <v>22350</v>
      </c>
      <c r="E52" s="3423">
        <v>22920</v>
      </c>
      <c r="F52" s="3429"/>
      <c r="G52" s="3429">
        <v>15640</v>
      </c>
      <c r="I52" s="1024"/>
      <c r="O52" s="3432" t="s">
        <v>2883</v>
      </c>
    </row>
    <row r="53" spans="1:18" ht="14.25" customHeight="1">
      <c r="A53" s="3423" t="s">
        <v>1145</v>
      </c>
      <c r="B53" s="3423" t="s">
        <v>2832</v>
      </c>
      <c r="C53" s="3423">
        <v>23580</v>
      </c>
      <c r="D53" s="3423"/>
      <c r="E53" s="3423">
        <v>24280</v>
      </c>
      <c r="F53" s="3429"/>
      <c r="G53" s="3429"/>
      <c r="I53" s="1024"/>
      <c r="O53" s="3432" t="s">
        <v>2884</v>
      </c>
    </row>
    <row r="54" spans="1:18" ht="14.25" customHeight="1" thickBot="1">
      <c r="A54" s="3438" t="s">
        <v>1145</v>
      </c>
      <c r="B54" s="3426" t="s">
        <v>2833</v>
      </c>
      <c r="C54" s="3426">
        <v>22460</v>
      </c>
      <c r="D54" s="3426"/>
      <c r="E54" s="3426"/>
      <c r="F54" s="3427"/>
      <c r="G54" s="3439"/>
      <c r="I54" s="1024"/>
      <c r="O54" s="3432" t="s">
        <v>2885</v>
      </c>
    </row>
    <row r="55" spans="1:18" ht="14.25" customHeight="1">
      <c r="A55" s="3437" t="s">
        <v>853</v>
      </c>
      <c r="B55" s="1289" t="s">
        <v>2834</v>
      </c>
      <c r="C55" s="1289">
        <v>21970</v>
      </c>
      <c r="D55" s="1289">
        <v>20370</v>
      </c>
      <c r="E55" s="1289">
        <v>20180</v>
      </c>
      <c r="F55" s="3424">
        <v>5730</v>
      </c>
      <c r="G55" s="3424">
        <v>13820</v>
      </c>
      <c r="I55" s="1024"/>
      <c r="O55" s="3432" t="s">
        <v>2886</v>
      </c>
    </row>
    <row r="56" spans="1:18" ht="14.25" customHeight="1">
      <c r="A56" s="3423" t="s">
        <v>853</v>
      </c>
      <c r="B56" s="3423" t="s">
        <v>975</v>
      </c>
      <c r="C56" s="3423">
        <v>20470</v>
      </c>
      <c r="D56" s="3423">
        <v>20700</v>
      </c>
      <c r="E56" s="3423">
        <v>20380</v>
      </c>
      <c r="F56" s="3429">
        <v>4760</v>
      </c>
      <c r="G56" s="3429">
        <v>14050</v>
      </c>
      <c r="I56" s="1024"/>
      <c r="O56" s="3432" t="s">
        <v>2887</v>
      </c>
    </row>
    <row r="57" spans="1:18" ht="14.25" customHeight="1">
      <c r="A57" s="3423" t="s">
        <v>853</v>
      </c>
      <c r="B57" s="3423" t="s">
        <v>985</v>
      </c>
      <c r="C57" s="3423">
        <v>20790</v>
      </c>
      <c r="D57" s="3423">
        <v>21370</v>
      </c>
      <c r="E57" s="3423">
        <v>20890</v>
      </c>
      <c r="F57" s="3429">
        <v>4910</v>
      </c>
      <c r="G57" s="3429">
        <v>14510</v>
      </c>
      <c r="I57" s="1024"/>
      <c r="O57" s="3432" t="s">
        <v>2888</v>
      </c>
    </row>
    <row r="58" spans="1:18" ht="14.25" customHeight="1">
      <c r="A58" s="3423" t="s">
        <v>853</v>
      </c>
      <c r="B58" s="3423" t="s">
        <v>994</v>
      </c>
      <c r="C58" s="3423">
        <v>21460</v>
      </c>
      <c r="D58" s="3423">
        <v>20920</v>
      </c>
      <c r="E58" s="3423">
        <v>23410</v>
      </c>
      <c r="F58" s="3429">
        <v>5100</v>
      </c>
      <c r="G58" s="3429">
        <v>14200</v>
      </c>
      <c r="I58" s="1024"/>
      <c r="O58" s="3432" t="s">
        <v>2889</v>
      </c>
    </row>
    <row r="59" spans="1:18" ht="14.25" customHeight="1">
      <c r="A59" s="3423" t="s">
        <v>853</v>
      </c>
      <c r="B59" s="3423" t="s">
        <v>1004</v>
      </c>
      <c r="C59" s="3423">
        <v>21000</v>
      </c>
      <c r="D59" s="3423">
        <v>21550</v>
      </c>
      <c r="E59" s="3423">
        <v>21150</v>
      </c>
      <c r="F59" s="3429">
        <v>5250</v>
      </c>
      <c r="G59" s="3429">
        <v>14630</v>
      </c>
      <c r="I59" s="1024"/>
      <c r="O59" s="3432" t="s">
        <v>2890</v>
      </c>
    </row>
    <row r="60" spans="1:18" ht="14.25" customHeight="1">
      <c r="A60" s="3423" t="s">
        <v>853</v>
      </c>
      <c r="B60" s="3423" t="s">
        <v>1011</v>
      </c>
      <c r="C60" s="3423">
        <v>21640</v>
      </c>
      <c r="D60" s="3423">
        <v>21260</v>
      </c>
      <c r="E60" s="3423">
        <v>24040</v>
      </c>
      <c r="F60" s="3429">
        <v>4470</v>
      </c>
      <c r="G60" s="3429">
        <v>14430</v>
      </c>
      <c r="I60" s="1024"/>
      <c r="O60" s="3432" t="s">
        <v>2891</v>
      </c>
    </row>
    <row r="61" spans="1:18" ht="14.25" customHeight="1">
      <c r="A61" s="3423" t="s">
        <v>853</v>
      </c>
      <c r="B61" s="3423" t="s">
        <v>1017</v>
      </c>
      <c r="C61" s="3423">
        <v>21330</v>
      </c>
      <c r="D61" s="3423">
        <v>18640</v>
      </c>
      <c r="E61" s="3423">
        <v>21190</v>
      </c>
      <c r="F61" s="3429">
        <v>4180</v>
      </c>
      <c r="G61" s="3431">
        <v>12650</v>
      </c>
      <c r="I61" s="1024"/>
      <c r="O61" s="3432" t="s">
        <v>2892</v>
      </c>
    </row>
    <row r="62" spans="1:18" ht="14.25" customHeight="1">
      <c r="A62" s="3423" t="s">
        <v>853</v>
      </c>
      <c r="B62" s="3423" t="s">
        <v>1024</v>
      </c>
      <c r="C62" s="3423">
        <v>18710</v>
      </c>
      <c r="D62" s="3423">
        <v>19400</v>
      </c>
      <c r="E62" s="3423">
        <v>23750</v>
      </c>
      <c r="F62" s="3429">
        <v>4860</v>
      </c>
      <c r="G62" s="3431">
        <v>13170</v>
      </c>
      <c r="I62" s="1024"/>
      <c r="O62" s="3432" t="s">
        <v>2893</v>
      </c>
    </row>
    <row r="63" spans="1:18" ht="14.25" customHeight="1">
      <c r="A63" s="3423" t="s">
        <v>853</v>
      </c>
      <c r="B63" s="3423" t="s">
        <v>1034</v>
      </c>
      <c r="C63" s="3423">
        <v>19480</v>
      </c>
      <c r="D63" s="3423">
        <v>16830</v>
      </c>
      <c r="E63" s="3423">
        <v>21590</v>
      </c>
      <c r="F63" s="3429">
        <v>4560</v>
      </c>
      <c r="G63" s="3431">
        <v>11420</v>
      </c>
      <c r="I63" s="1024"/>
      <c r="O63" s="3432" t="s">
        <v>2894</v>
      </c>
    </row>
    <row r="64" spans="1:18" ht="14.25" customHeight="1">
      <c r="A64" s="3423" t="s">
        <v>853</v>
      </c>
      <c r="B64" s="3423" t="s">
        <v>1043</v>
      </c>
      <c r="C64" s="3423">
        <v>16920</v>
      </c>
      <c r="D64" s="3423">
        <v>19190</v>
      </c>
      <c r="E64" s="3423">
        <v>22200</v>
      </c>
      <c r="F64" s="3429">
        <v>4390</v>
      </c>
      <c r="G64" s="3431">
        <v>13030</v>
      </c>
      <c r="I64" s="1024"/>
      <c r="O64" s="3432" t="s">
        <v>2895</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2835</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2836</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2837</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2838</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2839</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2840</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2841</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2842</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2843</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2844</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2845</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2846</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2847</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2848</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2849</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2850</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2851</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2852</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2853</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2854</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2855</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2856</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2857</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2858</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2859</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2860</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2861</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2862</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2863</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2864</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2865</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2866</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2867</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2868</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2869</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2870</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2871</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2872</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2873</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2874</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2875</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2876</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2877</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2878</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2879</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2880</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2881</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2882</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2883</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2884</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2885</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2886</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2887</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2888</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2889</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2890</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2891</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2892</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2893</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2894</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2895</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2896</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2897</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2898</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2899</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2900</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2901</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2902</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2903</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2904</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2905</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2906</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2907</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2908</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2909</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2910</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2911</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2912</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2913</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2914</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2915</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2916</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2917</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2918</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2919</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2920</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2921</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2922</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2923</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2924</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2925</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2926</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2927</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2928</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2929</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2930</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2931</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2932</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2933</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2934</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2935</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2936</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2937</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2938</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2939</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2940</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2941</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2942</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2943</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2944</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2945</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2946</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2947</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2948</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2949</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2950</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2951</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2952</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2953</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2954</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2955</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2956</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2957</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2958</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2959</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2960</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2961</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2962</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2963</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2964</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2965</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2966</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2967</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2968</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2969</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2970</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2971</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2972</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2973</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2974</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2975</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2976</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2977</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2978</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2979</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2980</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2981</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2982</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2983</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2984</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2985</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2986</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2987</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2988</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2989</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2990</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2991</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2992</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2993</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2994</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2995</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2996</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2997</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2998</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2999</v>
      </c>
      <c r="C345" s="3432">
        <v>3190</v>
      </c>
      <c r="D345" s="3432">
        <v>3140</v>
      </c>
      <c r="E345" s="3432">
        <v>3450</v>
      </c>
      <c r="F345" s="3432">
        <v>720</v>
      </c>
      <c r="G345" s="3432">
        <v>1880</v>
      </c>
      <c r="H345" s="3445"/>
    </row>
    <row r="346" spans="1:21">
      <c r="A346" s="3432" t="s">
        <v>1157</v>
      </c>
      <c r="B346" s="3432" t="s">
        <v>3000</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3001</v>
      </c>
      <c r="C348" s="3432">
        <v>4000</v>
      </c>
      <c r="D348" s="3432">
        <v>3950</v>
      </c>
      <c r="E348" s="3432">
        <v>4430</v>
      </c>
      <c r="F348" s="3432">
        <v>760</v>
      </c>
      <c r="G348" s="3432">
        <v>2360</v>
      </c>
      <c r="H348" s="3445"/>
    </row>
    <row r="349" spans="1:21">
      <c r="A349" s="3432" t="s">
        <v>1157</v>
      </c>
      <c r="B349" s="3432" t="s">
        <v>3002</v>
      </c>
      <c r="C349" s="3432">
        <v>3820</v>
      </c>
      <c r="D349" s="3432">
        <v>3780</v>
      </c>
      <c r="E349" s="3432">
        <v>4170</v>
      </c>
      <c r="F349" s="3432">
        <v>710</v>
      </c>
      <c r="G349" s="3432">
        <v>2260</v>
      </c>
      <c r="H349" s="3445"/>
    </row>
    <row r="350" spans="1:21">
      <c r="A350" s="3432" t="s">
        <v>1157</v>
      </c>
      <c r="B350" s="3432" t="s">
        <v>3003</v>
      </c>
      <c r="C350" s="3432">
        <v>3760</v>
      </c>
      <c r="D350" s="3432">
        <v>3730</v>
      </c>
      <c r="E350" s="3432">
        <v>4100</v>
      </c>
      <c r="F350" s="3432">
        <v>800</v>
      </c>
      <c r="G350" s="3432">
        <v>2230</v>
      </c>
      <c r="H350" s="3445"/>
    </row>
    <row r="351" spans="1:21">
      <c r="A351" s="3432" t="s">
        <v>1157</v>
      </c>
      <c r="B351" s="3432" t="s">
        <v>3004</v>
      </c>
      <c r="C351" s="3432">
        <v>3610</v>
      </c>
      <c r="D351" s="3432">
        <v>3580</v>
      </c>
      <c r="E351" s="3432">
        <v>3930</v>
      </c>
      <c r="F351" s="3432">
        <v>700</v>
      </c>
      <c r="G351" s="3432">
        <v>2140</v>
      </c>
      <c r="H351" s="3445"/>
    </row>
    <row r="352" spans="1:21">
      <c r="A352" s="3432" t="s">
        <v>1157</v>
      </c>
      <c r="B352" s="3432" t="s">
        <v>3005</v>
      </c>
      <c r="C352" s="3432">
        <v>3670</v>
      </c>
      <c r="D352" s="3432">
        <v>3630</v>
      </c>
      <c r="E352" s="3432">
        <v>4000</v>
      </c>
      <c r="F352" s="3432">
        <v>750</v>
      </c>
      <c r="G352" s="3432">
        <v>2180</v>
      </c>
      <c r="H352" s="3445"/>
    </row>
    <row r="353" spans="1:8">
      <c r="A353" s="3432" t="s">
        <v>1157</v>
      </c>
      <c r="B353" s="3432" t="s">
        <v>3006</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3007</v>
      </c>
      <c r="C355" s="3432">
        <v>3650</v>
      </c>
      <c r="D355" s="3432">
        <v>3610</v>
      </c>
      <c r="E355" s="3432">
        <v>4200</v>
      </c>
      <c r="F355" s="3432">
        <v>640</v>
      </c>
      <c r="G355" s="3432">
        <v>2160</v>
      </c>
      <c r="H355" s="3445"/>
    </row>
    <row r="356" spans="1:8">
      <c r="A356" s="3432" t="s">
        <v>1157</v>
      </c>
      <c r="B356" s="3432" t="s">
        <v>3008</v>
      </c>
      <c r="C356" s="3432">
        <v>3260</v>
      </c>
      <c r="D356" s="3432">
        <v>3230</v>
      </c>
      <c r="E356" s="3432">
        <v>3740</v>
      </c>
      <c r="F356" s="3432">
        <v>600</v>
      </c>
      <c r="G356" s="3432">
        <v>1930</v>
      </c>
      <c r="H356" s="3445"/>
    </row>
    <row r="357" spans="1:8" ht="14.25" thickBot="1">
      <c r="A357" s="3448" t="s">
        <v>1157</v>
      </c>
      <c r="B357" s="3448" t="s">
        <v>3009</v>
      </c>
      <c r="C357" s="3448">
        <v>3690</v>
      </c>
      <c r="D357" s="3448">
        <v>3650</v>
      </c>
      <c r="E357" s="3448">
        <v>4020</v>
      </c>
      <c r="F357" s="3448">
        <v>700</v>
      </c>
      <c r="G357" s="3448">
        <v>2190</v>
      </c>
      <c r="H357" s="3445"/>
    </row>
    <row r="358" spans="1:8">
      <c r="A358" s="3449" t="s">
        <v>2765</v>
      </c>
      <c r="B358" s="3450" t="s">
        <v>3010</v>
      </c>
      <c r="C358" s="3450">
        <v>2080</v>
      </c>
      <c r="D358" s="3450">
        <v>2040</v>
      </c>
      <c r="E358" s="3450">
        <v>2010</v>
      </c>
      <c r="F358" s="3450">
        <v>530</v>
      </c>
      <c r="G358" s="3451">
        <v>1230</v>
      </c>
      <c r="H358" s="3445"/>
    </row>
    <row r="359" spans="1:8">
      <c r="A359" s="3452" t="s">
        <v>2765</v>
      </c>
      <c r="B359" s="3432" t="s">
        <v>3011</v>
      </c>
      <c r="C359" s="3432">
        <v>1850</v>
      </c>
      <c r="D359" s="3432">
        <v>1820</v>
      </c>
      <c r="E359" s="3432">
        <v>1780</v>
      </c>
      <c r="F359" s="3432">
        <v>520</v>
      </c>
      <c r="G359" s="3444">
        <v>1100</v>
      </c>
      <c r="H359" s="3445"/>
    </row>
    <row r="360" spans="1:8">
      <c r="A360" s="3452" t="s">
        <v>2765</v>
      </c>
      <c r="B360" s="3432" t="s">
        <v>3012</v>
      </c>
      <c r="C360" s="3432">
        <v>2020</v>
      </c>
      <c r="D360" s="3432">
        <v>1990</v>
      </c>
      <c r="E360" s="3432">
        <v>1950</v>
      </c>
      <c r="F360" s="3432">
        <v>500</v>
      </c>
      <c r="G360" s="3444">
        <v>1200</v>
      </c>
      <c r="H360" s="3445"/>
    </row>
    <row r="361" spans="1:8">
      <c r="A361" s="3452" t="s">
        <v>2765</v>
      </c>
      <c r="B361" s="3432" t="s">
        <v>999</v>
      </c>
      <c r="C361" s="3432">
        <v>2260</v>
      </c>
      <c r="D361" s="3432">
        <v>2220</v>
      </c>
      <c r="E361" s="3432">
        <v>2180</v>
      </c>
      <c r="F361" s="3432">
        <v>580</v>
      </c>
      <c r="G361" s="3444">
        <v>1340</v>
      </c>
      <c r="H361" s="3445"/>
    </row>
    <row r="362" spans="1:8">
      <c r="A362" s="3452" t="s">
        <v>2765</v>
      </c>
      <c r="B362" s="3432" t="s">
        <v>3013</v>
      </c>
      <c r="C362" s="3432">
        <v>2650</v>
      </c>
      <c r="D362" s="3432">
        <v>2610</v>
      </c>
      <c r="E362" s="3432">
        <v>2570</v>
      </c>
      <c r="F362" s="3432">
        <v>630</v>
      </c>
      <c r="G362" s="3444">
        <v>1570</v>
      </c>
      <c r="H362" s="3445"/>
    </row>
    <row r="363" spans="1:8">
      <c r="A363" s="3452" t="s">
        <v>2765</v>
      </c>
      <c r="B363" s="3432" t="s">
        <v>3014</v>
      </c>
      <c r="C363" s="3432">
        <v>2390</v>
      </c>
      <c r="D363" s="3432">
        <v>2360</v>
      </c>
      <c r="E363" s="3432">
        <v>2320</v>
      </c>
      <c r="F363" s="3432">
        <v>600</v>
      </c>
      <c r="G363" s="3444">
        <v>1420</v>
      </c>
      <c r="H363" s="3445"/>
    </row>
    <row r="364" spans="1:8">
      <c r="A364" s="3452" t="s">
        <v>2765</v>
      </c>
      <c r="B364" s="3432" t="s">
        <v>3015</v>
      </c>
      <c r="C364" s="3432">
        <v>2050</v>
      </c>
      <c r="D364" s="3432">
        <v>2030</v>
      </c>
      <c r="E364" s="3432">
        <v>1990</v>
      </c>
      <c r="F364" s="3432">
        <v>550</v>
      </c>
      <c r="G364" s="3444">
        <v>1220</v>
      </c>
      <c r="H364" s="3445"/>
    </row>
    <row r="365" spans="1:8">
      <c r="A365" s="3452" t="s">
        <v>2765</v>
      </c>
      <c r="B365" s="3432" t="s">
        <v>1047</v>
      </c>
      <c r="C365" s="3432">
        <v>2140</v>
      </c>
      <c r="D365" s="3432">
        <v>2100</v>
      </c>
      <c r="E365" s="3432">
        <v>2060</v>
      </c>
      <c r="F365" s="3432">
        <v>540</v>
      </c>
      <c r="G365" s="3444">
        <v>1270</v>
      </c>
      <c r="H365" s="3445"/>
    </row>
    <row r="366" spans="1:8">
      <c r="A366" s="3452" t="s">
        <v>2765</v>
      </c>
      <c r="B366" s="3432" t="s">
        <v>3016</v>
      </c>
      <c r="C366" s="3432">
        <v>2410</v>
      </c>
      <c r="D366" s="3432">
        <v>2370</v>
      </c>
      <c r="E366" s="3432">
        <v>2330</v>
      </c>
      <c r="F366" s="3432">
        <v>570</v>
      </c>
      <c r="G366" s="3444">
        <v>1440</v>
      </c>
      <c r="H366" s="3445"/>
    </row>
    <row r="367" spans="1:8">
      <c r="A367" s="3452" t="s">
        <v>2765</v>
      </c>
      <c r="B367" s="3432" t="s">
        <v>3017</v>
      </c>
      <c r="C367" s="3432">
        <v>2300</v>
      </c>
      <c r="D367" s="3432">
        <v>2260</v>
      </c>
      <c r="E367" s="3432">
        <v>2220</v>
      </c>
      <c r="F367" s="3432">
        <v>560</v>
      </c>
      <c r="G367" s="3444">
        <v>1370</v>
      </c>
      <c r="H367" s="3445"/>
    </row>
    <row r="368" spans="1:8">
      <c r="A368" s="3452" t="s">
        <v>2765</v>
      </c>
      <c r="B368" s="3432" t="s">
        <v>3018</v>
      </c>
      <c r="C368" s="3432">
        <v>2430</v>
      </c>
      <c r="D368" s="3432">
        <v>2390</v>
      </c>
      <c r="E368" s="3432">
        <v>2350</v>
      </c>
      <c r="F368" s="3432">
        <v>570</v>
      </c>
      <c r="G368" s="3444">
        <v>1450</v>
      </c>
      <c r="H368" s="3445"/>
    </row>
    <row r="369" spans="1:8">
      <c r="A369" s="3452" t="s">
        <v>2765</v>
      </c>
      <c r="B369" s="3432" t="s">
        <v>1061</v>
      </c>
      <c r="C369" s="3432">
        <v>2320</v>
      </c>
      <c r="D369" s="3432">
        <v>2290</v>
      </c>
      <c r="E369" s="3432">
        <v>2250</v>
      </c>
      <c r="F369" s="3432">
        <v>550</v>
      </c>
      <c r="G369" s="3444">
        <v>1380</v>
      </c>
      <c r="H369" s="3445"/>
    </row>
    <row r="370" spans="1:8">
      <c r="A370" s="3452" t="s">
        <v>2765</v>
      </c>
      <c r="B370" s="3432" t="s">
        <v>1069</v>
      </c>
      <c r="C370" s="3432">
        <v>2190</v>
      </c>
      <c r="D370" s="3432">
        <v>2170</v>
      </c>
      <c r="E370" s="3432">
        <v>2130</v>
      </c>
      <c r="F370" s="3432">
        <v>530</v>
      </c>
      <c r="G370" s="3444">
        <v>1310</v>
      </c>
      <c r="H370" s="3445"/>
    </row>
    <row r="371" spans="1:8">
      <c r="A371" s="3452" t="s">
        <v>2765</v>
      </c>
      <c r="B371" s="3432" t="s">
        <v>1077</v>
      </c>
      <c r="C371" s="3432">
        <v>2460</v>
      </c>
      <c r="D371" s="3432">
        <v>2420</v>
      </c>
      <c r="E371" s="3432">
        <v>2370</v>
      </c>
      <c r="F371" s="3432">
        <v>560</v>
      </c>
      <c r="G371" s="3444">
        <v>1470</v>
      </c>
      <c r="H371" s="3445"/>
    </row>
    <row r="372" spans="1:8">
      <c r="A372" s="3452" t="s">
        <v>2765</v>
      </c>
      <c r="B372" s="3432" t="s">
        <v>3019</v>
      </c>
      <c r="C372" s="3432">
        <v>2250</v>
      </c>
      <c r="D372" s="3432">
        <v>2210</v>
      </c>
      <c r="E372" s="3432">
        <v>2180</v>
      </c>
      <c r="F372" s="3432">
        <v>550</v>
      </c>
      <c r="G372" s="3444">
        <v>1340</v>
      </c>
      <c r="H372" s="3445"/>
    </row>
    <row r="373" spans="1:8">
      <c r="A373" s="3452" t="s">
        <v>2765</v>
      </c>
      <c r="B373" s="3432" t="s">
        <v>1106</v>
      </c>
      <c r="C373" s="3432">
        <v>2210</v>
      </c>
      <c r="D373" s="3432">
        <v>2190</v>
      </c>
      <c r="E373" s="3432">
        <v>2150</v>
      </c>
      <c r="F373" s="3432">
        <v>530</v>
      </c>
      <c r="G373" s="3444">
        <v>1320</v>
      </c>
      <c r="H373" s="3445"/>
    </row>
    <row r="374" spans="1:8">
      <c r="A374" s="3452" t="s">
        <v>2765</v>
      </c>
      <c r="B374" s="3432" t="s">
        <v>1114</v>
      </c>
      <c r="C374" s="3432">
        <v>2320</v>
      </c>
      <c r="D374" s="3432">
        <v>2280</v>
      </c>
      <c r="E374" s="3432">
        <v>2230</v>
      </c>
      <c r="F374" s="3432">
        <v>580</v>
      </c>
      <c r="G374" s="3444">
        <v>1380</v>
      </c>
      <c r="H374" s="3445"/>
    </row>
    <row r="375" spans="1:8">
      <c r="A375" s="3452" t="s">
        <v>2765</v>
      </c>
      <c r="B375" s="3432" t="s">
        <v>3020</v>
      </c>
      <c r="C375" s="3432">
        <v>2090</v>
      </c>
      <c r="D375" s="3432">
        <v>2050</v>
      </c>
      <c r="E375" s="3432">
        <v>2020</v>
      </c>
      <c r="F375" s="3432">
        <v>520</v>
      </c>
      <c r="G375" s="3444">
        <v>1240</v>
      </c>
      <c r="H375" s="3445"/>
    </row>
    <row r="376" spans="1:8">
      <c r="A376" s="3452" t="s">
        <v>2765</v>
      </c>
      <c r="B376" s="3432" t="s">
        <v>1126</v>
      </c>
      <c r="C376" s="3432">
        <v>2010</v>
      </c>
      <c r="D376" s="3432">
        <v>1980</v>
      </c>
      <c r="E376" s="3432">
        <v>1940</v>
      </c>
      <c r="F376" s="3432">
        <v>540</v>
      </c>
      <c r="G376" s="3444">
        <v>1190</v>
      </c>
      <c r="H376" s="3445"/>
    </row>
    <row r="377" spans="1:8" ht="14.25" thickBot="1">
      <c r="A377" s="3454" t="s">
        <v>2765</v>
      </c>
      <c r="B377" s="3448" t="s">
        <v>3021</v>
      </c>
      <c r="C377" s="3448">
        <v>1930</v>
      </c>
      <c r="D377" s="3448">
        <v>1890</v>
      </c>
      <c r="E377" s="3448">
        <v>1860</v>
      </c>
      <c r="F377" s="3448">
        <v>530</v>
      </c>
      <c r="G377" s="3455">
        <v>1150</v>
      </c>
      <c r="H377" s="3445"/>
    </row>
    <row r="378" spans="1:8">
      <c r="A378" s="3449" t="s">
        <v>2766</v>
      </c>
      <c r="B378" s="3450" t="s">
        <v>3022</v>
      </c>
      <c r="C378" s="3450">
        <v>1520</v>
      </c>
      <c r="D378" s="3450">
        <v>1490</v>
      </c>
      <c r="E378" s="3450">
        <v>1460</v>
      </c>
      <c r="F378" s="3450">
        <v>460</v>
      </c>
      <c r="G378" s="3451">
        <v>940</v>
      </c>
      <c r="H378" s="3445"/>
    </row>
    <row r="379" spans="1:8">
      <c r="A379" s="3452" t="s">
        <v>2766</v>
      </c>
      <c r="B379" s="3432" t="s">
        <v>3023</v>
      </c>
      <c r="C379" s="3432">
        <v>1500</v>
      </c>
      <c r="D379" s="3432">
        <v>1470</v>
      </c>
      <c r="E379" s="3432">
        <v>1430</v>
      </c>
      <c r="F379" s="3432">
        <v>460</v>
      </c>
      <c r="G379" s="3444">
        <v>920</v>
      </c>
      <c r="H379" s="3445"/>
    </row>
    <row r="380" spans="1:8">
      <c r="A380" s="3452" t="s">
        <v>2766</v>
      </c>
      <c r="B380" s="3432" t="s">
        <v>3024</v>
      </c>
      <c r="C380" s="3432">
        <v>1620</v>
      </c>
      <c r="D380" s="3432">
        <v>1590</v>
      </c>
      <c r="E380" s="3432">
        <v>1560</v>
      </c>
      <c r="F380" s="3432">
        <v>480</v>
      </c>
      <c r="G380" s="3444">
        <v>1000</v>
      </c>
      <c r="H380" s="3445"/>
    </row>
    <row r="381" spans="1:8">
      <c r="A381" s="3452" t="s">
        <v>2766</v>
      </c>
      <c r="B381" s="3432" t="s">
        <v>3025</v>
      </c>
      <c r="C381" s="3432">
        <v>1460</v>
      </c>
      <c r="D381" s="3432">
        <v>1430</v>
      </c>
      <c r="E381" s="3432">
        <v>1390</v>
      </c>
      <c r="F381" s="3432">
        <v>450</v>
      </c>
      <c r="G381" s="3444">
        <v>900</v>
      </c>
      <c r="H381" s="3445"/>
    </row>
    <row r="382" spans="1:8">
      <c r="A382" s="3452" t="s">
        <v>2766</v>
      </c>
      <c r="B382" s="3432" t="s">
        <v>3026</v>
      </c>
      <c r="C382" s="3432">
        <v>1310</v>
      </c>
      <c r="D382" s="3432">
        <v>1280</v>
      </c>
      <c r="E382" s="3432">
        <v>1250</v>
      </c>
      <c r="F382" s="3432">
        <v>440</v>
      </c>
      <c r="G382" s="3444">
        <v>800</v>
      </c>
      <c r="H382" s="3445"/>
    </row>
    <row r="383" spans="1:8">
      <c r="A383" s="3452" t="s">
        <v>2766</v>
      </c>
      <c r="B383" s="3432" t="s">
        <v>3027</v>
      </c>
      <c r="C383" s="3432">
        <v>1260</v>
      </c>
      <c r="D383" s="3432">
        <v>1230</v>
      </c>
      <c r="E383" s="3432">
        <v>1200</v>
      </c>
      <c r="F383" s="3432">
        <v>420</v>
      </c>
      <c r="G383" s="3444">
        <v>770</v>
      </c>
      <c r="H383" s="3445"/>
    </row>
    <row r="384" spans="1:8" ht="14.25" thickBot="1">
      <c r="A384" s="3453" t="s">
        <v>2766</v>
      </c>
      <c r="B384" s="3447" t="s">
        <v>3028</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48" t="s">
        <v>3191</v>
      </c>
      <c r="B1" s="3948"/>
      <c r="C1" s="3948"/>
      <c r="D1" s="3948"/>
      <c r="E1" s="3948"/>
      <c r="F1" s="3949"/>
    </row>
    <row r="2" spans="1:6">
      <c r="A2" s="3499" t="s">
        <v>3192</v>
      </c>
      <c r="B2" s="3500"/>
      <c r="C2" s="3500"/>
      <c r="D2" s="3500"/>
      <c r="E2" s="3500"/>
      <c r="F2" s="3500"/>
    </row>
    <row r="3" spans="1:6">
      <c r="A3" s="3499" t="s">
        <v>3193</v>
      </c>
      <c r="B3" s="3500"/>
      <c r="C3" s="3500"/>
      <c r="D3" s="3500"/>
      <c r="E3" s="3500"/>
      <c r="F3" s="3501" t="s">
        <v>3194</v>
      </c>
    </row>
    <row r="4" spans="1:6">
      <c r="A4" s="3502" t="s">
        <v>3189</v>
      </c>
      <c r="B4" s="3502" t="s">
        <v>2741</v>
      </c>
      <c r="C4" s="3502" t="s">
        <v>1212</v>
      </c>
      <c r="D4" s="3502" t="s">
        <v>3190</v>
      </c>
      <c r="E4" s="3502" t="s">
        <v>905</v>
      </c>
      <c r="F4" s="3502" t="s">
        <v>3195</v>
      </c>
    </row>
    <row r="5" spans="1:6">
      <c r="A5" s="3503" t="s">
        <v>2764</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2765</v>
      </c>
      <c r="B16" s="3505">
        <v>2230</v>
      </c>
      <c r="C16" s="3505">
        <v>2200</v>
      </c>
      <c r="D16" s="3505">
        <v>2180</v>
      </c>
      <c r="E16" s="3505">
        <v>570</v>
      </c>
      <c r="F16" s="3505">
        <v>1330</v>
      </c>
    </row>
    <row r="17" spans="1:6">
      <c r="A17" s="3503" t="s">
        <v>2766</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50" t="s">
        <v>3029</v>
      </c>
      <c r="B1" s="3950"/>
    </row>
    <row r="2" spans="1:7" ht="14.25" thickBot="1">
      <c r="A2" s="3464"/>
      <c r="B2" s="3464"/>
    </row>
    <row r="3" spans="1:7" ht="14.25" thickBot="1">
      <c r="A3" s="3464"/>
      <c r="B3" s="3464"/>
      <c r="C3" s="3465" t="s">
        <v>3030</v>
      </c>
      <c r="D3" s="3465" t="s">
        <v>3031</v>
      </c>
      <c r="E3" s="3465" t="s">
        <v>3032</v>
      </c>
      <c r="F3" s="3465" t="s">
        <v>3033</v>
      </c>
      <c r="G3" s="3465" t="s">
        <v>3034</v>
      </c>
    </row>
    <row r="4" spans="1:7" ht="14.25" thickBot="1">
      <c r="A4" s="3466" t="s">
        <v>3035</v>
      </c>
      <c r="B4" s="3467" t="s">
        <v>3036</v>
      </c>
      <c r="C4" s="3465"/>
      <c r="D4" s="3465"/>
      <c r="E4" s="3465"/>
      <c r="F4" s="3465"/>
      <c r="G4" s="3465"/>
    </row>
    <row r="5" spans="1:7">
      <c r="A5" s="3468" t="s">
        <v>3037</v>
      </c>
      <c r="B5" s="3469" t="s">
        <v>3038</v>
      </c>
      <c r="C5" s="3470">
        <v>9.8000000000000004E-2</v>
      </c>
      <c r="D5" s="3470">
        <v>8.6999999999999994E-2</v>
      </c>
      <c r="E5" s="3470">
        <v>8.6999999999999994E-2</v>
      </c>
      <c r="F5" s="3470">
        <v>9.8000000000000004E-2</v>
      </c>
      <c r="G5" s="3471">
        <v>9.5000000000000001E-2</v>
      </c>
    </row>
    <row r="6" spans="1:7">
      <c r="A6" s="3472" t="s">
        <v>990</v>
      </c>
      <c r="B6" s="3473" t="s">
        <v>3039</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3040</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3041</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2827</v>
      </c>
      <c r="C29" s="3482"/>
      <c r="D29" s="3478">
        <v>5.1999999999999998E-2</v>
      </c>
      <c r="E29" s="3478">
        <v>7.0000000000000007E-2</v>
      </c>
      <c r="F29" s="3482"/>
      <c r="G29" s="3480">
        <v>7.0999999999999994E-2</v>
      </c>
    </row>
    <row r="30" spans="1:7">
      <c r="A30" s="3483" t="s">
        <v>1145</v>
      </c>
      <c r="B30" s="3469" t="s">
        <v>3042</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3043</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2829</v>
      </c>
      <c r="C50" s="3474">
        <v>9.8000000000000004E-2</v>
      </c>
      <c r="D50" s="3474">
        <v>7.2999999999999995E-2</v>
      </c>
      <c r="E50" s="3474">
        <v>7.0999999999999994E-2</v>
      </c>
      <c r="F50" s="3485"/>
      <c r="G50" s="3475">
        <v>7.2999999999999995E-2</v>
      </c>
    </row>
    <row r="51" spans="1:7">
      <c r="A51" s="3484" t="s">
        <v>1145</v>
      </c>
      <c r="B51" s="3473" t="s">
        <v>2830</v>
      </c>
      <c r="C51" s="3474">
        <v>9.9000000000000005E-2</v>
      </c>
      <c r="D51" s="3474">
        <v>8.5000000000000006E-2</v>
      </c>
      <c r="E51" s="3474">
        <v>6.3E-2</v>
      </c>
      <c r="F51" s="3485"/>
      <c r="G51" s="3475">
        <v>9.6000000000000002E-2</v>
      </c>
    </row>
    <row r="52" spans="1:7">
      <c r="A52" s="3484" t="s">
        <v>1145</v>
      </c>
      <c r="B52" s="3473" t="s">
        <v>2831</v>
      </c>
      <c r="C52" s="3474">
        <v>7.3999999999999996E-2</v>
      </c>
      <c r="D52" s="3474">
        <v>9.6000000000000002E-2</v>
      </c>
      <c r="E52" s="3474">
        <v>0.05</v>
      </c>
      <c r="F52" s="3485"/>
      <c r="G52" s="3475">
        <v>9.8000000000000004E-2</v>
      </c>
    </row>
    <row r="53" spans="1:7">
      <c r="A53" s="3484" t="s">
        <v>1145</v>
      </c>
      <c r="B53" s="3473" t="s">
        <v>2832</v>
      </c>
      <c r="C53" s="3474">
        <v>8.5999999999999993E-2</v>
      </c>
      <c r="D53" s="3485"/>
      <c r="E53" s="3474">
        <v>9.1999999999999998E-2</v>
      </c>
      <c r="F53" s="3485"/>
      <c r="G53" s="3486"/>
    </row>
    <row r="54" spans="1:7" ht="14.25" thickBot="1">
      <c r="A54" s="3487" t="s">
        <v>1145</v>
      </c>
      <c r="B54" s="3477" t="s">
        <v>2833</v>
      </c>
      <c r="C54" s="3478">
        <v>9.6000000000000002E-2</v>
      </c>
      <c r="D54" s="3479"/>
      <c r="E54" s="3488"/>
      <c r="F54" s="3479"/>
      <c r="G54" s="3489"/>
    </row>
    <row r="55" spans="1:7">
      <c r="A55" s="3483" t="s">
        <v>853</v>
      </c>
      <c r="B55" s="3469" t="s">
        <v>3044</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2835</v>
      </c>
      <c r="C78" s="3474">
        <v>0.1</v>
      </c>
      <c r="D78" s="3474">
        <v>8.5000000000000006E-2</v>
      </c>
      <c r="E78" s="3474">
        <v>9.6000000000000002E-2</v>
      </c>
      <c r="F78" s="3485"/>
      <c r="G78" s="3475">
        <v>9.6000000000000002E-2</v>
      </c>
    </row>
    <row r="79" spans="1:7">
      <c r="A79" s="3484" t="s">
        <v>853</v>
      </c>
      <c r="B79" s="3473" t="s">
        <v>2836</v>
      </c>
      <c r="C79" s="3474">
        <v>0.05</v>
      </c>
      <c r="D79" s="3474">
        <v>9.6000000000000002E-2</v>
      </c>
      <c r="E79" s="3474">
        <v>9.5000000000000001E-2</v>
      </c>
      <c r="F79" s="3485"/>
      <c r="G79" s="3475">
        <v>9.8000000000000004E-2</v>
      </c>
    </row>
    <row r="80" spans="1:7">
      <c r="A80" s="3484" t="s">
        <v>853</v>
      </c>
      <c r="B80" s="3473" t="s">
        <v>2837</v>
      </c>
      <c r="C80" s="3474">
        <v>8.5999999999999993E-2</v>
      </c>
      <c r="D80" s="3490"/>
      <c r="E80" s="3474">
        <v>0.1</v>
      </c>
      <c r="F80" s="3485"/>
      <c r="G80" s="3486"/>
    </row>
    <row r="81" spans="1:7">
      <c r="A81" s="3484" t="s">
        <v>853</v>
      </c>
      <c r="B81" s="3473" t="s">
        <v>2838</v>
      </c>
      <c r="C81" s="3474">
        <v>9.6000000000000002E-2</v>
      </c>
      <c r="D81" s="3485"/>
      <c r="E81" s="3474">
        <v>9.8000000000000004E-2</v>
      </c>
      <c r="F81" s="3485"/>
      <c r="G81" s="3486"/>
    </row>
    <row r="82" spans="1:7">
      <c r="A82" s="3484" t="s">
        <v>853</v>
      </c>
      <c r="B82" s="3473" t="s">
        <v>2839</v>
      </c>
      <c r="C82" s="3490"/>
      <c r="D82" s="3485"/>
      <c r="E82" s="3474">
        <v>7.6999999999999999E-2</v>
      </c>
      <c r="F82" s="3485"/>
      <c r="G82" s="3486"/>
    </row>
    <row r="83" spans="1:7">
      <c r="A83" s="3484" t="s">
        <v>853</v>
      </c>
      <c r="B83" s="3473" t="s">
        <v>3045</v>
      </c>
      <c r="C83" s="3485"/>
      <c r="D83" s="3485"/>
      <c r="E83" s="3485"/>
      <c r="F83" s="3474">
        <v>0.1</v>
      </c>
      <c r="G83" s="3491"/>
    </row>
    <row r="84" spans="1:7">
      <c r="A84" s="3484" t="s">
        <v>853</v>
      </c>
      <c r="B84" s="3473" t="s">
        <v>3046</v>
      </c>
      <c r="C84" s="3485"/>
      <c r="D84" s="3485"/>
      <c r="E84" s="3485"/>
      <c r="F84" s="3474">
        <v>0.1</v>
      </c>
      <c r="G84" s="3491"/>
    </row>
    <row r="85" spans="1:7">
      <c r="A85" s="3484" t="s">
        <v>853</v>
      </c>
      <c r="B85" s="3473" t="s">
        <v>3047</v>
      </c>
      <c r="C85" s="3485"/>
      <c r="D85" s="3485"/>
      <c r="E85" s="3485"/>
      <c r="F85" s="3474">
        <v>0.1</v>
      </c>
      <c r="G85" s="3491"/>
    </row>
    <row r="86" spans="1:7" ht="14.25" thickBot="1">
      <c r="A86" s="3487" t="s">
        <v>853</v>
      </c>
      <c r="B86" s="3477" t="s">
        <v>3048</v>
      </c>
      <c r="C86" s="3478">
        <v>9.8000000000000004E-2</v>
      </c>
      <c r="D86" s="3478">
        <v>9.8000000000000004E-2</v>
      </c>
      <c r="E86" s="3478">
        <v>9.6000000000000002E-2</v>
      </c>
      <c r="F86" s="3488"/>
      <c r="G86" s="3480">
        <v>0.1</v>
      </c>
    </row>
    <row r="87" spans="1:7">
      <c r="A87" s="3483" t="s">
        <v>1152</v>
      </c>
      <c r="B87" s="3469" t="s">
        <v>3049</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2845</v>
      </c>
      <c r="C113" s="3474">
        <v>0.1</v>
      </c>
      <c r="D113" s="3474">
        <v>0.1</v>
      </c>
      <c r="E113" s="3485"/>
      <c r="F113" s="3485"/>
      <c r="G113" s="3475">
        <v>0.1</v>
      </c>
    </row>
    <row r="114" spans="1:7">
      <c r="A114" s="3484" t="s">
        <v>1152</v>
      </c>
      <c r="B114" s="3473" t="s">
        <v>2846</v>
      </c>
      <c r="C114" s="3474">
        <v>9.7000000000000003E-2</v>
      </c>
      <c r="D114" s="3474">
        <v>9.7000000000000003E-2</v>
      </c>
      <c r="E114" s="3485"/>
      <c r="F114" s="3485"/>
      <c r="G114" s="3475">
        <v>9.9000000000000005E-2</v>
      </c>
    </row>
    <row r="115" spans="1:7">
      <c r="A115" s="3484" t="s">
        <v>1152</v>
      </c>
      <c r="B115" s="3473" t="s">
        <v>2847</v>
      </c>
      <c r="C115" s="3474">
        <v>0.1</v>
      </c>
      <c r="D115" s="3474">
        <v>0.1</v>
      </c>
      <c r="E115" s="3485"/>
      <c r="F115" s="3485"/>
      <c r="G115" s="3475">
        <v>0.1</v>
      </c>
    </row>
    <row r="116" spans="1:7">
      <c r="A116" s="3484" t="s">
        <v>1152</v>
      </c>
      <c r="B116" s="3473" t="s">
        <v>2848</v>
      </c>
      <c r="C116" s="3474">
        <v>0.1</v>
      </c>
      <c r="D116" s="3474">
        <v>0.1</v>
      </c>
      <c r="E116" s="3485"/>
      <c r="F116" s="3485"/>
      <c r="G116" s="3475">
        <v>0.1</v>
      </c>
    </row>
    <row r="117" spans="1:7">
      <c r="A117" s="3484" t="s">
        <v>1152</v>
      </c>
      <c r="B117" s="3473" t="s">
        <v>2849</v>
      </c>
      <c r="C117" s="3474">
        <v>9.7000000000000003E-2</v>
      </c>
      <c r="D117" s="3474">
        <v>9.7000000000000003E-2</v>
      </c>
      <c r="E117" s="3485"/>
      <c r="F117" s="3485"/>
      <c r="G117" s="3475">
        <v>9.7000000000000003E-2</v>
      </c>
    </row>
    <row r="118" spans="1:7">
      <c r="A118" s="3484" t="s">
        <v>1152</v>
      </c>
      <c r="B118" s="3473" t="s">
        <v>2850</v>
      </c>
      <c r="C118" s="3474">
        <v>0.1</v>
      </c>
      <c r="D118" s="3474">
        <v>0.1</v>
      </c>
      <c r="E118" s="3485"/>
      <c r="F118" s="3485"/>
      <c r="G118" s="3475">
        <v>0.1</v>
      </c>
    </row>
    <row r="119" spans="1:7">
      <c r="A119" s="3484" t="s">
        <v>1152</v>
      </c>
      <c r="B119" s="3473" t="s">
        <v>2851</v>
      </c>
      <c r="C119" s="3474">
        <v>5.0999999999999997E-2</v>
      </c>
      <c r="D119" s="3474">
        <v>5.1999999999999998E-2</v>
      </c>
      <c r="E119" s="3485"/>
      <c r="F119" s="3490"/>
      <c r="G119" s="3475">
        <v>0.06</v>
      </c>
    </row>
    <row r="120" spans="1:7">
      <c r="A120" s="3484" t="s">
        <v>1152</v>
      </c>
      <c r="B120" s="3473" t="s">
        <v>3050</v>
      </c>
      <c r="C120" s="3485"/>
      <c r="D120" s="3485"/>
      <c r="E120" s="3485"/>
      <c r="F120" s="3474">
        <v>0.1</v>
      </c>
      <c r="G120" s="3491"/>
    </row>
    <row r="121" spans="1:7">
      <c r="A121" s="3484" t="s">
        <v>1152</v>
      </c>
      <c r="B121" s="3473" t="s">
        <v>3051</v>
      </c>
      <c r="C121" s="3485"/>
      <c r="D121" s="3485"/>
      <c r="E121" s="3485"/>
      <c r="F121" s="3474">
        <v>0.1</v>
      </c>
      <c r="G121" s="3491"/>
    </row>
    <row r="122" spans="1:7">
      <c r="A122" s="3484" t="s">
        <v>1152</v>
      </c>
      <c r="B122" s="3473" t="s">
        <v>3052</v>
      </c>
      <c r="C122" s="3474">
        <v>0.1</v>
      </c>
      <c r="D122" s="3474">
        <v>0.1</v>
      </c>
      <c r="E122" s="3474">
        <v>9.8000000000000004E-2</v>
      </c>
      <c r="F122" s="3474">
        <v>0.1</v>
      </c>
      <c r="G122" s="3475">
        <v>0.1</v>
      </c>
    </row>
    <row r="123" spans="1:7">
      <c r="A123" s="3484" t="s">
        <v>1152</v>
      </c>
      <c r="B123" s="3473" t="s">
        <v>2855</v>
      </c>
      <c r="C123" s="3474">
        <v>0.1</v>
      </c>
      <c r="D123" s="3474">
        <v>0.1</v>
      </c>
      <c r="E123" s="3474">
        <v>9.8000000000000004E-2</v>
      </c>
      <c r="F123" s="3474">
        <v>0.1</v>
      </c>
      <c r="G123" s="3475">
        <v>0.1</v>
      </c>
    </row>
    <row r="124" spans="1:7">
      <c r="A124" s="3484" t="s">
        <v>1152</v>
      </c>
      <c r="B124" s="3473" t="s">
        <v>2856</v>
      </c>
      <c r="C124" s="3474">
        <v>0.1</v>
      </c>
      <c r="D124" s="3474">
        <v>0.1</v>
      </c>
      <c r="E124" s="3474">
        <v>9.8000000000000004E-2</v>
      </c>
      <c r="F124" s="3490"/>
      <c r="G124" s="3475">
        <v>0.1</v>
      </c>
    </row>
    <row r="125" spans="1:7">
      <c r="A125" s="3484" t="s">
        <v>1152</v>
      </c>
      <c r="B125" s="3473" t="s">
        <v>2857</v>
      </c>
      <c r="C125" s="3474">
        <v>9.8000000000000004E-2</v>
      </c>
      <c r="D125" s="3474">
        <v>9.8000000000000004E-2</v>
      </c>
      <c r="E125" s="3474">
        <v>9.6000000000000002E-2</v>
      </c>
      <c r="F125" s="3490"/>
      <c r="G125" s="3475">
        <v>0.1</v>
      </c>
    </row>
    <row r="126" spans="1:7" ht="14.25" thickBot="1">
      <c r="A126" s="3487" t="s">
        <v>1152</v>
      </c>
      <c r="B126" s="3477" t="s">
        <v>3053</v>
      </c>
      <c r="C126" s="3478">
        <v>0.1</v>
      </c>
      <c r="D126" s="3478">
        <v>0.1</v>
      </c>
      <c r="E126" s="3478">
        <v>9.8000000000000004E-2</v>
      </c>
      <c r="F126" s="3478">
        <v>0.1</v>
      </c>
      <c r="G126" s="3480">
        <v>0.1</v>
      </c>
    </row>
    <row r="127" spans="1:7">
      <c r="A127" s="3483" t="s">
        <v>1153</v>
      </c>
      <c r="B127" s="3469" t="s">
        <v>3054</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3055</v>
      </c>
      <c r="C148" s="3474">
        <v>0.13</v>
      </c>
      <c r="D148" s="3474">
        <v>0.13</v>
      </c>
      <c r="E148" s="3474">
        <v>0.13</v>
      </c>
      <c r="F148" s="3485"/>
      <c r="G148" s="3475">
        <v>0.13</v>
      </c>
    </row>
    <row r="149" spans="1:7">
      <c r="A149" s="3484" t="s">
        <v>1153</v>
      </c>
      <c r="B149" s="3473" t="s">
        <v>3056</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2862</v>
      </c>
      <c r="C153" s="3474">
        <v>0.13</v>
      </c>
      <c r="D153" s="3474">
        <v>0.13</v>
      </c>
      <c r="E153" s="3474">
        <v>0.13</v>
      </c>
      <c r="F153" s="3474">
        <v>0.13</v>
      </c>
      <c r="G153" s="3475">
        <v>0.13</v>
      </c>
    </row>
    <row r="154" spans="1:7">
      <c r="A154" s="3484" t="s">
        <v>1153</v>
      </c>
      <c r="B154" s="3473" t="s">
        <v>3057</v>
      </c>
      <c r="C154" s="3474">
        <v>0.121</v>
      </c>
      <c r="D154" s="3474">
        <v>0.121</v>
      </c>
      <c r="E154" s="3474">
        <v>0.105</v>
      </c>
      <c r="F154" s="3474">
        <v>0.121</v>
      </c>
      <c r="G154" s="3475">
        <v>0.123</v>
      </c>
    </row>
    <row r="155" spans="1:7">
      <c r="A155" s="3484" t="s">
        <v>1153</v>
      </c>
      <c r="B155" s="3473" t="s">
        <v>2864</v>
      </c>
      <c r="C155" s="3474">
        <v>0.1</v>
      </c>
      <c r="D155" s="3474">
        <v>0.1</v>
      </c>
      <c r="E155" s="3474">
        <v>0.1</v>
      </c>
      <c r="F155" s="3474">
        <v>0.1</v>
      </c>
      <c r="G155" s="3475">
        <v>0.1</v>
      </c>
    </row>
    <row r="156" spans="1:7">
      <c r="A156" s="3484" t="s">
        <v>1153</v>
      </c>
      <c r="B156" s="3473" t="s">
        <v>3058</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3059</v>
      </c>
      <c r="C160" s="3474">
        <v>0.13</v>
      </c>
      <c r="D160" s="3474">
        <v>0.13</v>
      </c>
      <c r="E160" s="3474">
        <v>0.124</v>
      </c>
      <c r="F160" s="3474">
        <v>0.126</v>
      </c>
      <c r="G160" s="3475">
        <v>0.13</v>
      </c>
    </row>
    <row r="161" spans="1:7">
      <c r="A161" s="3484" t="s">
        <v>1153</v>
      </c>
      <c r="B161" s="3473" t="s">
        <v>2867</v>
      </c>
      <c r="C161" s="3474">
        <v>0.13</v>
      </c>
      <c r="D161" s="3474">
        <v>0.13</v>
      </c>
      <c r="E161" s="3474">
        <v>0.124</v>
      </c>
      <c r="F161" s="3474">
        <v>0.127</v>
      </c>
      <c r="G161" s="3475">
        <v>0.13</v>
      </c>
    </row>
    <row r="162" spans="1:7">
      <c r="A162" s="3484" t="s">
        <v>1153</v>
      </c>
      <c r="B162" s="3473" t="s">
        <v>2868</v>
      </c>
      <c r="C162" s="3474">
        <v>0.1</v>
      </c>
      <c r="D162" s="3474">
        <v>0.1</v>
      </c>
      <c r="E162" s="3474">
        <v>0.1</v>
      </c>
      <c r="F162" s="3474">
        <v>0.121</v>
      </c>
      <c r="G162" s="3475">
        <v>0.105</v>
      </c>
    </row>
    <row r="163" spans="1:7">
      <c r="A163" s="3484" t="s">
        <v>1153</v>
      </c>
      <c r="B163" s="3473" t="s">
        <v>2869</v>
      </c>
      <c r="C163" s="3474">
        <v>0.1</v>
      </c>
      <c r="D163" s="3474">
        <v>0.1</v>
      </c>
      <c r="E163" s="3474">
        <v>0.1</v>
      </c>
      <c r="F163" s="3474">
        <v>0.1</v>
      </c>
      <c r="G163" s="3475">
        <v>0.1</v>
      </c>
    </row>
    <row r="164" spans="1:7">
      <c r="A164" s="3484" t="s">
        <v>1153</v>
      </c>
      <c r="B164" s="3473" t="s">
        <v>2870</v>
      </c>
      <c r="C164" s="3490"/>
      <c r="D164" s="3490"/>
      <c r="E164" s="3490"/>
      <c r="F164" s="3474">
        <v>0.1</v>
      </c>
      <c r="G164" s="3486"/>
    </row>
    <row r="165" spans="1:7">
      <c r="A165" s="3484" t="s">
        <v>1153</v>
      </c>
      <c r="B165" s="3473" t="s">
        <v>3060</v>
      </c>
      <c r="C165" s="3474">
        <v>0.126</v>
      </c>
      <c r="D165" s="3474">
        <v>0.126</v>
      </c>
      <c r="E165" s="3474">
        <v>0.11899999999999999</v>
      </c>
      <c r="F165" s="3474">
        <v>0.13</v>
      </c>
      <c r="G165" s="3475">
        <v>0.128</v>
      </c>
    </row>
    <row r="166" spans="1:7">
      <c r="A166" s="3484" t="s">
        <v>1153</v>
      </c>
      <c r="B166" s="3473" t="s">
        <v>2872</v>
      </c>
      <c r="C166" s="3474">
        <v>0.129</v>
      </c>
      <c r="D166" s="3474">
        <v>0.129</v>
      </c>
      <c r="E166" s="3474">
        <v>0.123</v>
      </c>
      <c r="F166" s="3474">
        <v>0.128</v>
      </c>
      <c r="G166" s="3475">
        <v>0.13</v>
      </c>
    </row>
    <row r="167" spans="1:7">
      <c r="A167" s="3484" t="s">
        <v>1153</v>
      </c>
      <c r="B167" s="3473" t="s">
        <v>2873</v>
      </c>
      <c r="C167" s="3474">
        <v>0.125</v>
      </c>
      <c r="D167" s="3474">
        <v>0.125</v>
      </c>
      <c r="E167" s="3474">
        <v>0.11700000000000001</v>
      </c>
      <c r="F167" s="3474">
        <v>0.13</v>
      </c>
      <c r="G167" s="3475">
        <v>0.126</v>
      </c>
    </row>
    <row r="168" spans="1:7">
      <c r="A168" s="3484" t="s">
        <v>1153</v>
      </c>
      <c r="B168" s="3473" t="s">
        <v>2874</v>
      </c>
      <c r="C168" s="3474">
        <v>0.128</v>
      </c>
      <c r="D168" s="3474">
        <v>0.128</v>
      </c>
      <c r="E168" s="3474">
        <v>0.123</v>
      </c>
      <c r="F168" s="3485"/>
      <c r="G168" s="3475">
        <v>0.13</v>
      </c>
    </row>
    <row r="169" spans="1:7">
      <c r="A169" s="3484" t="s">
        <v>1153</v>
      </c>
      <c r="B169" s="3473" t="s">
        <v>3061</v>
      </c>
      <c r="C169" s="3490"/>
      <c r="D169" s="3490"/>
      <c r="E169" s="3490"/>
      <c r="F169" s="3474">
        <v>0.05</v>
      </c>
      <c r="G169" s="3486"/>
    </row>
    <row r="170" spans="1:7">
      <c r="A170" s="3484" t="s">
        <v>1153</v>
      </c>
      <c r="B170" s="3473" t="s">
        <v>3062</v>
      </c>
      <c r="C170" s="3490"/>
      <c r="D170" s="3490"/>
      <c r="E170" s="3490"/>
      <c r="F170" s="3474">
        <v>0.05</v>
      </c>
      <c r="G170" s="3486"/>
    </row>
    <row r="171" spans="1:7">
      <c r="A171" s="3484" t="s">
        <v>1153</v>
      </c>
      <c r="B171" s="3473" t="s">
        <v>3063</v>
      </c>
      <c r="C171" s="3490"/>
      <c r="D171" s="3490"/>
      <c r="E171" s="3490"/>
      <c r="F171" s="3474">
        <v>0.05</v>
      </c>
      <c r="G171" s="3491"/>
    </row>
    <row r="172" spans="1:7">
      <c r="A172" s="3484" t="s">
        <v>1153</v>
      </c>
      <c r="B172" s="3473" t="s">
        <v>3064</v>
      </c>
      <c r="C172" s="3490"/>
      <c r="D172" s="3490"/>
      <c r="E172" s="3490"/>
      <c r="F172" s="3474">
        <v>0.05</v>
      </c>
      <c r="G172" s="3491"/>
    </row>
    <row r="173" spans="1:7">
      <c r="A173" s="3484" t="s">
        <v>1153</v>
      </c>
      <c r="B173" s="3473" t="s">
        <v>3065</v>
      </c>
      <c r="C173" s="3490"/>
      <c r="D173" s="3490"/>
      <c r="E173" s="3490"/>
      <c r="F173" s="3474">
        <v>0.05</v>
      </c>
      <c r="G173" s="3486"/>
    </row>
    <row r="174" spans="1:7">
      <c r="A174" s="3484" t="s">
        <v>1153</v>
      </c>
      <c r="B174" s="3473" t="s">
        <v>3066</v>
      </c>
      <c r="C174" s="3490"/>
      <c r="D174" s="3490"/>
      <c r="E174" s="3490"/>
      <c r="F174" s="3474">
        <v>0.05</v>
      </c>
      <c r="G174" s="3486"/>
    </row>
    <row r="175" spans="1:7">
      <c r="A175" s="3484" t="s">
        <v>1153</v>
      </c>
      <c r="B175" s="3473" t="s">
        <v>3067</v>
      </c>
      <c r="C175" s="3490"/>
      <c r="D175" s="3490"/>
      <c r="E175" s="3490"/>
      <c r="F175" s="3474">
        <v>0.05</v>
      </c>
      <c r="G175" s="3486"/>
    </row>
    <row r="176" spans="1:7">
      <c r="A176" s="3484" t="s">
        <v>1153</v>
      </c>
      <c r="B176" s="3473" t="s">
        <v>3068</v>
      </c>
      <c r="C176" s="3490"/>
      <c r="D176" s="3490"/>
      <c r="E176" s="3490"/>
      <c r="F176" s="3474">
        <v>0.05</v>
      </c>
      <c r="G176" s="3486"/>
    </row>
    <row r="177" spans="1:7">
      <c r="A177" s="3484" t="s">
        <v>1153</v>
      </c>
      <c r="B177" s="3473" t="s">
        <v>3069</v>
      </c>
      <c r="C177" s="3485"/>
      <c r="D177" s="3485"/>
      <c r="E177" s="3485"/>
      <c r="F177" s="3474">
        <v>0.05</v>
      </c>
      <c r="G177" s="3491"/>
    </row>
    <row r="178" spans="1:7">
      <c r="A178" s="3484" t="s">
        <v>1153</v>
      </c>
      <c r="B178" s="3473" t="s">
        <v>3070</v>
      </c>
      <c r="C178" s="3485"/>
      <c r="D178" s="3485"/>
      <c r="E178" s="3485"/>
      <c r="F178" s="3474">
        <v>0.05</v>
      </c>
      <c r="G178" s="3491"/>
    </row>
    <row r="179" spans="1:7">
      <c r="A179" s="3484" t="s">
        <v>1153</v>
      </c>
      <c r="B179" s="3473" t="s">
        <v>3071</v>
      </c>
      <c r="C179" s="3485"/>
      <c r="D179" s="3485"/>
      <c r="E179" s="3485"/>
      <c r="F179" s="3474">
        <v>0.05</v>
      </c>
      <c r="G179" s="3491"/>
    </row>
    <row r="180" spans="1:7">
      <c r="A180" s="3484" t="s">
        <v>1153</v>
      </c>
      <c r="B180" s="3473" t="s">
        <v>3072</v>
      </c>
      <c r="C180" s="3485"/>
      <c r="D180" s="3485"/>
      <c r="E180" s="3485"/>
      <c r="F180" s="3474">
        <v>0.05</v>
      </c>
      <c r="G180" s="3491"/>
    </row>
    <row r="181" spans="1:7">
      <c r="A181" s="3484" t="s">
        <v>1153</v>
      </c>
      <c r="B181" s="3473" t="s">
        <v>3073</v>
      </c>
      <c r="C181" s="3485"/>
      <c r="D181" s="3485"/>
      <c r="E181" s="3485"/>
      <c r="F181" s="3474">
        <v>0.05</v>
      </c>
      <c r="G181" s="3491"/>
    </row>
    <row r="182" spans="1:7">
      <c r="A182" s="3484" t="s">
        <v>1153</v>
      </c>
      <c r="B182" s="3473" t="s">
        <v>3074</v>
      </c>
      <c r="C182" s="3485"/>
      <c r="D182" s="3485"/>
      <c r="E182" s="3485"/>
      <c r="F182" s="3474">
        <v>0.05</v>
      </c>
      <c r="G182" s="3491"/>
    </row>
    <row r="183" spans="1:7">
      <c r="A183" s="3484" t="s">
        <v>1153</v>
      </c>
      <c r="B183" s="3473" t="s">
        <v>3075</v>
      </c>
      <c r="C183" s="3485"/>
      <c r="D183" s="3485"/>
      <c r="E183" s="3485"/>
      <c r="F183" s="3474">
        <v>0.05</v>
      </c>
      <c r="G183" s="3491"/>
    </row>
    <row r="184" spans="1:7">
      <c r="A184" s="3484" t="s">
        <v>1153</v>
      </c>
      <c r="B184" s="3473" t="s">
        <v>3076</v>
      </c>
      <c r="C184" s="3485"/>
      <c r="D184" s="3485"/>
      <c r="E184" s="3485"/>
      <c r="F184" s="3474">
        <v>0.05</v>
      </c>
      <c r="G184" s="3491"/>
    </row>
    <row r="185" spans="1:7">
      <c r="A185" s="3484" t="s">
        <v>1153</v>
      </c>
      <c r="B185" s="3473" t="s">
        <v>3077</v>
      </c>
      <c r="C185" s="3485"/>
      <c r="D185" s="3485"/>
      <c r="E185" s="3485"/>
      <c r="F185" s="3474">
        <v>0.05</v>
      </c>
      <c r="G185" s="3491"/>
    </row>
    <row r="186" spans="1:7">
      <c r="A186" s="3484" t="s">
        <v>1153</v>
      </c>
      <c r="B186" s="3473" t="s">
        <v>3078</v>
      </c>
      <c r="C186" s="3485"/>
      <c r="D186" s="3485"/>
      <c r="E186" s="3485"/>
      <c r="F186" s="3474">
        <v>0.05</v>
      </c>
      <c r="G186" s="3491"/>
    </row>
    <row r="187" spans="1:7">
      <c r="A187" s="3484" t="s">
        <v>1153</v>
      </c>
      <c r="B187" s="3473" t="s">
        <v>3079</v>
      </c>
      <c r="C187" s="3485"/>
      <c r="D187" s="3485"/>
      <c r="E187" s="3485"/>
      <c r="F187" s="3474">
        <v>0.05</v>
      </c>
      <c r="G187" s="3491"/>
    </row>
    <row r="188" spans="1:7">
      <c r="A188" s="3484" t="s">
        <v>1153</v>
      </c>
      <c r="B188" s="3473" t="s">
        <v>3080</v>
      </c>
      <c r="C188" s="3485"/>
      <c r="D188" s="3485"/>
      <c r="E188" s="3485"/>
      <c r="F188" s="3474">
        <v>0.05</v>
      </c>
      <c r="G188" s="3491"/>
    </row>
    <row r="189" spans="1:7" ht="14.25" thickBot="1">
      <c r="A189" s="3487" t="s">
        <v>1153</v>
      </c>
      <c r="B189" s="3477" t="s">
        <v>3081</v>
      </c>
      <c r="C189" s="3479"/>
      <c r="D189" s="3479"/>
      <c r="E189" s="3479"/>
      <c r="F189" s="3478">
        <v>0.05</v>
      </c>
      <c r="G189" s="3492"/>
    </row>
    <row r="190" spans="1:7">
      <c r="A190" s="3483" t="s">
        <v>1154</v>
      </c>
      <c r="B190" s="3469" t="s">
        <v>3082</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3083</v>
      </c>
      <c r="C199" s="3474">
        <v>0.13</v>
      </c>
      <c r="D199" s="3474">
        <v>0.13</v>
      </c>
      <c r="E199" s="3474">
        <v>0.13</v>
      </c>
      <c r="F199" s="3474">
        <v>0.13</v>
      </c>
      <c r="G199" s="3475">
        <v>0.13</v>
      </c>
    </row>
    <row r="200" spans="1:7">
      <c r="A200" s="3484" t="s">
        <v>1154</v>
      </c>
      <c r="B200" s="3473" t="s">
        <v>2898</v>
      </c>
      <c r="C200" s="3490"/>
      <c r="D200" s="3490"/>
      <c r="E200" s="3490"/>
      <c r="F200" s="3474">
        <v>0.13</v>
      </c>
      <c r="G200" s="3486"/>
    </row>
    <row r="201" spans="1:7">
      <c r="A201" s="3484" t="s">
        <v>1154</v>
      </c>
      <c r="B201" s="3473" t="s">
        <v>3084</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3085</v>
      </c>
      <c r="C203" s="3474">
        <v>0.129</v>
      </c>
      <c r="D203" s="3474">
        <v>0.129</v>
      </c>
      <c r="E203" s="3474">
        <v>0.13</v>
      </c>
      <c r="F203" s="3474">
        <v>0.13</v>
      </c>
      <c r="G203" s="3475">
        <v>0.13</v>
      </c>
    </row>
    <row r="204" spans="1:7">
      <c r="A204" s="3484" t="s">
        <v>1154</v>
      </c>
      <c r="B204" s="3473" t="s">
        <v>2901</v>
      </c>
      <c r="C204" s="3474">
        <v>0.129</v>
      </c>
      <c r="D204" s="3474">
        <v>0.129</v>
      </c>
      <c r="E204" s="3474">
        <v>0.123</v>
      </c>
      <c r="F204" s="3474">
        <v>0.13</v>
      </c>
      <c r="G204" s="3475">
        <v>0.13</v>
      </c>
    </row>
    <row r="205" spans="1:7">
      <c r="A205" s="3484" t="s">
        <v>1154</v>
      </c>
      <c r="B205" s="3473" t="s">
        <v>2902</v>
      </c>
      <c r="C205" s="3474">
        <v>0.13</v>
      </c>
      <c r="D205" s="3474">
        <v>0.13</v>
      </c>
      <c r="E205" s="3474">
        <v>0.13</v>
      </c>
      <c r="F205" s="3474">
        <v>0.13</v>
      </c>
      <c r="G205" s="3475">
        <v>0.13</v>
      </c>
    </row>
    <row r="206" spans="1:7">
      <c r="A206" s="3484" t="s">
        <v>1154</v>
      </c>
      <c r="B206" s="3473" t="s">
        <v>2903</v>
      </c>
      <c r="C206" s="3474">
        <v>0.13</v>
      </c>
      <c r="D206" s="3474">
        <v>0.13</v>
      </c>
      <c r="E206" s="3474">
        <v>0.13</v>
      </c>
      <c r="F206" s="3474">
        <v>0.128</v>
      </c>
      <c r="G206" s="3475">
        <v>0.13</v>
      </c>
    </row>
    <row r="207" spans="1:7">
      <c r="A207" s="3484" t="s">
        <v>1154</v>
      </c>
      <c r="B207" s="3473" t="s">
        <v>2904</v>
      </c>
      <c r="C207" s="3474">
        <v>0.13</v>
      </c>
      <c r="D207" s="3474">
        <v>0.13</v>
      </c>
      <c r="E207" s="3474">
        <v>0.13</v>
      </c>
      <c r="F207" s="3474">
        <v>0.13</v>
      </c>
      <c r="G207" s="3475">
        <v>0.13</v>
      </c>
    </row>
    <row r="208" spans="1:7">
      <c r="A208" s="3484" t="s">
        <v>1154</v>
      </c>
      <c r="B208" s="3473" t="s">
        <v>3086</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2906</v>
      </c>
      <c r="C210" s="3474">
        <v>0.121</v>
      </c>
      <c r="D210" s="3474">
        <v>0.121</v>
      </c>
      <c r="E210" s="3474">
        <v>0.125</v>
      </c>
      <c r="F210" s="3474">
        <v>0.13</v>
      </c>
      <c r="G210" s="3475">
        <v>0.123</v>
      </c>
    </row>
    <row r="211" spans="1:7">
      <c r="A211" s="3484" t="s">
        <v>1154</v>
      </c>
      <c r="B211" s="3473" t="s">
        <v>3087</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3088</v>
      </c>
      <c r="C214" s="3474">
        <v>0.128</v>
      </c>
      <c r="D214" s="3474">
        <v>0.128</v>
      </c>
      <c r="E214" s="3474">
        <v>0.13</v>
      </c>
      <c r="F214" s="3474">
        <v>0.13</v>
      </c>
      <c r="G214" s="3475">
        <v>0.13</v>
      </c>
    </row>
    <row r="215" spans="1:7">
      <c r="A215" s="3484" t="s">
        <v>1154</v>
      </c>
      <c r="B215" s="3473" t="s">
        <v>3089</v>
      </c>
      <c r="C215" s="3474">
        <v>0.13</v>
      </c>
      <c r="D215" s="3474">
        <v>0.13</v>
      </c>
      <c r="E215" s="3474">
        <v>0.13</v>
      </c>
      <c r="F215" s="3474">
        <v>0.129</v>
      </c>
      <c r="G215" s="3475">
        <v>0.13</v>
      </c>
    </row>
    <row r="216" spans="1:7">
      <c r="A216" s="3484" t="s">
        <v>1154</v>
      </c>
      <c r="B216" s="3473" t="s">
        <v>3090</v>
      </c>
      <c r="C216" s="3474">
        <v>0.13</v>
      </c>
      <c r="D216" s="3474">
        <v>0.13</v>
      </c>
      <c r="E216" s="3474">
        <v>0.13</v>
      </c>
      <c r="F216" s="3474">
        <v>0.13</v>
      </c>
      <c r="G216" s="3475">
        <v>0.13</v>
      </c>
    </row>
    <row r="217" spans="1:7">
      <c r="A217" s="3484" t="s">
        <v>1154</v>
      </c>
      <c r="B217" s="3473" t="s">
        <v>2910</v>
      </c>
      <c r="C217" s="3474">
        <v>0.129</v>
      </c>
      <c r="D217" s="3474">
        <v>0.129</v>
      </c>
      <c r="E217" s="3474">
        <v>0.13</v>
      </c>
      <c r="F217" s="3474">
        <v>0.13</v>
      </c>
      <c r="G217" s="3475">
        <v>0.13</v>
      </c>
    </row>
    <row r="218" spans="1:7">
      <c r="A218" s="3484" t="s">
        <v>1154</v>
      </c>
      <c r="B218" s="3473" t="s">
        <v>3091</v>
      </c>
      <c r="C218" s="3485"/>
      <c r="D218" s="3485"/>
      <c r="E218" s="3485"/>
      <c r="F218" s="3474">
        <v>0.05</v>
      </c>
      <c r="G218" s="3491"/>
    </row>
    <row r="219" spans="1:7">
      <c r="A219" s="3484" t="s">
        <v>1154</v>
      </c>
      <c r="B219" s="3473" t="s">
        <v>3092</v>
      </c>
      <c r="C219" s="3485"/>
      <c r="D219" s="3485"/>
      <c r="E219" s="3485"/>
      <c r="F219" s="3474">
        <v>0.05</v>
      </c>
      <c r="G219" s="3491"/>
    </row>
    <row r="220" spans="1:7">
      <c r="A220" s="3484" t="s">
        <v>1154</v>
      </c>
      <c r="B220" s="3473" t="s">
        <v>3093</v>
      </c>
      <c r="C220" s="3485"/>
      <c r="D220" s="3485"/>
      <c r="E220" s="3485"/>
      <c r="F220" s="3474">
        <v>0.05</v>
      </c>
      <c r="G220" s="3491"/>
    </row>
    <row r="221" spans="1:7">
      <c r="A221" s="3484" t="s">
        <v>1154</v>
      </c>
      <c r="B221" s="3473" t="s">
        <v>3094</v>
      </c>
      <c r="C221" s="3485"/>
      <c r="D221" s="3485"/>
      <c r="E221" s="3485"/>
      <c r="F221" s="3474">
        <v>0.05</v>
      </c>
      <c r="G221" s="3491"/>
    </row>
    <row r="222" spans="1:7">
      <c r="A222" s="3484" t="s">
        <v>1154</v>
      </c>
      <c r="B222" s="3473" t="s">
        <v>3095</v>
      </c>
      <c r="C222" s="3485"/>
      <c r="D222" s="3485"/>
      <c r="E222" s="3485"/>
      <c r="F222" s="3474">
        <v>0.05</v>
      </c>
      <c r="G222" s="3491"/>
    </row>
    <row r="223" spans="1:7">
      <c r="A223" s="3484" t="s">
        <v>1154</v>
      </c>
      <c r="B223" s="3473" t="s">
        <v>3096</v>
      </c>
      <c r="C223" s="3485"/>
      <c r="D223" s="3485"/>
      <c r="E223" s="3485"/>
      <c r="F223" s="3474">
        <v>0.05</v>
      </c>
      <c r="G223" s="3491"/>
    </row>
    <row r="224" spans="1:7">
      <c r="A224" s="3484" t="s">
        <v>1154</v>
      </c>
      <c r="B224" s="3473" t="s">
        <v>3097</v>
      </c>
      <c r="C224" s="3485"/>
      <c r="D224" s="3485"/>
      <c r="E224" s="3485"/>
      <c r="F224" s="3474">
        <v>0.05</v>
      </c>
      <c r="G224" s="3491"/>
    </row>
    <row r="225" spans="1:7">
      <c r="A225" s="3484" t="s">
        <v>1154</v>
      </c>
      <c r="B225" s="3473" t="s">
        <v>3098</v>
      </c>
      <c r="C225" s="3485"/>
      <c r="D225" s="3485"/>
      <c r="E225" s="3485"/>
      <c r="F225" s="3474">
        <v>0.05</v>
      </c>
      <c r="G225" s="3491"/>
    </row>
    <row r="226" spans="1:7">
      <c r="A226" s="3484" t="s">
        <v>1154</v>
      </c>
      <c r="B226" s="3473" t="s">
        <v>3099</v>
      </c>
      <c r="C226" s="3485"/>
      <c r="D226" s="3485"/>
      <c r="E226" s="3485"/>
      <c r="F226" s="3474">
        <v>0.05</v>
      </c>
      <c r="G226" s="3491"/>
    </row>
    <row r="227" spans="1:7">
      <c r="A227" s="3484" t="s">
        <v>1154</v>
      </c>
      <c r="B227" s="3473" t="s">
        <v>3100</v>
      </c>
      <c r="C227" s="3485"/>
      <c r="D227" s="3485"/>
      <c r="E227" s="3485"/>
      <c r="F227" s="3474">
        <v>0.05</v>
      </c>
      <c r="G227" s="3491"/>
    </row>
    <row r="228" spans="1:7">
      <c r="A228" s="3484" t="s">
        <v>1154</v>
      </c>
      <c r="B228" s="3473" t="s">
        <v>3101</v>
      </c>
      <c r="C228" s="3485"/>
      <c r="D228" s="3485"/>
      <c r="E228" s="3485"/>
      <c r="F228" s="3474">
        <v>0.05</v>
      </c>
      <c r="G228" s="3491"/>
    </row>
    <row r="229" spans="1:7">
      <c r="A229" s="3484" t="s">
        <v>1154</v>
      </c>
      <c r="B229" s="3473" t="s">
        <v>3102</v>
      </c>
      <c r="C229" s="3485"/>
      <c r="D229" s="3485"/>
      <c r="E229" s="3485"/>
      <c r="F229" s="3474">
        <v>0.05</v>
      </c>
      <c r="G229" s="3491"/>
    </row>
    <row r="230" spans="1:7">
      <c r="A230" s="3484" t="s">
        <v>1154</v>
      </c>
      <c r="B230" s="3473" t="s">
        <v>3103</v>
      </c>
      <c r="C230" s="3485"/>
      <c r="D230" s="3485"/>
      <c r="E230" s="3485"/>
      <c r="F230" s="3474">
        <v>0.05</v>
      </c>
      <c r="G230" s="3491"/>
    </row>
    <row r="231" spans="1:7">
      <c r="A231" s="3484" t="s">
        <v>1154</v>
      </c>
      <c r="B231" s="3473" t="s">
        <v>3104</v>
      </c>
      <c r="C231" s="3485"/>
      <c r="D231" s="3485"/>
      <c r="E231" s="3485"/>
      <c r="F231" s="3474">
        <v>0.05</v>
      </c>
      <c r="G231" s="3491"/>
    </row>
    <row r="232" spans="1:7">
      <c r="A232" s="3484" t="s">
        <v>1154</v>
      </c>
      <c r="B232" s="3473" t="s">
        <v>3105</v>
      </c>
      <c r="C232" s="3485"/>
      <c r="D232" s="3485"/>
      <c r="E232" s="3485"/>
      <c r="F232" s="3474">
        <v>0.05</v>
      </c>
      <c r="G232" s="3491"/>
    </row>
    <row r="233" spans="1:7" ht="14.25" thickBot="1">
      <c r="A233" s="3487" t="s">
        <v>1154</v>
      </c>
      <c r="B233" s="3477" t="s">
        <v>3106</v>
      </c>
      <c r="C233" s="3479"/>
      <c r="D233" s="3479"/>
      <c r="E233" s="3479"/>
      <c r="F233" s="3478">
        <v>0.05</v>
      </c>
      <c r="G233" s="3492"/>
    </row>
    <row r="234" spans="1:7">
      <c r="A234" s="3483" t="s">
        <v>1155</v>
      </c>
      <c r="B234" s="3469" t="s">
        <v>3107</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2928</v>
      </c>
      <c r="C238" s="3474">
        <v>0.14899999999999999</v>
      </c>
      <c r="D238" s="3474">
        <v>0.14899999999999999</v>
      </c>
      <c r="E238" s="3474">
        <v>0.15</v>
      </c>
      <c r="F238" s="3474">
        <v>0.15</v>
      </c>
      <c r="G238" s="3475">
        <v>0.15</v>
      </c>
    </row>
    <row r="239" spans="1:7">
      <c r="A239" s="3484" t="s">
        <v>1155</v>
      </c>
      <c r="B239" s="3473" t="s">
        <v>3108</v>
      </c>
      <c r="C239" s="3474">
        <v>0.15</v>
      </c>
      <c r="D239" s="3474">
        <v>0.15</v>
      </c>
      <c r="E239" s="3474">
        <v>0.15</v>
      </c>
      <c r="F239" s="3474">
        <v>0.15</v>
      </c>
      <c r="G239" s="3475">
        <v>0.15</v>
      </c>
    </row>
    <row r="240" spans="1:7">
      <c r="A240" s="3484" t="s">
        <v>1155</v>
      </c>
      <c r="B240" s="3473" t="s">
        <v>3109</v>
      </c>
      <c r="C240" s="3474">
        <v>0.15</v>
      </c>
      <c r="D240" s="3474">
        <v>0.15</v>
      </c>
      <c r="E240" s="3474">
        <v>0.15</v>
      </c>
      <c r="F240" s="3474">
        <v>0.15</v>
      </c>
      <c r="G240" s="3475">
        <v>0.15</v>
      </c>
    </row>
    <row r="241" spans="1:7">
      <c r="A241" s="3484" t="s">
        <v>1155</v>
      </c>
      <c r="B241" s="3473" t="s">
        <v>3110</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3111</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3112</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3113</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3114</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3115</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2937</v>
      </c>
      <c r="C258" s="3474">
        <v>0.14299999999999999</v>
      </c>
      <c r="D258" s="3474">
        <v>0.14299999999999999</v>
      </c>
      <c r="E258" s="3474">
        <v>0.15</v>
      </c>
      <c r="F258" s="3474">
        <v>0.14799999999999999</v>
      </c>
      <c r="G258" s="3475">
        <v>0.14599999999999999</v>
      </c>
    </row>
    <row r="259" spans="1:7">
      <c r="A259" s="3484" t="s">
        <v>1155</v>
      </c>
      <c r="B259" s="3473" t="s">
        <v>3116</v>
      </c>
      <c r="C259" s="3474">
        <v>0.14399999999999999</v>
      </c>
      <c r="D259" s="3474">
        <v>0.14399999999999999</v>
      </c>
      <c r="E259" s="3474">
        <v>0.14899999999999999</v>
      </c>
      <c r="F259" s="3474">
        <v>0.14699999999999999</v>
      </c>
      <c r="G259" s="3475">
        <v>0.14599999999999999</v>
      </c>
    </row>
    <row r="260" spans="1:7">
      <c r="A260" s="3484" t="s">
        <v>1155</v>
      </c>
      <c r="B260" s="3473" t="s">
        <v>3117</v>
      </c>
      <c r="C260" s="3474">
        <v>0.109</v>
      </c>
      <c r="D260" s="3474">
        <v>0.111</v>
      </c>
      <c r="E260" s="3474">
        <v>0.13100000000000001</v>
      </c>
      <c r="F260" s="3474">
        <v>0.126</v>
      </c>
      <c r="G260" s="3475">
        <v>0.11899999999999999</v>
      </c>
    </row>
    <row r="261" spans="1:7">
      <c r="A261" s="3484" t="s">
        <v>1155</v>
      </c>
      <c r="B261" s="3473" t="s">
        <v>3118</v>
      </c>
      <c r="C261" s="3474">
        <v>0.1</v>
      </c>
      <c r="D261" s="3474">
        <v>0.1</v>
      </c>
      <c r="E261" s="3474">
        <v>0.11799999999999999</v>
      </c>
      <c r="F261" s="3474">
        <v>0.108</v>
      </c>
      <c r="G261" s="3475">
        <v>0.107</v>
      </c>
    </row>
    <row r="262" spans="1:7">
      <c r="A262" s="3484" t="s">
        <v>1155</v>
      </c>
      <c r="B262" s="3473" t="s">
        <v>3119</v>
      </c>
      <c r="C262" s="3474">
        <v>0.1</v>
      </c>
      <c r="D262" s="3474">
        <v>0.1</v>
      </c>
      <c r="E262" s="3474">
        <v>0.1</v>
      </c>
      <c r="F262" s="3474">
        <v>0.14099999999999999</v>
      </c>
      <c r="G262" s="3475">
        <v>0.1</v>
      </c>
    </row>
    <row r="263" spans="1:7">
      <c r="A263" s="3484" t="s">
        <v>1155</v>
      </c>
      <c r="B263" s="3473" t="s">
        <v>3120</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3121</v>
      </c>
      <c r="C265" s="3485"/>
      <c r="D265" s="3485"/>
      <c r="E265" s="3485"/>
      <c r="F265" s="3474">
        <v>0.05</v>
      </c>
      <c r="G265" s="3491"/>
    </row>
    <row r="266" spans="1:7">
      <c r="A266" s="3484" t="s">
        <v>1155</v>
      </c>
      <c r="B266" s="3473" t="s">
        <v>3122</v>
      </c>
      <c r="C266" s="3485"/>
      <c r="D266" s="3485"/>
      <c r="E266" s="3485"/>
      <c r="F266" s="3474">
        <v>0.05</v>
      </c>
      <c r="G266" s="3491"/>
    </row>
    <row r="267" spans="1:7">
      <c r="A267" s="3484" t="s">
        <v>1155</v>
      </c>
      <c r="B267" s="3473" t="s">
        <v>3123</v>
      </c>
      <c r="C267" s="3485"/>
      <c r="D267" s="3485"/>
      <c r="E267" s="3485"/>
      <c r="F267" s="3474">
        <v>0.05</v>
      </c>
      <c r="G267" s="3491"/>
    </row>
    <row r="268" spans="1:7">
      <c r="A268" s="3484" t="s">
        <v>1155</v>
      </c>
      <c r="B268" s="3473" t="s">
        <v>3124</v>
      </c>
      <c r="C268" s="3485"/>
      <c r="D268" s="3485"/>
      <c r="E268" s="3485"/>
      <c r="F268" s="3474">
        <v>0.05</v>
      </c>
      <c r="G268" s="3491"/>
    </row>
    <row r="269" spans="1:7">
      <c r="A269" s="3484" t="s">
        <v>1155</v>
      </c>
      <c r="B269" s="3473" t="s">
        <v>3125</v>
      </c>
      <c r="C269" s="3485"/>
      <c r="D269" s="3485"/>
      <c r="E269" s="3485"/>
      <c r="F269" s="3474">
        <v>0.05</v>
      </c>
      <c r="G269" s="3491"/>
    </row>
    <row r="270" spans="1:7">
      <c r="A270" s="3484" t="s">
        <v>1155</v>
      </c>
      <c r="B270" s="3473" t="s">
        <v>3126</v>
      </c>
      <c r="C270" s="3485"/>
      <c r="D270" s="3485"/>
      <c r="E270" s="3485"/>
      <c r="F270" s="3474">
        <v>0.05</v>
      </c>
      <c r="G270" s="3491"/>
    </row>
    <row r="271" spans="1:7">
      <c r="A271" s="3484" t="s">
        <v>1155</v>
      </c>
      <c r="B271" s="3473" t="s">
        <v>3127</v>
      </c>
      <c r="C271" s="3485"/>
      <c r="D271" s="3485"/>
      <c r="E271" s="3485"/>
      <c r="F271" s="3474">
        <v>0.05</v>
      </c>
      <c r="G271" s="3491"/>
    </row>
    <row r="272" spans="1:7">
      <c r="A272" s="3484" t="s">
        <v>1155</v>
      </c>
      <c r="B272" s="3473" t="s">
        <v>3128</v>
      </c>
      <c r="C272" s="3485"/>
      <c r="D272" s="3485"/>
      <c r="E272" s="3485"/>
      <c r="F272" s="3474">
        <v>0.05</v>
      </c>
      <c r="G272" s="3491"/>
    </row>
    <row r="273" spans="1:7">
      <c r="A273" s="3484" t="s">
        <v>1155</v>
      </c>
      <c r="B273" s="3473" t="s">
        <v>3129</v>
      </c>
      <c r="C273" s="3485"/>
      <c r="D273" s="3485"/>
      <c r="E273" s="3485"/>
      <c r="F273" s="3474">
        <v>0.05</v>
      </c>
      <c r="G273" s="3491"/>
    </row>
    <row r="274" spans="1:7">
      <c r="A274" s="3484" t="s">
        <v>1155</v>
      </c>
      <c r="B274" s="3473" t="s">
        <v>3130</v>
      </c>
      <c r="C274" s="3485"/>
      <c r="D274" s="3485"/>
      <c r="E274" s="3485"/>
      <c r="F274" s="3474">
        <v>0.05</v>
      </c>
      <c r="G274" s="3491"/>
    </row>
    <row r="275" spans="1:7">
      <c r="A275" s="3484" t="s">
        <v>1155</v>
      </c>
      <c r="B275" s="3473" t="s">
        <v>3131</v>
      </c>
      <c r="C275" s="3485"/>
      <c r="D275" s="3485"/>
      <c r="E275" s="3485"/>
      <c r="F275" s="3474">
        <v>0.05</v>
      </c>
      <c r="G275" s="3491"/>
    </row>
    <row r="276" spans="1:7" ht="14.25" thickBot="1">
      <c r="A276" s="3487" t="s">
        <v>1155</v>
      </c>
      <c r="B276" s="3477" t="s">
        <v>3132</v>
      </c>
      <c r="C276" s="3479"/>
      <c r="D276" s="3479"/>
      <c r="E276" s="3479"/>
      <c r="F276" s="3478">
        <v>0.05</v>
      </c>
      <c r="G276" s="3492"/>
    </row>
    <row r="277" spans="1:7">
      <c r="A277" s="3483" t="s">
        <v>1156</v>
      </c>
      <c r="B277" s="3469" t="s">
        <v>3133</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3134</v>
      </c>
      <c r="C279" s="3474">
        <v>0.15</v>
      </c>
      <c r="D279" s="3474">
        <v>0.15</v>
      </c>
      <c r="E279" s="3474">
        <v>0.15</v>
      </c>
      <c r="F279" s="3474">
        <v>0.15</v>
      </c>
      <c r="G279" s="3475">
        <v>0.15</v>
      </c>
    </row>
    <row r="280" spans="1:7">
      <c r="A280" s="3484" t="s">
        <v>1156</v>
      </c>
      <c r="B280" s="3473" t="s">
        <v>3135</v>
      </c>
      <c r="C280" s="3474">
        <v>0.15</v>
      </c>
      <c r="D280" s="3474">
        <v>0.15</v>
      </c>
      <c r="E280" s="3474">
        <v>0.15</v>
      </c>
      <c r="F280" s="3474">
        <v>0.15</v>
      </c>
      <c r="G280" s="3475">
        <v>0.15</v>
      </c>
    </row>
    <row r="281" spans="1:7">
      <c r="A281" s="3484" t="s">
        <v>1156</v>
      </c>
      <c r="B281" s="3473" t="s">
        <v>3136</v>
      </c>
      <c r="C281" s="3474">
        <v>0.15</v>
      </c>
      <c r="D281" s="3474">
        <v>0.15</v>
      </c>
      <c r="E281" s="3474">
        <v>0.15</v>
      </c>
      <c r="F281" s="3474">
        <v>0.15</v>
      </c>
      <c r="G281" s="3475">
        <v>0.15</v>
      </c>
    </row>
    <row r="282" spans="1:7">
      <c r="A282" s="3484" t="s">
        <v>1156</v>
      </c>
      <c r="B282" s="3473" t="s">
        <v>3137</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3138</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3139</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2962</v>
      </c>
      <c r="C293" s="3474">
        <v>0.15</v>
      </c>
      <c r="D293" s="3474">
        <v>0.15</v>
      </c>
      <c r="E293" s="3474">
        <v>0.15</v>
      </c>
      <c r="F293" s="3474">
        <v>0.14499999999999999</v>
      </c>
      <c r="G293" s="3475">
        <v>0.15</v>
      </c>
    </row>
    <row r="294" spans="1:7">
      <c r="A294" s="3484" t="s">
        <v>1156</v>
      </c>
      <c r="B294" s="3473" t="s">
        <v>3140</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2964</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3141</v>
      </c>
      <c r="C302" s="3474">
        <v>0.15</v>
      </c>
      <c r="D302" s="3474">
        <v>0.15</v>
      </c>
      <c r="E302" s="3474">
        <v>0.15</v>
      </c>
      <c r="F302" s="3474">
        <v>0.14699999999999999</v>
      </c>
      <c r="G302" s="3475">
        <v>0.15</v>
      </c>
    </row>
    <row r="303" spans="1:7">
      <c r="A303" s="3484" t="s">
        <v>1156</v>
      </c>
      <c r="B303" s="3473" t="s">
        <v>2966</v>
      </c>
      <c r="C303" s="3474">
        <v>0.15</v>
      </c>
      <c r="D303" s="3474">
        <v>0.15</v>
      </c>
      <c r="E303" s="3474">
        <v>0.15</v>
      </c>
      <c r="F303" s="3474">
        <v>0.14199999999999999</v>
      </c>
      <c r="G303" s="3475">
        <v>0.15</v>
      </c>
    </row>
    <row r="304" spans="1:7">
      <c r="A304" s="3484" t="s">
        <v>1156</v>
      </c>
      <c r="B304" s="3473" t="s">
        <v>2967</v>
      </c>
      <c r="C304" s="3474">
        <v>0.15</v>
      </c>
      <c r="D304" s="3474">
        <v>0.15</v>
      </c>
      <c r="E304" s="3474">
        <v>0.15</v>
      </c>
      <c r="F304" s="3474">
        <v>0.14499999999999999</v>
      </c>
      <c r="G304" s="3475">
        <v>0.15</v>
      </c>
    </row>
    <row r="305" spans="1:7">
      <c r="A305" s="3484" t="s">
        <v>1156</v>
      </c>
      <c r="B305" s="3473" t="s">
        <v>2968</v>
      </c>
      <c r="C305" s="3474">
        <v>0.15</v>
      </c>
      <c r="D305" s="3474">
        <v>0.15</v>
      </c>
      <c r="E305" s="3474">
        <v>0.15</v>
      </c>
      <c r="F305" s="3474">
        <v>0.111</v>
      </c>
      <c r="G305" s="3475">
        <v>0.15</v>
      </c>
    </row>
    <row r="306" spans="1:7">
      <c r="A306" s="3484" t="s">
        <v>1156</v>
      </c>
      <c r="B306" s="3473" t="s">
        <v>3142</v>
      </c>
      <c r="C306" s="3474">
        <v>0.15</v>
      </c>
      <c r="D306" s="3474">
        <v>0.15</v>
      </c>
      <c r="E306" s="3474">
        <v>0.15</v>
      </c>
      <c r="F306" s="3474">
        <v>0.126</v>
      </c>
      <c r="G306" s="3475">
        <v>0.15</v>
      </c>
    </row>
    <row r="307" spans="1:7">
      <c r="A307" s="3484" t="s">
        <v>1156</v>
      </c>
      <c r="B307" s="3473" t="s">
        <v>2970</v>
      </c>
      <c r="C307" s="3474">
        <v>0.15</v>
      </c>
      <c r="D307" s="3474">
        <v>0.15</v>
      </c>
      <c r="E307" s="3474">
        <v>0.15</v>
      </c>
      <c r="F307" s="3474">
        <v>0.12</v>
      </c>
      <c r="G307" s="3475">
        <v>0.15</v>
      </c>
    </row>
    <row r="308" spans="1:7">
      <c r="A308" s="3484" t="s">
        <v>1156</v>
      </c>
      <c r="B308" s="3473" t="s">
        <v>3143</v>
      </c>
      <c r="C308" s="3474">
        <v>0.15</v>
      </c>
      <c r="D308" s="3474">
        <v>0.15</v>
      </c>
      <c r="E308" s="3474">
        <v>0.15</v>
      </c>
      <c r="F308" s="3474">
        <v>0.13</v>
      </c>
      <c r="G308" s="3475">
        <v>0.15</v>
      </c>
    </row>
    <row r="309" spans="1:7">
      <c r="A309" s="3484" t="s">
        <v>1156</v>
      </c>
      <c r="B309" s="3473" t="s">
        <v>3144</v>
      </c>
      <c r="C309" s="3474">
        <v>0.15</v>
      </c>
      <c r="D309" s="3474">
        <v>0.15</v>
      </c>
      <c r="E309" s="3474">
        <v>0.15</v>
      </c>
      <c r="F309" s="3474">
        <v>0.14099999999999999</v>
      </c>
      <c r="G309" s="3475">
        <v>0.15</v>
      </c>
    </row>
    <row r="310" spans="1:7">
      <c r="A310" s="3484" t="s">
        <v>1156</v>
      </c>
      <c r="B310" s="3473" t="s">
        <v>2973</v>
      </c>
      <c r="C310" s="3474">
        <v>0.15</v>
      </c>
      <c r="D310" s="3474">
        <v>0.15</v>
      </c>
      <c r="E310" s="3474">
        <v>0.15</v>
      </c>
      <c r="F310" s="3474">
        <v>0.15</v>
      </c>
      <c r="G310" s="3475">
        <v>0.15</v>
      </c>
    </row>
    <row r="311" spans="1:7">
      <c r="A311" s="3484" t="s">
        <v>1156</v>
      </c>
      <c r="B311" s="3473" t="s">
        <v>3145</v>
      </c>
      <c r="C311" s="3474">
        <v>0.13200000000000001</v>
      </c>
      <c r="D311" s="3474">
        <v>0.13300000000000001</v>
      </c>
      <c r="E311" s="3474">
        <v>0.14499999999999999</v>
      </c>
      <c r="F311" s="3474">
        <v>0.14199999999999999</v>
      </c>
      <c r="G311" s="3475">
        <v>0.14000000000000001</v>
      </c>
    </row>
    <row r="312" spans="1:7">
      <c r="A312" s="3484" t="s">
        <v>1156</v>
      </c>
      <c r="B312" s="3473" t="s">
        <v>2975</v>
      </c>
      <c r="C312" s="3474">
        <v>0.13800000000000001</v>
      </c>
      <c r="D312" s="3474">
        <v>0.14000000000000001</v>
      </c>
      <c r="E312" s="3474">
        <v>0.14599999999999999</v>
      </c>
      <c r="F312" s="3474">
        <v>0.14899999999999999</v>
      </c>
      <c r="G312" s="3475">
        <v>0.14199999999999999</v>
      </c>
    </row>
    <row r="313" spans="1:7">
      <c r="A313" s="3484" t="s">
        <v>1156</v>
      </c>
      <c r="B313" s="3473" t="s">
        <v>2976</v>
      </c>
      <c r="C313" s="3474">
        <v>0.125</v>
      </c>
      <c r="D313" s="3474">
        <v>0.127</v>
      </c>
      <c r="E313" s="3474">
        <v>0.14399999999999999</v>
      </c>
      <c r="F313" s="3474">
        <v>0.115</v>
      </c>
      <c r="G313" s="3475">
        <v>0.13600000000000001</v>
      </c>
    </row>
    <row r="314" spans="1:7">
      <c r="A314" s="3484" t="s">
        <v>1156</v>
      </c>
      <c r="B314" s="3473" t="s">
        <v>3146</v>
      </c>
      <c r="C314" s="3490"/>
      <c r="D314" s="3490"/>
      <c r="E314" s="3490"/>
      <c r="F314" s="3474">
        <v>0.05</v>
      </c>
      <c r="G314" s="3491"/>
    </row>
    <row r="315" spans="1:7">
      <c r="A315" s="3484" t="s">
        <v>1156</v>
      </c>
      <c r="B315" s="3473" t="s">
        <v>3147</v>
      </c>
      <c r="C315" s="3490"/>
      <c r="D315" s="3490"/>
      <c r="E315" s="3490"/>
      <c r="F315" s="3474">
        <v>0.05</v>
      </c>
      <c r="G315" s="3491"/>
    </row>
    <row r="316" spans="1:7">
      <c r="A316" s="3484" t="s">
        <v>1156</v>
      </c>
      <c r="B316" s="3473" t="s">
        <v>3148</v>
      </c>
      <c r="C316" s="3485"/>
      <c r="D316" s="3485"/>
      <c r="E316" s="3485"/>
      <c r="F316" s="3474">
        <v>0.05</v>
      </c>
      <c r="G316" s="3491"/>
    </row>
    <row r="317" spans="1:7">
      <c r="A317" s="3484" t="s">
        <v>1156</v>
      </c>
      <c r="B317" s="3473" t="s">
        <v>3149</v>
      </c>
      <c r="C317" s="3485"/>
      <c r="D317" s="3485"/>
      <c r="E317" s="3485"/>
      <c r="F317" s="3474">
        <v>0.05</v>
      </c>
      <c r="G317" s="3491"/>
    </row>
    <row r="318" spans="1:7">
      <c r="A318" s="3484" t="s">
        <v>1156</v>
      </c>
      <c r="B318" s="3473" t="s">
        <v>3150</v>
      </c>
      <c r="C318" s="3485"/>
      <c r="D318" s="3485"/>
      <c r="E318" s="3485"/>
      <c r="F318" s="3474">
        <v>0.05</v>
      </c>
      <c r="G318" s="3491"/>
    </row>
    <row r="319" spans="1:7">
      <c r="A319" s="3484" t="s">
        <v>1156</v>
      </c>
      <c r="B319" s="3473" t="s">
        <v>3151</v>
      </c>
      <c r="C319" s="3485"/>
      <c r="D319" s="3485"/>
      <c r="E319" s="3485"/>
      <c r="F319" s="3474">
        <v>0.05</v>
      </c>
      <c r="G319" s="3491"/>
    </row>
    <row r="320" spans="1:7">
      <c r="A320" s="3484" t="s">
        <v>1156</v>
      </c>
      <c r="B320" s="3473" t="s">
        <v>3152</v>
      </c>
      <c r="C320" s="3485"/>
      <c r="D320" s="3485"/>
      <c r="E320" s="3485"/>
      <c r="F320" s="3474">
        <v>0.05</v>
      </c>
      <c r="G320" s="3491"/>
    </row>
    <row r="321" spans="1:7">
      <c r="A321" s="3484" t="s">
        <v>1156</v>
      </c>
      <c r="B321" s="3473" t="s">
        <v>3153</v>
      </c>
      <c r="C321" s="3485"/>
      <c r="D321" s="3485"/>
      <c r="E321" s="3485"/>
      <c r="F321" s="3474">
        <v>0.05</v>
      </c>
      <c r="G321" s="3491"/>
    </row>
    <row r="322" spans="1:7">
      <c r="A322" s="3484" t="s">
        <v>1156</v>
      </c>
      <c r="B322" s="3473" t="s">
        <v>3154</v>
      </c>
      <c r="C322" s="3485"/>
      <c r="D322" s="3485"/>
      <c r="E322" s="3485"/>
      <c r="F322" s="3474">
        <v>0.05</v>
      </c>
      <c r="G322" s="3491"/>
    </row>
    <row r="323" spans="1:7">
      <c r="A323" s="3484" t="s">
        <v>1156</v>
      </c>
      <c r="B323" s="3473" t="s">
        <v>3155</v>
      </c>
      <c r="C323" s="3485"/>
      <c r="D323" s="3485"/>
      <c r="E323" s="3485"/>
      <c r="F323" s="3474">
        <v>0.05</v>
      </c>
      <c r="G323" s="3491"/>
    </row>
    <row r="324" spans="1:7">
      <c r="A324" s="3484" t="s">
        <v>1156</v>
      </c>
      <c r="B324" s="3473" t="s">
        <v>3156</v>
      </c>
      <c r="C324" s="3485"/>
      <c r="D324" s="3485"/>
      <c r="E324" s="3485"/>
      <c r="F324" s="3474">
        <v>0.05</v>
      </c>
      <c r="G324" s="3491"/>
    </row>
    <row r="325" spans="1:7">
      <c r="A325" s="3484" t="s">
        <v>1156</v>
      </c>
      <c r="B325" s="3473" t="s">
        <v>3157</v>
      </c>
      <c r="C325" s="3485"/>
      <c r="D325" s="3485"/>
      <c r="E325" s="3485"/>
      <c r="F325" s="3474">
        <v>0.05</v>
      </c>
      <c r="G325" s="3491"/>
    </row>
    <row r="326" spans="1:7" ht="14.25" thickBot="1">
      <c r="A326" s="3487" t="s">
        <v>1156</v>
      </c>
      <c r="B326" s="3477" t="s">
        <v>3158</v>
      </c>
      <c r="C326" s="3479"/>
      <c r="D326" s="3479"/>
      <c r="E326" s="3479"/>
      <c r="F326" s="3478">
        <v>0.05</v>
      </c>
      <c r="G326" s="3492"/>
    </row>
    <row r="327" spans="1:7">
      <c r="A327" s="3483" t="s">
        <v>1157</v>
      </c>
      <c r="B327" s="3469" t="s">
        <v>3159</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3160</v>
      </c>
      <c r="C329" s="3474">
        <v>0.15</v>
      </c>
      <c r="D329" s="3474">
        <v>0.15</v>
      </c>
      <c r="E329" s="3474">
        <v>0.15</v>
      </c>
      <c r="F329" s="3474">
        <v>0.15</v>
      </c>
      <c r="G329" s="3475">
        <v>0.15</v>
      </c>
    </row>
    <row r="330" spans="1:7">
      <c r="A330" s="3484" t="s">
        <v>1157</v>
      </c>
      <c r="B330" s="3473" t="s">
        <v>3161</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2993</v>
      </c>
      <c r="C332" s="3474">
        <v>0.15</v>
      </c>
      <c r="D332" s="3474">
        <v>0.15</v>
      </c>
      <c r="E332" s="3474">
        <v>0.15</v>
      </c>
      <c r="F332" s="3474">
        <v>0.15</v>
      </c>
      <c r="G332" s="3475">
        <v>0.15</v>
      </c>
    </row>
    <row r="333" spans="1:7">
      <c r="A333" s="3484" t="s">
        <v>1157</v>
      </c>
      <c r="B333" s="3473" t="s">
        <v>3162</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2995</v>
      </c>
      <c r="C336" s="3474">
        <v>0.15</v>
      </c>
      <c r="D336" s="3474">
        <v>0.15</v>
      </c>
      <c r="E336" s="3474">
        <v>0.15</v>
      </c>
      <c r="F336" s="3474">
        <v>0.14199999999999999</v>
      </c>
      <c r="G336" s="3475">
        <v>0.15</v>
      </c>
    </row>
    <row r="337" spans="1:7">
      <c r="A337" s="3484" t="s">
        <v>1157</v>
      </c>
      <c r="B337" s="3473" t="s">
        <v>3163</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3164</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3165</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2999</v>
      </c>
      <c r="C345" s="3474">
        <v>0.15</v>
      </c>
      <c r="D345" s="3474">
        <v>0.15</v>
      </c>
      <c r="E345" s="3474">
        <v>0.15</v>
      </c>
      <c r="F345" s="3474">
        <v>0.13800000000000001</v>
      </c>
      <c r="G345" s="3475">
        <v>0.15</v>
      </c>
    </row>
    <row r="346" spans="1:7">
      <c r="A346" s="3484" t="s">
        <v>1157</v>
      </c>
      <c r="B346" s="3473" t="s">
        <v>3166</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3001</v>
      </c>
      <c r="C348" s="3474">
        <v>0.15</v>
      </c>
      <c r="D348" s="3474">
        <v>0.15</v>
      </c>
      <c r="E348" s="3474">
        <v>0.15</v>
      </c>
      <c r="F348" s="3474">
        <v>0.14399999999999999</v>
      </c>
      <c r="G348" s="3475">
        <v>0.15</v>
      </c>
    </row>
    <row r="349" spans="1:7">
      <c r="A349" s="3484" t="s">
        <v>1157</v>
      </c>
      <c r="B349" s="3473" t="s">
        <v>3002</v>
      </c>
      <c r="C349" s="3474">
        <v>0.15</v>
      </c>
      <c r="D349" s="3474">
        <v>0.15</v>
      </c>
      <c r="E349" s="3474">
        <v>0.15</v>
      </c>
      <c r="F349" s="3474">
        <v>0.15</v>
      </c>
      <c r="G349" s="3475">
        <v>0.15</v>
      </c>
    </row>
    <row r="350" spans="1:7">
      <c r="A350" s="3484" t="s">
        <v>1157</v>
      </c>
      <c r="B350" s="3473" t="s">
        <v>3167</v>
      </c>
      <c r="C350" s="3474">
        <v>0.15</v>
      </c>
      <c r="D350" s="3474">
        <v>0.15</v>
      </c>
      <c r="E350" s="3474">
        <v>0.15</v>
      </c>
      <c r="F350" s="3474">
        <v>0.14699999999999999</v>
      </c>
      <c r="G350" s="3475">
        <v>0.15</v>
      </c>
    </row>
    <row r="351" spans="1:7">
      <c r="A351" s="3484" t="s">
        <v>1157</v>
      </c>
      <c r="B351" s="3473" t="s">
        <v>3004</v>
      </c>
      <c r="C351" s="3474">
        <v>0.15</v>
      </c>
      <c r="D351" s="3474">
        <v>0.15</v>
      </c>
      <c r="E351" s="3474">
        <v>0.15</v>
      </c>
      <c r="F351" s="3474">
        <v>0.13</v>
      </c>
      <c r="G351" s="3475">
        <v>0.15</v>
      </c>
    </row>
    <row r="352" spans="1:7">
      <c r="A352" s="3484" t="s">
        <v>1157</v>
      </c>
      <c r="B352" s="3473" t="s">
        <v>3005</v>
      </c>
      <c r="C352" s="3474">
        <v>0.15</v>
      </c>
      <c r="D352" s="3474">
        <v>0.15</v>
      </c>
      <c r="E352" s="3474">
        <v>0.15</v>
      </c>
      <c r="F352" s="3474">
        <v>0.14599999999999999</v>
      </c>
      <c r="G352" s="3475">
        <v>0.15</v>
      </c>
    </row>
    <row r="353" spans="1:7">
      <c r="A353" s="3484" t="s">
        <v>1157</v>
      </c>
      <c r="B353" s="3473" t="s">
        <v>3168</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3007</v>
      </c>
      <c r="C355" s="3474">
        <v>0.15</v>
      </c>
      <c r="D355" s="3474">
        <v>0.15</v>
      </c>
      <c r="E355" s="3474">
        <v>0.15</v>
      </c>
      <c r="F355" s="3474">
        <v>0.15</v>
      </c>
      <c r="G355" s="3475">
        <v>0.15</v>
      </c>
    </row>
    <row r="356" spans="1:7">
      <c r="A356" s="3484" t="s">
        <v>1157</v>
      </c>
      <c r="B356" s="3473" t="s">
        <v>3008</v>
      </c>
      <c r="C356" s="3474">
        <v>0.15</v>
      </c>
      <c r="D356" s="3474">
        <v>0.15</v>
      </c>
      <c r="E356" s="3474">
        <v>0.15</v>
      </c>
      <c r="F356" s="3474">
        <v>0.15</v>
      </c>
      <c r="G356" s="3475">
        <v>0.15</v>
      </c>
    </row>
    <row r="357" spans="1:7" ht="14.25" thickBot="1">
      <c r="A357" s="3487" t="s">
        <v>1157</v>
      </c>
      <c r="B357" s="3477" t="s">
        <v>3169</v>
      </c>
      <c r="C357" s="3478">
        <v>0.126</v>
      </c>
      <c r="D357" s="3478">
        <v>0.127</v>
      </c>
      <c r="E357" s="3478">
        <v>0.14299999999999999</v>
      </c>
      <c r="F357" s="3478">
        <v>0.125</v>
      </c>
      <c r="G357" s="3480">
        <v>0.129</v>
      </c>
    </row>
    <row r="358" spans="1:7">
      <c r="A358" s="3483" t="s">
        <v>3170</v>
      </c>
      <c r="B358" s="3469" t="s">
        <v>3171</v>
      </c>
      <c r="C358" s="3470">
        <v>0.15</v>
      </c>
      <c r="D358" s="3470">
        <v>0.15</v>
      </c>
      <c r="E358" s="3470">
        <v>0.15</v>
      </c>
      <c r="F358" s="3470">
        <v>0.15</v>
      </c>
      <c r="G358" s="3471">
        <v>0.15</v>
      </c>
    </row>
    <row r="359" spans="1:7">
      <c r="A359" s="3484" t="s">
        <v>3170</v>
      </c>
      <c r="B359" s="3473" t="s">
        <v>3172</v>
      </c>
      <c r="C359" s="3474">
        <v>0.1</v>
      </c>
      <c r="D359" s="3474">
        <v>0.1</v>
      </c>
      <c r="E359" s="3474">
        <v>0.1</v>
      </c>
      <c r="F359" s="3474">
        <v>0.1</v>
      </c>
      <c r="G359" s="3475">
        <v>0.1</v>
      </c>
    </row>
    <row r="360" spans="1:7">
      <c r="A360" s="3484" t="s">
        <v>3170</v>
      </c>
      <c r="B360" s="3473" t="s">
        <v>3173</v>
      </c>
      <c r="C360" s="3474">
        <v>0.15</v>
      </c>
      <c r="D360" s="3474">
        <v>0.15</v>
      </c>
      <c r="E360" s="3474">
        <v>0.15</v>
      </c>
      <c r="F360" s="3474">
        <v>0.14899999999999999</v>
      </c>
      <c r="G360" s="3475">
        <v>0.15</v>
      </c>
    </row>
    <row r="361" spans="1:7">
      <c r="A361" s="3484" t="s">
        <v>3170</v>
      </c>
      <c r="B361" s="3473" t="s">
        <v>999</v>
      </c>
      <c r="C361" s="3474">
        <v>0.15</v>
      </c>
      <c r="D361" s="3474">
        <v>0.15</v>
      </c>
      <c r="E361" s="3474">
        <v>0.15</v>
      </c>
      <c r="F361" s="3474">
        <v>0.115</v>
      </c>
      <c r="G361" s="3475">
        <v>0.15</v>
      </c>
    </row>
    <row r="362" spans="1:7">
      <c r="A362" s="3484" t="s">
        <v>3170</v>
      </c>
      <c r="B362" s="3473" t="s">
        <v>3174</v>
      </c>
      <c r="C362" s="3474">
        <v>0.15</v>
      </c>
      <c r="D362" s="3474">
        <v>0.15</v>
      </c>
      <c r="E362" s="3474">
        <v>0.15</v>
      </c>
      <c r="F362" s="3474">
        <v>0.106</v>
      </c>
      <c r="G362" s="3475">
        <v>0.15</v>
      </c>
    </row>
    <row r="363" spans="1:7">
      <c r="A363" s="3484" t="s">
        <v>3170</v>
      </c>
      <c r="B363" s="3473" t="s">
        <v>3014</v>
      </c>
      <c r="C363" s="3474">
        <v>0.15</v>
      </c>
      <c r="D363" s="3474">
        <v>0.15</v>
      </c>
      <c r="E363" s="3474">
        <v>0.15</v>
      </c>
      <c r="F363" s="3474">
        <v>0.14699999999999999</v>
      </c>
      <c r="G363" s="3475">
        <v>0.15</v>
      </c>
    </row>
    <row r="364" spans="1:7">
      <c r="A364" s="3484" t="s">
        <v>3170</v>
      </c>
      <c r="B364" s="3473" t="s">
        <v>3175</v>
      </c>
      <c r="C364" s="3474">
        <v>0.15</v>
      </c>
      <c r="D364" s="3474">
        <v>0.15</v>
      </c>
      <c r="E364" s="3474">
        <v>0.15</v>
      </c>
      <c r="F364" s="3474">
        <v>0.14799999999999999</v>
      </c>
      <c r="G364" s="3475">
        <v>0.15</v>
      </c>
    </row>
    <row r="365" spans="1:7">
      <c r="A365" s="3484" t="s">
        <v>3170</v>
      </c>
      <c r="B365" s="3473" t="s">
        <v>1047</v>
      </c>
      <c r="C365" s="3474">
        <v>0.15</v>
      </c>
      <c r="D365" s="3474">
        <v>0.15</v>
      </c>
      <c r="E365" s="3474">
        <v>0.15</v>
      </c>
      <c r="F365" s="3474">
        <v>0.15</v>
      </c>
      <c r="G365" s="3475">
        <v>0.15</v>
      </c>
    </row>
    <row r="366" spans="1:7">
      <c r="A366" s="3484" t="s">
        <v>3170</v>
      </c>
      <c r="B366" s="3473" t="s">
        <v>3016</v>
      </c>
      <c r="C366" s="3474">
        <v>0.15</v>
      </c>
      <c r="D366" s="3474">
        <v>0.15</v>
      </c>
      <c r="E366" s="3474">
        <v>0.15</v>
      </c>
      <c r="F366" s="3474">
        <v>0.15</v>
      </c>
      <c r="G366" s="3475">
        <v>0.15</v>
      </c>
    </row>
    <row r="367" spans="1:7">
      <c r="A367" s="3484" t="s">
        <v>3170</v>
      </c>
      <c r="B367" s="3473" t="s">
        <v>3176</v>
      </c>
      <c r="C367" s="3474">
        <v>0.15</v>
      </c>
      <c r="D367" s="3474">
        <v>0.15</v>
      </c>
      <c r="E367" s="3474">
        <v>0.15</v>
      </c>
      <c r="F367" s="3474">
        <v>0.14699999999999999</v>
      </c>
      <c r="G367" s="3475">
        <v>0.15</v>
      </c>
    </row>
    <row r="368" spans="1:7">
      <c r="A368" s="3484" t="s">
        <v>3170</v>
      </c>
      <c r="B368" s="3473" t="s">
        <v>3177</v>
      </c>
      <c r="C368" s="3474">
        <v>0.15</v>
      </c>
      <c r="D368" s="3474">
        <v>0.15</v>
      </c>
      <c r="E368" s="3474">
        <v>0.15</v>
      </c>
      <c r="F368" s="3474">
        <v>0.13600000000000001</v>
      </c>
      <c r="G368" s="3475">
        <v>0.15</v>
      </c>
    </row>
    <row r="369" spans="1:7">
      <c r="A369" s="3484" t="s">
        <v>3170</v>
      </c>
      <c r="B369" s="3473" t="s">
        <v>1061</v>
      </c>
      <c r="C369" s="3474">
        <v>0.15</v>
      </c>
      <c r="D369" s="3474">
        <v>0.15</v>
      </c>
      <c r="E369" s="3474">
        <v>0.15</v>
      </c>
      <c r="F369" s="3474">
        <v>0.14399999999999999</v>
      </c>
      <c r="G369" s="3475">
        <v>0.15</v>
      </c>
    </row>
    <row r="370" spans="1:7">
      <c r="A370" s="3484" t="s">
        <v>3170</v>
      </c>
      <c r="B370" s="3473" t="s">
        <v>1069</v>
      </c>
      <c r="C370" s="3474">
        <v>0.15</v>
      </c>
      <c r="D370" s="3474">
        <v>0.15</v>
      </c>
      <c r="E370" s="3474">
        <v>0.15</v>
      </c>
      <c r="F370" s="3474">
        <v>0.14599999999999999</v>
      </c>
      <c r="G370" s="3475">
        <v>0.15</v>
      </c>
    </row>
    <row r="371" spans="1:7">
      <c r="A371" s="3484" t="s">
        <v>3170</v>
      </c>
      <c r="B371" s="3473" t="s">
        <v>1077</v>
      </c>
      <c r="C371" s="3474">
        <v>0.15</v>
      </c>
      <c r="D371" s="3474">
        <v>0.15</v>
      </c>
      <c r="E371" s="3474">
        <v>0.15</v>
      </c>
      <c r="F371" s="3474">
        <v>0.12</v>
      </c>
      <c r="G371" s="3475">
        <v>0.15</v>
      </c>
    </row>
    <row r="372" spans="1:7">
      <c r="A372" s="3484" t="s">
        <v>3170</v>
      </c>
      <c r="B372" s="3473" t="s">
        <v>3178</v>
      </c>
      <c r="C372" s="3474">
        <v>0.15</v>
      </c>
      <c r="D372" s="3474">
        <v>0.15</v>
      </c>
      <c r="E372" s="3474">
        <v>0.15</v>
      </c>
      <c r="F372" s="3474">
        <v>0.14299999999999999</v>
      </c>
      <c r="G372" s="3475">
        <v>0.15</v>
      </c>
    </row>
    <row r="373" spans="1:7">
      <c r="A373" s="3484" t="s">
        <v>3170</v>
      </c>
      <c r="B373" s="3473" t="s">
        <v>1106</v>
      </c>
      <c r="C373" s="3474">
        <v>0.15</v>
      </c>
      <c r="D373" s="3474">
        <v>0.15</v>
      </c>
      <c r="E373" s="3474">
        <v>0.15</v>
      </c>
      <c r="F373" s="3474">
        <v>0.14599999999999999</v>
      </c>
      <c r="G373" s="3475">
        <v>0.15</v>
      </c>
    </row>
    <row r="374" spans="1:7">
      <c r="A374" s="3484" t="s">
        <v>3170</v>
      </c>
      <c r="B374" s="3473" t="s">
        <v>1114</v>
      </c>
      <c r="C374" s="3474">
        <v>0.15</v>
      </c>
      <c r="D374" s="3474">
        <v>0.15</v>
      </c>
      <c r="E374" s="3474">
        <v>0.15</v>
      </c>
      <c r="F374" s="3474">
        <v>0.14399999999999999</v>
      </c>
      <c r="G374" s="3475">
        <v>0.15</v>
      </c>
    </row>
    <row r="375" spans="1:7">
      <c r="A375" s="3484" t="s">
        <v>3170</v>
      </c>
      <c r="B375" s="3473" t="s">
        <v>3179</v>
      </c>
      <c r="C375" s="3474">
        <v>0.15</v>
      </c>
      <c r="D375" s="3474">
        <v>0.15</v>
      </c>
      <c r="E375" s="3474">
        <v>0.15</v>
      </c>
      <c r="F375" s="3474">
        <v>0.13</v>
      </c>
      <c r="G375" s="3475">
        <v>0.15</v>
      </c>
    </row>
    <row r="376" spans="1:7">
      <c r="A376" s="3484" t="s">
        <v>3170</v>
      </c>
      <c r="B376" s="3473" t="s">
        <v>1126</v>
      </c>
      <c r="C376" s="3474">
        <v>0.15</v>
      </c>
      <c r="D376" s="3474">
        <v>0.15</v>
      </c>
      <c r="E376" s="3474">
        <v>0.15</v>
      </c>
      <c r="F376" s="3474">
        <v>0.14199999999999999</v>
      </c>
      <c r="G376" s="3475">
        <v>0.15</v>
      </c>
    </row>
    <row r="377" spans="1:7" ht="14.25" thickBot="1">
      <c r="A377" s="3487" t="s">
        <v>3170</v>
      </c>
      <c r="B377" s="3477" t="s">
        <v>3021</v>
      </c>
      <c r="C377" s="3478">
        <v>0.15</v>
      </c>
      <c r="D377" s="3478">
        <v>0.15</v>
      </c>
      <c r="E377" s="3478">
        <v>0.15</v>
      </c>
      <c r="F377" s="3478">
        <v>0.14000000000000001</v>
      </c>
      <c r="G377" s="3480">
        <v>0.15</v>
      </c>
    </row>
    <row r="378" spans="1:7">
      <c r="A378" s="3483" t="s">
        <v>3180</v>
      </c>
      <c r="B378" s="3469" t="s">
        <v>3181</v>
      </c>
      <c r="C378" s="3470">
        <v>0.15</v>
      </c>
      <c r="D378" s="3470">
        <v>0.15</v>
      </c>
      <c r="E378" s="3470">
        <v>0.15</v>
      </c>
      <c r="F378" s="3470">
        <v>0.107</v>
      </c>
      <c r="G378" s="3471">
        <v>0.15</v>
      </c>
    </row>
    <row r="379" spans="1:7">
      <c r="A379" s="3484" t="s">
        <v>3180</v>
      </c>
      <c r="B379" s="3473" t="s">
        <v>3182</v>
      </c>
      <c r="C379" s="3474">
        <v>0.15</v>
      </c>
      <c r="D379" s="3474">
        <v>0.15</v>
      </c>
      <c r="E379" s="3474">
        <v>0.15</v>
      </c>
      <c r="F379" s="3474">
        <v>0.115</v>
      </c>
      <c r="G379" s="3475">
        <v>0.14899999999999999</v>
      </c>
    </row>
    <row r="380" spans="1:7">
      <c r="A380" s="3484" t="s">
        <v>3183</v>
      </c>
      <c r="B380" s="3473" t="s">
        <v>3184</v>
      </c>
      <c r="C380" s="3474">
        <v>0.15</v>
      </c>
      <c r="D380" s="3474">
        <v>0.15</v>
      </c>
      <c r="E380" s="3474">
        <v>0.15</v>
      </c>
      <c r="F380" s="3474">
        <v>0.1</v>
      </c>
      <c r="G380" s="3475">
        <v>0.14799999999999999</v>
      </c>
    </row>
    <row r="381" spans="1:7">
      <c r="A381" s="3484" t="s">
        <v>3183</v>
      </c>
      <c r="B381" s="3473" t="s">
        <v>3185</v>
      </c>
      <c r="C381" s="3474">
        <v>0.15</v>
      </c>
      <c r="D381" s="3474">
        <v>0.15</v>
      </c>
      <c r="E381" s="3474">
        <v>0.15</v>
      </c>
      <c r="F381" s="3474">
        <v>0.126</v>
      </c>
      <c r="G381" s="3475">
        <v>0.15</v>
      </c>
    </row>
    <row r="382" spans="1:7">
      <c r="A382" s="3484" t="s">
        <v>3183</v>
      </c>
      <c r="B382" s="3473" t="s">
        <v>3186</v>
      </c>
      <c r="C382" s="3474">
        <v>0.15</v>
      </c>
      <c r="D382" s="3474">
        <v>0.15</v>
      </c>
      <c r="E382" s="3474">
        <v>0.15</v>
      </c>
      <c r="F382" s="3474">
        <v>0.15</v>
      </c>
      <c r="G382" s="3475">
        <v>0.15</v>
      </c>
    </row>
    <row r="383" spans="1:7">
      <c r="A383" s="3484" t="s">
        <v>3183</v>
      </c>
      <c r="B383" s="3473" t="s">
        <v>3187</v>
      </c>
      <c r="C383" s="3474">
        <v>0.15</v>
      </c>
      <c r="D383" s="3474">
        <v>0.15</v>
      </c>
      <c r="E383" s="3474">
        <v>0.15</v>
      </c>
      <c r="F383" s="3474">
        <v>0.14699999999999999</v>
      </c>
      <c r="G383" s="3475">
        <v>0.15</v>
      </c>
    </row>
    <row r="384" spans="1:7" ht="14.25" thickBot="1">
      <c r="A384" s="3494" t="s">
        <v>3183</v>
      </c>
      <c r="B384" s="3495" t="s">
        <v>3188</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61"/>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60">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1"/>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0">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4">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4">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57">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8"/>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8"/>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9"/>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4">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4">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4">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4">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4">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4">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4">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4">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4">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4">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4">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112236.7平方米。根据《建设工程规划许可证》[]、《出让合同》[]，估价对象规划建筑面积为6637.12平方米。</v>
      </c>
    </row>
    <row r="7" spans="1:4" ht="56.25">
      <c r="A7" s="1583" t="s">
        <v>2029</v>
      </c>
    </row>
    <row r="8" spans="1:4" ht="18.75">
      <c r="A8" s="1582" t="s">
        <v>1430</v>
      </c>
    </row>
    <row r="9" spans="1:4" ht="56.2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2023年6月14日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根据《国有土地使用证》[]，估价对象（分摊）出让国有建设用地使用权面积为112236.7平方米。根据《建设工程规划许可证》[]、《出让合同》[]，估价对象规划建筑面积为6637.12平方米。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2053年11月12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70" zoomScaleNormal="70" workbookViewId="0">
      <selection activeCell="H15" sqref="H15"/>
    </sheetView>
  </sheetViews>
  <sheetFormatPr defaultRowHeight="13.5"/>
  <cols>
    <col min="1" max="1" width="12.375" customWidth="1"/>
    <col min="11" max="17" width="0" hidden="1" customWidth="1"/>
    <col min="24" max="30" width="0" hidden="1" customWidth="1"/>
  </cols>
  <sheetData>
    <row r="1" spans="1:30">
      <c r="A1" s="3399">
        <f>基准地价!G23</f>
        <v>45091</v>
      </c>
      <c r="B1" s="3347" t="s">
        <v>2792</v>
      </c>
      <c r="C1" s="3348"/>
      <c r="D1" s="3348"/>
      <c r="E1" s="3348"/>
      <c r="F1" s="3348"/>
      <c r="G1" s="3348"/>
      <c r="H1" s="3348"/>
      <c r="I1" s="3348"/>
      <c r="J1" s="3349"/>
      <c r="K1" s="3348" t="s">
        <v>2793</v>
      </c>
      <c r="L1" s="3348"/>
      <c r="M1" s="3348"/>
      <c r="N1" s="3348"/>
      <c r="O1" s="3348"/>
      <c r="P1" s="3348"/>
      <c r="Q1" s="3349"/>
      <c r="R1" s="3962" t="s">
        <v>2802</v>
      </c>
      <c r="S1" s="3963"/>
      <c r="T1" s="3963"/>
      <c r="U1" s="3963"/>
      <c r="V1" s="3963"/>
      <c r="W1" s="3963"/>
      <c r="X1" s="3349"/>
      <c r="Y1" s="3962" t="s">
        <v>2813</v>
      </c>
      <c r="Z1" s="3963"/>
      <c r="AA1" s="3963"/>
      <c r="AB1" s="3963"/>
      <c r="AC1" s="3963"/>
      <c r="AD1" s="3963"/>
    </row>
    <row r="2" spans="1:30" ht="14.25" thickBot="1">
      <c r="A2" s="3340"/>
      <c r="B2" s="3350"/>
      <c r="C2" s="3351"/>
      <c r="D2" s="3352" t="s">
        <v>2795</v>
      </c>
      <c r="E2" s="3353" t="s">
        <v>2796</v>
      </c>
      <c r="F2" s="3353" t="s">
        <v>2797</v>
      </c>
      <c r="G2" s="3353" t="s">
        <v>2798</v>
      </c>
      <c r="H2" s="3353" t="s">
        <v>2799</v>
      </c>
      <c r="I2" s="3353" t="s">
        <v>2740</v>
      </c>
      <c r="J2" s="3354"/>
      <c r="K2" s="3352" t="s">
        <v>2795</v>
      </c>
      <c r="L2" s="3353" t="s">
        <v>2796</v>
      </c>
      <c r="M2" s="3353" t="s">
        <v>2797</v>
      </c>
      <c r="N2" s="3353" t="s">
        <v>2798</v>
      </c>
      <c r="O2" s="3353" t="s">
        <v>2799</v>
      </c>
      <c r="P2" s="3353" t="s">
        <v>2740</v>
      </c>
      <c r="Q2" s="3354"/>
      <c r="R2" s="3352" t="s">
        <v>2803</v>
      </c>
      <c r="S2" s="3353" t="s">
        <v>2804</v>
      </c>
      <c r="T2" s="3353" t="s">
        <v>2805</v>
      </c>
      <c r="U2" s="3353" t="s">
        <v>2806</v>
      </c>
      <c r="V2" s="3353" t="s">
        <v>2807</v>
      </c>
      <c r="W2" s="3353" t="s">
        <v>2808</v>
      </c>
      <c r="X2" s="3354"/>
      <c r="Y2" s="3352" t="s">
        <v>2795</v>
      </c>
      <c r="Z2" s="3353" t="s">
        <v>1470</v>
      </c>
      <c r="AA2" s="3353" t="s">
        <v>2814</v>
      </c>
      <c r="AB2" s="3353" t="s">
        <v>1469</v>
      </c>
      <c r="AC2" s="3353" t="s">
        <v>2799</v>
      </c>
      <c r="AD2" s="3353" t="s">
        <v>2457</v>
      </c>
    </row>
    <row r="3" spans="1:30">
      <c r="A3" s="3341" t="s">
        <v>2783</v>
      </c>
      <c r="B3" s="3355"/>
      <c r="C3" s="3356"/>
      <c r="D3" s="3356">
        <f>ROUND(AVERAGEIF(D4:D16,"&lt;&gt;0"),2)</f>
        <v>0.82</v>
      </c>
      <c r="E3" s="3356">
        <f>ROUND(AVERAGEIF(E4:E16,"&lt;&gt;0"),2)</f>
        <v>0.38</v>
      </c>
      <c r="F3" s="3356">
        <f>ROUND(AVERAGEIF(F4:F16,"&lt;&gt;0"),2)</f>
        <v>0.2</v>
      </c>
      <c r="G3" s="3356">
        <f>ROUND(AVERAGEIF(G4:G16,"&lt;&gt;0"),2)</f>
        <v>0.89</v>
      </c>
      <c r="H3" s="3356">
        <f>ROUND(AVERAGEIF(H4:H16,"&lt;&gt;0"),2)</f>
        <v>0.64</v>
      </c>
      <c r="I3" s="3356">
        <f>F3</f>
        <v>0.2</v>
      </c>
      <c r="J3" s="3357"/>
      <c r="K3" s="3358">
        <f>ROUND(AVERAGEIF(K4:K16,"&lt;&gt;0"),4)</f>
        <v>8.2000000000000007E-3</v>
      </c>
      <c r="L3" s="3359">
        <f>ROUND(AVERAGEIF(L4:L16,"&lt;&gt;0"),4)</f>
        <v>3.8E-3</v>
      </c>
      <c r="M3" s="3359">
        <f>ROUND(AVERAGEIF(M4:M16,"&lt;&gt;0"),4)</f>
        <v>2E-3</v>
      </c>
      <c r="N3" s="3359">
        <f>ROUND(AVERAGEIF(N4:N16,"&lt;&gt;0"),4)</f>
        <v>8.8999999999999999E-3</v>
      </c>
      <c r="O3" s="3359">
        <f>ROUND(AVERAGEIF(O4:O16,"&lt;&gt;0"),4)</f>
        <v>6.4000000000000003E-3</v>
      </c>
      <c r="P3" s="3359">
        <f>M3</f>
        <v>2E-3</v>
      </c>
      <c r="Q3" s="3357"/>
      <c r="R3" s="3374">
        <f>ROUND(SUMPRODUCT(PRODUCT(1+K4:K16)),4)</f>
        <v>1.0763</v>
      </c>
      <c r="S3" s="3375">
        <f>ROUND(SUMPRODUCT(PRODUCT(1+L4:L16)),4)</f>
        <v>1.0343</v>
      </c>
      <c r="T3" s="3375">
        <f>ROUND(SUMPRODUCT(PRODUCT(1+M4:M16)),4)</f>
        <v>1.0177</v>
      </c>
      <c r="U3" s="3375">
        <f>ROUND(SUMPRODUCT(PRODUCT(1+N4:N16)),4)</f>
        <v>1.0833999999999999</v>
      </c>
      <c r="V3" s="3375">
        <f>ROUND(SUMPRODUCT(PRODUCT(1+O4:O16)),4)</f>
        <v>1.0592999999999999</v>
      </c>
      <c r="W3" s="3374">
        <f>T3</f>
        <v>1.0177</v>
      </c>
      <c r="X3" s="3357"/>
      <c r="Y3" s="3382">
        <f>ROUND(AVERAGEIF(Y5:Y16,"&lt;&gt;0"),4)</f>
        <v>8.6E-3</v>
      </c>
      <c r="Z3" s="3383">
        <f>ROUND(AVERAGEIF(Z5:Z16,"&lt;&gt;0"),4)</f>
        <v>3.5999999999999999E-3</v>
      </c>
      <c r="AA3" s="3384">
        <f>ROUND(AVERAGEIF(AA5:AA16,"&lt;&gt;0"),4)</f>
        <v>1E-3</v>
      </c>
      <c r="AB3" s="3382">
        <f>ROUND(AVERAGEIF(AB5:AB16,"&lt;&gt;0"),4)</f>
        <v>9.4000000000000004E-3</v>
      </c>
      <c r="AC3" s="3385">
        <f>ROUND(AVERAGEIF(AC5:AC16,"&lt;&gt;0"),4)</f>
        <v>6.1999999999999998E-3</v>
      </c>
      <c r="AD3" s="3382">
        <f>AA3</f>
        <v>1E-3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3254</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1.0659000000000001</v>
      </c>
      <c r="S5" s="3380">
        <f>ROUND(IF(项目基本情况!$B$8="出让",SUMPRODUCT(PRODUCT(1+L5:$L$16)),SUMPRODUCT(PRODUCT(1+L5:$L$15))),4)</f>
        <v>1.0326</v>
      </c>
      <c r="T5" s="3380">
        <f>ROUND(IF(项目基本情况!$B$8="出让",SUMPRODUCT(PRODUCT(1+M5:$M$16)),SUMPRODUCT(PRODUCT(1+M5:$M$15))),4)</f>
        <v>1.0203</v>
      </c>
      <c r="U5" s="3380">
        <f>ROUND(IF(项目基本情况!$B$8="出让",SUMPRODUCT(PRODUCT(1+N5:$N$16)),SUMPRODUCT(PRODUCT(1+N5:$N$15))),4)</f>
        <v>1.0714999999999999</v>
      </c>
      <c r="V5" s="3380">
        <f>ROUND(IF(项目基本情况!$B$8="出让",SUMPRODUCT(PRODUCT(1+O5:$O$16)),SUMPRODUCT(PRODUCT(1+O5:$O$15))),4)</f>
        <v>1.0555000000000001</v>
      </c>
      <c r="W5" s="3380">
        <f>T5</f>
        <v>1.0203</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3255</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1.0659000000000001</v>
      </c>
      <c r="S6" s="3380">
        <f>ROUND(IF(项目基本情况!$B$8="出让",SUMPRODUCT(PRODUCT(1+L6:$L$16)),SUMPRODUCT(PRODUCT(1+L6:$L$15))),4)</f>
        <v>1.0326</v>
      </c>
      <c r="T6" s="3380">
        <f>ROUND(IF(项目基本情况!$B$8="出让",SUMPRODUCT(PRODUCT(1+M6:$M$16)),SUMPRODUCT(PRODUCT(1+M6:$M$15))),4)</f>
        <v>1.0203</v>
      </c>
      <c r="U6" s="3380">
        <f>ROUND(IF(项目基本情况!$B$8="出让",SUMPRODUCT(PRODUCT(1+N6:$N$16)),SUMPRODUCT(PRODUCT(1+N6:$N$15))),4)</f>
        <v>1.0714999999999999</v>
      </c>
      <c r="V6" s="3380">
        <f>ROUND(IF(项目基本情况!$B$8="出让",SUMPRODUCT(PRODUCT(1+O6:$O$16)),SUMPRODUCT(PRODUCT(1+O6:$O$15))),4)</f>
        <v>1.0555000000000001</v>
      </c>
      <c r="W6" s="3380">
        <f t="shared" ref="W6:W8" si="9">T6</f>
        <v>1.0203</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3253</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1.0659000000000001</v>
      </c>
      <c r="S7" s="3380">
        <f>ROUND(IF(项目基本情况!$B$8="出让",SUMPRODUCT(PRODUCT(1+L7:$L$16)),SUMPRODUCT(PRODUCT(1+L7:$L$15))),4)</f>
        <v>1.0326</v>
      </c>
      <c r="T7" s="3380">
        <f>ROUND(IF(项目基本情况!$B$8="出让",SUMPRODUCT(PRODUCT(1+M7:$M$16)),SUMPRODUCT(PRODUCT(1+M7:$M$15))),4)</f>
        <v>1.0203</v>
      </c>
      <c r="U7" s="3380">
        <f>ROUND(IF(项目基本情况!$B$8="出让",SUMPRODUCT(PRODUCT(1+N7:$N$16)),SUMPRODUCT(PRODUCT(1+N7:$N$15))),4)</f>
        <v>1.0714999999999999</v>
      </c>
      <c r="V7" s="3380">
        <f>ROUND(IF(项目基本情况!$B$8="出让",SUMPRODUCT(PRODUCT(1+O7:$O$16)),SUMPRODUCT(PRODUCT(1+O7:$O$15))),4)</f>
        <v>1.0555000000000001</v>
      </c>
      <c r="W7" s="3380">
        <f t="shared" si="9"/>
        <v>1.0203</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4" t="s">
        <v>3258</v>
      </c>
      <c r="B8" s="3405">
        <v>2023</v>
      </c>
      <c r="C8" s="3406">
        <v>1</v>
      </c>
      <c r="D8" s="3406">
        <v>0.89</v>
      </c>
      <c r="E8" s="3406">
        <v>0.74</v>
      </c>
      <c r="F8" s="3406">
        <v>0.56999999999999995</v>
      </c>
      <c r="G8" s="3406">
        <v>0.92</v>
      </c>
      <c r="H8" s="3407">
        <v>0.5</v>
      </c>
      <c r="I8" s="3408">
        <f t="shared" si="0"/>
        <v>0.56999999999999995</v>
      </c>
      <c r="J8" s="3367"/>
      <c r="K8" s="3368">
        <f t="shared" si="3"/>
        <v>8.8999999999999999E-3</v>
      </c>
      <c r="L8" s="3369">
        <f t="shared" si="4"/>
        <v>7.4000000000000003E-3</v>
      </c>
      <c r="M8" s="3369">
        <f t="shared" si="5"/>
        <v>5.6999999999999993E-3</v>
      </c>
      <c r="N8" s="3369">
        <f t="shared" si="6"/>
        <v>9.1999999999999998E-3</v>
      </c>
      <c r="O8" s="3369">
        <f t="shared" si="7"/>
        <v>5.0000000000000001E-3</v>
      </c>
      <c r="P8" s="3369">
        <f t="shared" si="8"/>
        <v>5.6999999999999993E-3</v>
      </c>
      <c r="Q8" s="3367"/>
      <c r="R8" s="3367">
        <f>ROUND(IF(项目基本情况!$B$8="出让",SUMPRODUCT(PRODUCT(1+K8:$K$16)),SUMPRODUCT(PRODUCT(1+K8:$K$15))),4)</f>
        <v>1.0659000000000001</v>
      </c>
      <c r="S8" s="3367">
        <f>ROUND(IF(项目基本情况!$B$8="出让",SUMPRODUCT(PRODUCT(1+L8:$L$16)),SUMPRODUCT(PRODUCT(1+L8:$L$15))),4)</f>
        <v>1.0326</v>
      </c>
      <c r="T8" s="3367">
        <f>ROUND(IF(项目基本情况!$B$8="出让",SUMPRODUCT(PRODUCT(1+M8:$M$16)),SUMPRODUCT(PRODUCT(1+M8:$M$15))),4)</f>
        <v>1.0203</v>
      </c>
      <c r="U8" s="3367">
        <f>ROUND(IF(项目基本情况!$B$8="出让",SUMPRODUCT(PRODUCT(1+N8:$N$16)),SUMPRODUCT(PRODUCT(1+N8:$N$15))),4)</f>
        <v>1.0714999999999999</v>
      </c>
      <c r="V8" s="3367">
        <f>ROUND(IF(项目基本情况!$B$8="出让",SUMPRODUCT(PRODUCT(1+O8:$O$16)),SUMPRODUCT(PRODUCT(1+O8:$O$15))),4)</f>
        <v>1.0555000000000001</v>
      </c>
      <c r="W8" s="3367">
        <f t="shared" si="9"/>
        <v>1.0203</v>
      </c>
      <c r="X8" s="3367"/>
      <c r="Y8" s="3369">
        <f t="shared" ref="Y8:AC8" si="13">IF(D8=0,0,ROUND(AVERAGE(D8:D19)/100,4))</f>
        <v>8.2000000000000007E-3</v>
      </c>
      <c r="Z8" s="3369">
        <f t="shared" si="13"/>
        <v>3.8E-3</v>
      </c>
      <c r="AA8" s="3369">
        <f t="shared" si="13"/>
        <v>2E-3</v>
      </c>
      <c r="AB8" s="3369">
        <f t="shared" si="13"/>
        <v>8.8999999999999999E-3</v>
      </c>
      <c r="AC8" s="3369">
        <f t="shared" si="13"/>
        <v>6.4000000000000003E-3</v>
      </c>
      <c r="AD8" s="3369">
        <f t="shared" si="11"/>
        <v>2E-3</v>
      </c>
    </row>
    <row r="9" spans="1:30">
      <c r="A9" s="3343" t="s">
        <v>3259</v>
      </c>
      <c r="B9" s="3402">
        <v>2022</v>
      </c>
      <c r="C9" s="3403">
        <v>4</v>
      </c>
      <c r="D9" s="3403">
        <v>0.62</v>
      </c>
      <c r="E9" s="3403">
        <v>0.2</v>
      </c>
      <c r="F9" s="3403">
        <v>0.11</v>
      </c>
      <c r="G9" s="3403">
        <v>0.69</v>
      </c>
      <c r="H9" s="3409">
        <v>0.53</v>
      </c>
      <c r="I9" s="3404">
        <f t="shared" si="0"/>
        <v>0.11</v>
      </c>
      <c r="J9" s="3364"/>
      <c r="K9" s="3365">
        <f t="shared" si="1"/>
        <v>6.1999999999999998E-3</v>
      </c>
      <c r="L9" s="3366">
        <f t="shared" si="1"/>
        <v>2E-3</v>
      </c>
      <c r="M9" s="3366">
        <f t="shared" si="1"/>
        <v>1.1000000000000001E-3</v>
      </c>
      <c r="N9" s="3366">
        <f t="shared" si="1"/>
        <v>6.8999999999999999E-3</v>
      </c>
      <c r="O9" s="3366">
        <f t="shared" si="1"/>
        <v>5.3E-3</v>
      </c>
      <c r="P9" s="3366">
        <f t="shared" ref="P9:P16" si="14">M9</f>
        <v>1.1000000000000001E-3</v>
      </c>
      <c r="Q9" s="3364"/>
      <c r="R9" s="3380">
        <f>ROUND(IF(项目基本情况!B8="出让",SUMPRODUCT(PRODUCT(1+K9:K16)),SUMPRODUCT(PRODUCT(1+K9:K15))),4)</f>
        <v>1.0565</v>
      </c>
      <c r="S9" s="3380">
        <f>ROUND(IF(项目基本情况!B8="出让",SUMPRODUCT(PRODUCT(1+L9:L16)),SUMPRODUCT(PRODUCT(1+L9:L15))),4)</f>
        <v>1.0250999999999999</v>
      </c>
      <c r="T9" s="3380">
        <f>ROUND(IF(项目基本情况!B8="出让",SUMPRODUCT(PRODUCT(1+M9:M16)),SUMPRODUCT(PRODUCT(1+M9:M15))),4)</f>
        <v>1.0145</v>
      </c>
      <c r="U9" s="3380">
        <f>ROUND(IF(项目基本情况!B8="出让",SUMPRODUCT(PRODUCT(1+N9:N16)),SUMPRODUCT(PRODUCT(1+N9:N15))),4)</f>
        <v>1.0618000000000001</v>
      </c>
      <c r="V9" s="3380">
        <f>ROUND(IF(项目基本情况!B8="出让",SUMPRODUCT(PRODUCT(1+O9:O16)),SUMPRODUCT(PRODUCT(1+O9:O15))),4)</f>
        <v>1.0502</v>
      </c>
      <c r="W9" s="3380">
        <f t="shared" ref="W9:W16" si="15">T9</f>
        <v>1.0145</v>
      </c>
      <c r="X9" s="3364"/>
      <c r="Y9" s="3389">
        <f>IF(D9=0,0,ROUND(AVERAGE(D9:D17)/100,4))</f>
        <v>8.0999999999999996E-3</v>
      </c>
      <c r="Z9" s="3389">
        <f>IF(E9=0,0,ROUND(AVERAGE(E9:E16)/100,4))</f>
        <v>3.3E-3</v>
      </c>
      <c r="AA9" s="3389">
        <f>IF(F9=0,0,ROUND(AVERAGE(F9:F16)/100,4))</f>
        <v>1.5E-3</v>
      </c>
      <c r="AB9" s="3389">
        <f>IF(G9=0,0,ROUND(AVERAGE(G9:G16)/100,4))</f>
        <v>8.8999999999999999E-3</v>
      </c>
      <c r="AC9" s="3389">
        <f>IF(H9=0,0,ROUND(AVERAGE(H9:H16)/100,4))</f>
        <v>6.6E-3</v>
      </c>
      <c r="AD9" s="3389">
        <f t="shared" si="2"/>
        <v>1.5E-3</v>
      </c>
    </row>
    <row r="10" spans="1:30">
      <c r="A10" s="3343" t="s">
        <v>3250</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3251</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2784</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2785</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2786</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2787</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2788</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3256</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2800</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2801</v>
      </c>
      <c r="C21" s="3348"/>
      <c r="D21" s="3348"/>
      <c r="E21" s="3348"/>
      <c r="F21" s="3348"/>
      <c r="G21" s="3348"/>
      <c r="H21" s="3348"/>
      <c r="I21" s="3348"/>
      <c r="J21" s="3349"/>
      <c r="K21" s="3348" t="s">
        <v>2793</v>
      </c>
      <c r="L21" s="3348"/>
      <c r="M21" s="3348"/>
      <c r="N21" s="3348"/>
      <c r="O21" s="3348"/>
      <c r="P21" s="3348"/>
      <c r="Q21" s="3349"/>
      <c r="R21" s="3962" t="s">
        <v>2809</v>
      </c>
      <c r="S21" s="3963"/>
      <c r="T21" s="3963"/>
      <c r="U21" s="3963"/>
      <c r="V21" s="3963"/>
      <c r="W21" s="3963"/>
      <c r="X21" s="3349"/>
      <c r="Y21" s="3962" t="s">
        <v>1925</v>
      </c>
      <c r="Z21" s="3963"/>
      <c r="AA21" s="3963"/>
      <c r="AB21" s="3963"/>
      <c r="AC21" s="3963"/>
      <c r="AD21" s="3963"/>
    </row>
    <row r="22" spans="1:30" ht="14.25" thickBot="1">
      <c r="A22" s="3340"/>
      <c r="B22" s="3350"/>
      <c r="C22" s="3351"/>
      <c r="D22" s="3352" t="s">
        <v>2795</v>
      </c>
      <c r="E22" s="3353" t="s">
        <v>2796</v>
      </c>
      <c r="F22" s="3353" t="s">
        <v>2797</v>
      </c>
      <c r="G22" s="3353" t="s">
        <v>1469</v>
      </c>
      <c r="H22" s="3353"/>
      <c r="I22" s="3353" t="s">
        <v>2740</v>
      </c>
      <c r="J22" s="3354"/>
      <c r="K22" s="3352" t="s">
        <v>2795</v>
      </c>
      <c r="L22" s="3353" t="s">
        <v>2796</v>
      </c>
      <c r="M22" s="3353" t="s">
        <v>2797</v>
      </c>
      <c r="N22" s="3353" t="s">
        <v>2798</v>
      </c>
      <c r="O22" s="3353"/>
      <c r="P22" s="3353" t="s">
        <v>2740</v>
      </c>
      <c r="Q22" s="3354"/>
      <c r="R22" s="3352" t="s">
        <v>2810</v>
      </c>
      <c r="S22" s="3353" t="s">
        <v>2811</v>
      </c>
      <c r="T22" s="3353" t="s">
        <v>2797</v>
      </c>
      <c r="U22" s="3353" t="s">
        <v>1469</v>
      </c>
      <c r="V22" s="3353"/>
      <c r="W22" s="3353" t="s">
        <v>2812</v>
      </c>
      <c r="X22" s="3354"/>
      <c r="Y22" s="3352" t="s">
        <v>2794</v>
      </c>
      <c r="Z22" s="3353" t="s">
        <v>2796</v>
      </c>
      <c r="AA22" s="3353" t="s">
        <v>2797</v>
      </c>
      <c r="AB22" s="3353" t="s">
        <v>1469</v>
      </c>
      <c r="AC22" s="3353"/>
      <c r="AD22" s="3353" t="s">
        <v>2815</v>
      </c>
    </row>
    <row r="23" spans="1:30">
      <c r="A23" s="3341" t="s">
        <v>2789</v>
      </c>
      <c r="B23" s="3355"/>
      <c r="C23" s="3356"/>
      <c r="D23" s="3356"/>
      <c r="E23" s="3356">
        <f>ROUND(AVERAGEIF(E24:E36,"&lt;&gt;0"),2)</f>
        <v>0.42</v>
      </c>
      <c r="F23" s="3356">
        <f>ROUND(AVERAGEIF(F24:F36,"&lt;&gt;0"),2)</f>
        <v>0.3</v>
      </c>
      <c r="G23" s="3356">
        <f>ROUND(AVERAGEIF(G24:G36,"&lt;&gt;0"),2)</f>
        <v>0.73</v>
      </c>
      <c r="H23" s="3356"/>
      <c r="I23" s="3356">
        <f>F23</f>
        <v>0.3</v>
      </c>
      <c r="J23" s="3357"/>
      <c r="K23" s="3358"/>
      <c r="L23" s="3359">
        <f>ROUND(AVERAGEIF(L24:L36,"&lt;&gt;0"),4)</f>
        <v>4.1999999999999997E-3</v>
      </c>
      <c r="M23" s="3359">
        <f>ROUND(AVERAGEIF(M24:M36,"&lt;&gt;0"),4)</f>
        <v>3.0000000000000001E-3</v>
      </c>
      <c r="N23" s="3359">
        <f>ROUND(AVERAGEIF(N24:N36,"&lt;&gt;0"),4)</f>
        <v>7.3000000000000001E-3</v>
      </c>
      <c r="O23" s="3359"/>
      <c r="P23" s="3359">
        <f>M23</f>
        <v>3.0000000000000001E-3</v>
      </c>
      <c r="Q23" s="3357"/>
      <c r="R23" s="3374"/>
      <c r="S23" s="3375">
        <f>ROUND(SUMPRODUCT(PRODUCT(1+L24:L36)),4)</f>
        <v>1.038</v>
      </c>
      <c r="T23" s="3375">
        <f>ROUND(SUMPRODUCT(PRODUCT(1+M24:M36)),4)</f>
        <v>1.0273000000000001</v>
      </c>
      <c r="U23" s="3375">
        <f>ROUND(SUMPRODUCT(PRODUCT(1+N24:N36)),4)</f>
        <v>1.0677000000000001</v>
      </c>
      <c r="V23" s="3375"/>
      <c r="W23" s="3374">
        <f>T23</f>
        <v>1.0273000000000001</v>
      </c>
      <c r="X23" s="3357"/>
      <c r="Y23" s="3382"/>
      <c r="Z23" s="3383">
        <f>ROUND(AVERAGEIF(Z24:Z36,"&lt;&gt;0"),4)</f>
        <v>4.3E-3</v>
      </c>
      <c r="AA23" s="3384">
        <f>ROUND(AVERAGEIF(AA24:AA36,"&lt;&gt;0"),4)</f>
        <v>3.5000000000000001E-3</v>
      </c>
      <c r="AB23" s="3382">
        <f>ROUND(AVERAGEIF(AB24:AB36,"&lt;&gt;0"),4)</f>
        <v>8.6999999999999994E-3</v>
      </c>
      <c r="AC23" s="3385"/>
      <c r="AD23" s="3382">
        <f>AA23</f>
        <v>3.5000000000000001E-3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3254</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1.0344</v>
      </c>
      <c r="T25" s="3380">
        <f>ROUND(IF(项目基本情况!$B$8="出让",SUMPRODUCT(PRODUCT(1+M25:M$36)),SUMPRODUCT(PRODUCT(1+M25:M$35))),4)</f>
        <v>1.0224</v>
      </c>
      <c r="U25" s="3380">
        <f>ROUND(IF(项目基本情况!$B$8="出让",SUMPRODUCT(PRODUCT(1+N25:N$36)),SUMPRODUCT(PRODUCT(1+N25:N$35))),4)</f>
        <v>1.0573999999999999</v>
      </c>
      <c r="V25" s="3380"/>
      <c r="W25" s="3380">
        <f>T25</f>
        <v>1.0224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3255</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1.0344</v>
      </c>
      <c r="T26" s="3380">
        <f>ROUND(IF(项目基本情况!$B$8="出让",SUMPRODUCT(PRODUCT(1+M26:M$36)),SUMPRODUCT(PRODUCT(1+M26:M$35))),4)</f>
        <v>1.0224</v>
      </c>
      <c r="U26" s="3380">
        <f>ROUND(IF(项目基本情况!$B$8="出让",SUMPRODUCT(PRODUCT(1+N26:N$36)),SUMPRODUCT(PRODUCT(1+N26:N$35))),4)</f>
        <v>1.0573999999999999</v>
      </c>
      <c r="V26" s="3380"/>
      <c r="W26" s="3380">
        <f t="shared" ref="W26:W28" si="22">T26</f>
        <v>1.0224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3253</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1.0344</v>
      </c>
      <c r="T27" s="3380">
        <f>ROUND(IF(项目基本情况!$B$8="出让",SUMPRODUCT(PRODUCT(1+M27:M$36)),SUMPRODUCT(PRODUCT(1+M27:M$35))),4)</f>
        <v>1.0224</v>
      </c>
      <c r="U27" s="3380">
        <f>ROUND(IF(项目基本情况!$B$8="出让",SUMPRODUCT(PRODUCT(1+N27:N$36)),SUMPRODUCT(PRODUCT(1+N27:N$35))),4)</f>
        <v>1.0573999999999999</v>
      </c>
      <c r="V27" s="3380"/>
      <c r="W27" s="3380">
        <f t="shared" si="22"/>
        <v>1.0224</v>
      </c>
      <c r="X27" s="3364"/>
      <c r="Y27" s="3389"/>
      <c r="Z27" s="3390">
        <f t="shared" ref="Z27:AB27" si="25">IF(E27=0,0,ROUND(AVERAGE(E27:E38)/100,4))</f>
        <v>0</v>
      </c>
      <c r="AA27" s="3390">
        <f t="shared" si="25"/>
        <v>0</v>
      </c>
      <c r="AB27" s="3390">
        <f t="shared" si="25"/>
        <v>0</v>
      </c>
      <c r="AC27" s="3391"/>
      <c r="AD27" s="3389">
        <f t="shared" si="24"/>
        <v>0</v>
      </c>
    </row>
    <row r="28" spans="1:30">
      <c r="A28" s="3344" t="s">
        <v>3260</v>
      </c>
      <c r="B28" s="3405">
        <v>2023</v>
      </c>
      <c r="C28" s="3406">
        <v>1</v>
      </c>
      <c r="D28" s="3406"/>
      <c r="E28" s="3406">
        <v>0.55000000000000004</v>
      </c>
      <c r="F28" s="3406">
        <v>0.59</v>
      </c>
      <c r="G28" s="3406">
        <v>0.64</v>
      </c>
      <c r="H28" s="3407"/>
      <c r="I28" s="3408">
        <f t="shared" si="16"/>
        <v>0.59</v>
      </c>
      <c r="J28" s="3367"/>
      <c r="K28" s="3368"/>
      <c r="L28" s="3369">
        <f t="shared" si="18"/>
        <v>5.5000000000000005E-3</v>
      </c>
      <c r="M28" s="3369">
        <f t="shared" si="19"/>
        <v>5.8999999999999999E-3</v>
      </c>
      <c r="N28" s="3369">
        <f t="shared" si="20"/>
        <v>6.4000000000000003E-3</v>
      </c>
      <c r="O28" s="3369"/>
      <c r="P28" s="3369">
        <f t="shared" si="21"/>
        <v>5.8999999999999999E-3</v>
      </c>
      <c r="Q28" s="3367"/>
      <c r="R28" s="3367"/>
      <c r="S28" s="3367">
        <f>ROUND(IF(项目基本情况!$B$8="出让",SUMPRODUCT(PRODUCT(1+L28:L$36)),SUMPRODUCT(PRODUCT(1+L28:L$35))),4)</f>
        <v>1.0344</v>
      </c>
      <c r="T28" s="3367">
        <f>ROUND(IF(项目基本情况!$B$8="出让",SUMPRODUCT(PRODUCT(1+M28:M$36)),SUMPRODUCT(PRODUCT(1+M28:M$35))),4)</f>
        <v>1.0224</v>
      </c>
      <c r="U28" s="3367">
        <f>ROUND(IF(项目基本情况!$B$8="出让",SUMPRODUCT(PRODUCT(1+N28:N$36)),SUMPRODUCT(PRODUCT(1+N28:N$35))),4)</f>
        <v>1.0573999999999999</v>
      </c>
      <c r="V28" s="3367"/>
      <c r="W28" s="3367">
        <f t="shared" si="22"/>
        <v>1.0224</v>
      </c>
      <c r="X28" s="3367"/>
      <c r="Y28" s="3369"/>
      <c r="Z28" s="3393">
        <f t="shared" ref="Z28:AB28" si="26">IF(E28=0,0,ROUND(AVERAGE(E28:E39)/100,4))</f>
        <v>4.1999999999999997E-3</v>
      </c>
      <c r="AA28" s="3394">
        <f t="shared" si="26"/>
        <v>3.0000000000000001E-3</v>
      </c>
      <c r="AB28" s="3369">
        <f t="shared" si="26"/>
        <v>7.3000000000000001E-3</v>
      </c>
      <c r="AC28" s="3395"/>
      <c r="AD28" s="3369">
        <f t="shared" si="24"/>
        <v>3.0000000000000001E-3</v>
      </c>
    </row>
    <row r="29" spans="1:30">
      <c r="A29" s="3343" t="s">
        <v>3261</v>
      </c>
      <c r="B29" s="3402">
        <v>2022</v>
      </c>
      <c r="C29" s="3403">
        <v>4</v>
      </c>
      <c r="D29" s="3403"/>
      <c r="E29" s="3403">
        <v>0.45</v>
      </c>
      <c r="F29" s="3403">
        <v>0.2</v>
      </c>
      <c r="G29" s="3403">
        <v>0.38</v>
      </c>
      <c r="H29" s="3409"/>
      <c r="I29" s="3404">
        <f t="shared" si="16"/>
        <v>0.2</v>
      </c>
      <c r="J29" s="3364"/>
      <c r="K29" s="3365"/>
      <c r="L29" s="3366">
        <f t="shared" si="17"/>
        <v>4.5000000000000005E-3</v>
      </c>
      <c r="M29" s="3366">
        <f t="shared" si="17"/>
        <v>2E-3</v>
      </c>
      <c r="N29" s="3366">
        <f t="shared" si="17"/>
        <v>3.8E-3</v>
      </c>
      <c r="O29" s="3366"/>
      <c r="P29" s="3366">
        <f t="shared" ref="P29:P36" si="27">M29</f>
        <v>2E-3</v>
      </c>
      <c r="Q29" s="3364"/>
      <c r="R29" s="3380"/>
      <c r="S29" s="3380">
        <f>ROUND(IF(项目基本情况!$B$8="出让",SUMPRODUCT(PRODUCT(1+L29:L$36)),SUMPRODUCT(PRODUCT(1+L29:L$35))),4)</f>
        <v>1.0286999999999999</v>
      </c>
      <c r="T29" s="3380">
        <f>ROUND(IF(项目基本情况!$B$8="出让",SUMPRODUCT(PRODUCT(1+M29:M$36)),SUMPRODUCT(PRODUCT(1+M29:M$35))),4)</f>
        <v>1.0164</v>
      </c>
      <c r="U29" s="3380">
        <f>ROUND(IF(项目基本情况!$B$8="出让",SUMPRODUCT(PRODUCT(1+N29:N$36)),SUMPRODUCT(PRODUCT(1+N29:N$35))),4)</f>
        <v>1.0506</v>
      </c>
      <c r="V29" s="3380"/>
      <c r="W29" s="3380">
        <f t="shared" ref="W29:W36" si="28">T29</f>
        <v>1.0164</v>
      </c>
      <c r="X29" s="3364"/>
      <c r="Y29" s="3389"/>
      <c r="Z29" s="3390">
        <f t="shared" ref="Z29:AD36" si="29">IF(E29=0,0,ROUND(AVERAGE(E29:E37)/100,4))</f>
        <v>4.0000000000000001E-3</v>
      </c>
      <c r="AA29" s="3392">
        <f t="shared" si="29"/>
        <v>2.5999999999999999E-3</v>
      </c>
      <c r="AB29" s="3389">
        <f t="shared" si="29"/>
        <v>7.4000000000000003E-3</v>
      </c>
      <c r="AC29" s="3391"/>
      <c r="AD29" s="3389">
        <f t="shared" si="29"/>
        <v>2.5999999999999999E-3</v>
      </c>
    </row>
    <row r="30" spans="1:30">
      <c r="A30" s="3343" t="s">
        <v>3252</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3251</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2784</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2785</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2786</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2790</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2791</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H28" sqref="H28"/>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5" t="s">
        <v>1807</v>
      </c>
      <c r="C8" s="1612">
        <f ca="1">ROUND(F8*F10*F9*(1-F11)/10000,0)</f>
        <v>0</v>
      </c>
      <c r="D8" s="1609" t="s">
        <v>1817</v>
      </c>
      <c r="E8" s="59" t="s">
        <v>585</v>
      </c>
      <c r="F8" s="751">
        <f ca="1">INDIRECT("'数据-取费表'!u"&amp;$G$1)</f>
        <v>0</v>
      </c>
      <c r="G8" s="1405"/>
      <c r="H8" s="2151" t="s">
        <v>1353</v>
      </c>
      <c r="I8" s="3965" t="s">
        <v>1807</v>
      </c>
      <c r="J8" s="749">
        <f ca="1">ROUND(M8*M10*M9*(1-M11)/10000,0)</f>
        <v>0</v>
      </c>
      <c r="K8" s="332" t="s">
        <v>1817</v>
      </c>
      <c r="L8" s="750" t="s">
        <v>1267</v>
      </c>
      <c r="M8" s="751">
        <f ca="1">INDIRECT("'数据-取费表'!z"&amp;$G$1)</f>
        <v>0</v>
      </c>
    </row>
    <row r="9" spans="1:25" ht="18" customHeight="1">
      <c r="A9" s="2147"/>
      <c r="B9" s="3966"/>
      <c r="C9" s="1613"/>
      <c r="D9" s="1610"/>
      <c r="E9" s="59" t="s">
        <v>586</v>
      </c>
      <c r="F9" s="751">
        <f ca="1">IF(INDIRECT("'数据-取费表'!ah"&amp;$G$1)="",INDIRECT("'数据-取费表'!k"&amp;$G$1),INDIRECT("'数据-取费表'!ah"&amp;$G$1))</f>
        <v>0</v>
      </c>
      <c r="G9" s="1405"/>
      <c r="H9" s="2136"/>
      <c r="I9" s="3966"/>
      <c r="J9" s="754"/>
      <c r="K9" s="755"/>
      <c r="L9" s="750" t="s">
        <v>1268</v>
      </c>
      <c r="M9" s="751">
        <f ca="1">F9</f>
        <v>0</v>
      </c>
    </row>
    <row r="10" spans="1:25" ht="18" customHeight="1">
      <c r="A10" s="2140"/>
      <c r="B10" s="3967"/>
      <c r="C10" s="1613"/>
      <c r="D10" s="1610"/>
      <c r="E10" s="59" t="s">
        <v>587</v>
      </c>
      <c r="F10" s="751">
        <f ca="1">INDIRECT("'数据-取费表'!ai"&amp;$G$1)</f>
        <v>0</v>
      </c>
      <c r="G10" s="1405"/>
      <c r="H10" s="2136"/>
      <c r="I10" s="3967"/>
      <c r="J10" s="754"/>
      <c r="K10" s="755"/>
      <c r="L10" s="750" t="s">
        <v>1269</v>
      </c>
      <c r="M10" s="751">
        <f ca="1">INDIRECT("'数据-取费表'!ai"&amp;$G$1)</f>
        <v>0</v>
      </c>
    </row>
    <row r="11" spans="1:25" ht="18" customHeight="1">
      <c r="A11" s="752"/>
      <c r="B11" s="3968"/>
      <c r="C11" s="1613"/>
      <c r="D11" s="1610"/>
      <c r="E11" s="59" t="s">
        <v>588</v>
      </c>
      <c r="F11" s="760">
        <f ca="1">INDIRECT("'数据-取费表'!w"&amp;$G$1)</f>
        <v>0</v>
      </c>
      <c r="G11" s="1405"/>
      <c r="H11" s="2152"/>
      <c r="I11" s="396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4.3499999999999997E-2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4"/>
      <c r="J36" s="1803"/>
      <c r="K36" s="1804"/>
      <c r="L36" s="1803"/>
      <c r="M36" s="1803"/>
    </row>
    <row r="37" spans="1:18" ht="18" customHeight="1">
      <c r="A37" s="780"/>
      <c r="B37" s="759"/>
      <c r="C37" s="67"/>
      <c r="D37" s="781"/>
      <c r="E37" s="750" t="s">
        <v>621</v>
      </c>
      <c r="F37" s="751">
        <f ca="1">INDIRECT("'数据-取费表'!r"&amp;$G$1)</f>
        <v>0</v>
      </c>
      <c r="G37" s="1786"/>
      <c r="H37" s="1789"/>
      <c r="I37" s="3964"/>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69"/>
      <c r="L54" s="3970"/>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H28" sqref="H2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5" t="s">
        <v>1807</v>
      </c>
      <c r="C6" s="749" t="e">
        <f ca="1">ROUND(F6*F8*F7*(1-F9)/10000,0)</f>
        <v>#N/A</v>
      </c>
      <c r="D6" s="2144" t="s">
        <v>1806</v>
      </c>
      <c r="E6" s="750" t="s">
        <v>1267</v>
      </c>
      <c r="F6" s="751" t="e">
        <f ca="1">INDIRECT("'数据-取费表'!u"&amp;$G$1)</f>
        <v>#N/A</v>
      </c>
      <c r="G6" s="1786"/>
      <c r="H6" s="2151" t="s">
        <v>1812</v>
      </c>
      <c r="I6" s="3965" t="s">
        <v>1807</v>
      </c>
      <c r="J6" s="749" t="e">
        <f ca="1">ROUND(M6*M8*M7*(1-M9)/10000,0)</f>
        <v>#N/A</v>
      </c>
      <c r="K6" s="332" t="s">
        <v>1266</v>
      </c>
      <c r="L6" s="750" t="s">
        <v>1267</v>
      </c>
      <c r="M6" s="751" t="e">
        <f ca="1">INDIRECT("'数据-取费表'!z"&amp;$G$1)</f>
        <v>#N/A</v>
      </c>
    </row>
    <row r="7" spans="1:33" ht="18" customHeight="1">
      <c r="A7" s="2147"/>
      <c r="B7" s="3966"/>
      <c r="C7" s="754"/>
      <c r="D7" s="755"/>
      <c r="E7" s="750" t="s">
        <v>1268</v>
      </c>
      <c r="F7" s="751" t="e">
        <f ca="1">IF(INDIRECT("'数据-取费表'!ah"&amp;$G$1)="",INDIRECT("'数据-取费表'!k"&amp;$G$1),INDIRECT("'数据-取费表'!ah"&amp;$G$1))</f>
        <v>#N/A</v>
      </c>
      <c r="G7" s="1786"/>
      <c r="H7" s="2136"/>
      <c r="I7" s="3966"/>
      <c r="J7" s="754"/>
      <c r="K7" s="755"/>
      <c r="L7" s="750" t="s">
        <v>1268</v>
      </c>
      <c r="M7" s="751" t="e">
        <f ca="1">F7</f>
        <v>#N/A</v>
      </c>
    </row>
    <row r="8" spans="1:33" ht="18" customHeight="1">
      <c r="A8" s="2140"/>
      <c r="B8" s="3967"/>
      <c r="C8" s="754"/>
      <c r="D8" s="755"/>
      <c r="E8" s="750" t="s">
        <v>1269</v>
      </c>
      <c r="F8" s="751" t="e">
        <f ca="1">INDIRECT("'数据-取费表'!ai"&amp;$G$1)</f>
        <v>#N/A</v>
      </c>
      <c r="G8" s="1786"/>
      <c r="H8" s="2136"/>
      <c r="I8" s="3967"/>
      <c r="J8" s="754"/>
      <c r="K8" s="755"/>
      <c r="L8" s="750" t="s">
        <v>1269</v>
      </c>
      <c r="M8" s="751" t="e">
        <f ca="1">INDIRECT("'数据-取费表'!ai"&amp;$G$1)</f>
        <v>#N/A</v>
      </c>
    </row>
    <row r="9" spans="1:33" ht="18" customHeight="1">
      <c r="A9" s="752"/>
      <c r="B9" s="3968"/>
      <c r="C9" s="754"/>
      <c r="D9" s="755"/>
      <c r="E9" s="750" t="s">
        <v>1270</v>
      </c>
      <c r="F9" s="760" t="e">
        <f ca="1">INDIRECT("'数据-取费表'!w"&amp;$G$1)</f>
        <v>#N/A</v>
      </c>
      <c r="G9" s="1786"/>
      <c r="H9" s="2152"/>
      <c r="I9" s="3967"/>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180</v>
      </c>
      <c r="G17" s="3002"/>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4.3499999999999997E-2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71" t="s">
        <v>2226</v>
      </c>
      <c r="L53" s="3972"/>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15.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H28" sqref="H28"/>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2443</v>
      </c>
      <c r="B1" s="3058"/>
      <c r="C1" s="3071"/>
      <c r="D1" s="3071"/>
      <c r="E1" s="3059"/>
      <c r="F1" s="3060"/>
      <c r="G1" s="3061"/>
      <c r="J1" s="3064" t="s">
        <v>2300</v>
      </c>
      <c r="K1" s="3065"/>
      <c r="L1" s="3065"/>
      <c r="M1" s="3065"/>
      <c r="N1" s="3065"/>
      <c r="O1" s="3065"/>
      <c r="P1" s="3065"/>
      <c r="Q1" s="3065"/>
      <c r="R1" s="3066"/>
      <c r="S1" s="3067"/>
      <c r="T1" s="3067"/>
      <c r="U1" s="3067"/>
    </row>
    <row r="2" spans="1:22" s="3080" customFormat="1" ht="13.15" customHeight="1">
      <c r="A2" s="3069" t="s">
        <v>2301</v>
      </c>
      <c r="B2" s="3070" t="e">
        <f>C40</f>
        <v>#DIV/0!</v>
      </c>
      <c r="C2" s="3071" t="s">
        <v>2302</v>
      </c>
      <c r="D2" s="3071"/>
      <c r="E2" s="3072"/>
      <c r="F2" s="3073"/>
      <c r="G2" s="3074"/>
      <c r="H2" s="3075"/>
      <c r="I2" s="3076"/>
      <c r="J2" s="3979" t="s">
        <v>2303</v>
      </c>
      <c r="K2" s="3980"/>
      <c r="L2" s="3077" t="s">
        <v>2304</v>
      </c>
      <c r="M2" s="3077" t="s">
        <v>2305</v>
      </c>
      <c r="N2" s="3077" t="s">
        <v>2306</v>
      </c>
      <c r="O2" s="3077" t="s">
        <v>2307</v>
      </c>
      <c r="P2" s="3077" t="s">
        <v>2308</v>
      </c>
      <c r="Q2" s="3078" t="s">
        <v>2309</v>
      </c>
      <c r="R2" s="3079" t="s">
        <v>2310</v>
      </c>
      <c r="S2" s="3067"/>
      <c r="T2" s="3067"/>
      <c r="U2" s="3067"/>
      <c r="V2" s="3076"/>
    </row>
    <row r="3" spans="1:22" s="3080" customFormat="1" ht="13.15" customHeight="1">
      <c r="A3" s="3081" t="s">
        <v>2311</v>
      </c>
      <c r="B3" s="3082" t="e">
        <f>ROUND(B2*10000/B4,0)</f>
        <v>#DIV/0!</v>
      </c>
      <c r="C3" s="3071" t="s">
        <v>2312</v>
      </c>
      <c r="D3" s="3071"/>
      <c r="E3" s="3072"/>
      <c r="F3" s="3073"/>
      <c r="G3" s="3074"/>
      <c r="H3" s="3075"/>
      <c r="I3" s="3076"/>
      <c r="J3" s="3981" t="s">
        <v>2313</v>
      </c>
      <c r="K3" s="3982"/>
      <c r="L3" s="3083"/>
      <c r="M3" s="3083"/>
      <c r="N3" s="3083"/>
      <c r="O3" s="3083"/>
      <c r="P3" s="3083"/>
      <c r="Q3" s="3084"/>
      <c r="R3" s="3085">
        <f>SUM(L3:Q3)</f>
        <v>0</v>
      </c>
      <c r="S3" s="3067"/>
      <c r="T3" s="3067"/>
      <c r="U3" s="3067"/>
      <c r="V3" s="3076"/>
    </row>
    <row r="4" spans="1:22" s="3080" customFormat="1" ht="13.15" customHeight="1">
      <c r="A4" s="3086" t="s">
        <v>2314</v>
      </c>
      <c r="B4" s="3087"/>
      <c r="C4" s="3071"/>
      <c r="D4" s="3071"/>
      <c r="E4" s="3072"/>
      <c r="F4" s="3073"/>
      <c r="G4" s="3074"/>
      <c r="H4" s="3075"/>
      <c r="I4" s="3076"/>
      <c r="J4" s="3981" t="s">
        <v>2315</v>
      </c>
      <c r="K4" s="3982"/>
      <c r="L4" s="3088"/>
      <c r="M4" s="3088"/>
      <c r="N4" s="3088"/>
      <c r="O4" s="3088"/>
      <c r="P4" s="3088"/>
      <c r="Q4" s="3089"/>
      <c r="R4" s="3090">
        <f>SUM(L4:Q4)</f>
        <v>0</v>
      </c>
      <c r="S4" s="3067"/>
      <c r="T4" s="3067"/>
      <c r="U4" s="3067"/>
      <c r="V4" s="3076"/>
    </row>
    <row r="5" spans="1:22" s="3080" customFormat="1" ht="13.15" customHeight="1" thickBot="1">
      <c r="A5" s="3091" t="s">
        <v>2316</v>
      </c>
      <c r="B5" s="3092"/>
      <c r="C5" s="3071"/>
      <c r="D5" s="3093"/>
      <c r="E5" s="3073"/>
      <c r="F5" s="3073"/>
      <c r="G5" s="3074"/>
      <c r="H5" s="3075"/>
      <c r="I5" s="3076"/>
      <c r="J5" s="3094" t="s">
        <v>2317</v>
      </c>
      <c r="K5" s="3095"/>
      <c r="L5" s="3095"/>
      <c r="M5" s="3096"/>
      <c r="N5" s="3096"/>
      <c r="O5" s="3096"/>
      <c r="P5" s="3096"/>
      <c r="Q5" s="3096"/>
      <c r="R5" s="3079">
        <f>SUM(R14,R19,R24,R25,R27,R28)</f>
        <v>0</v>
      </c>
      <c r="S5" s="3067"/>
      <c r="T5" s="3067" t="s">
        <v>2318</v>
      </c>
      <c r="U5" s="3067" t="e">
        <f>ROUND(R5*10000/365/R3,1)</f>
        <v>#DIV/0!</v>
      </c>
      <c r="V5" s="3076"/>
    </row>
    <row r="6" spans="1:22" s="3080" customFormat="1" ht="13.15" customHeight="1" thickBot="1">
      <c r="A6" s="3987" t="s">
        <v>2319</v>
      </c>
      <c r="B6" s="3988"/>
      <c r="C6" s="3989"/>
      <c r="D6" s="3097"/>
      <c r="E6" s="3098"/>
      <c r="F6" s="3099"/>
      <c r="G6" s="3100"/>
      <c r="H6" s="3075"/>
      <c r="I6" s="3076"/>
      <c r="J6" s="3973">
        <v>1</v>
      </c>
      <c r="K6" s="3974" t="s">
        <v>2320</v>
      </c>
      <c r="L6" s="3101" t="s">
        <v>2321</v>
      </c>
      <c r="M6" s="3102" t="s">
        <v>2322</v>
      </c>
      <c r="N6" s="3102" t="s">
        <v>2323</v>
      </c>
      <c r="O6" s="3102" t="s">
        <v>2324</v>
      </c>
      <c r="P6" s="3102" t="s">
        <v>2325</v>
      </c>
      <c r="Q6" s="3102" t="s">
        <v>2326</v>
      </c>
      <c r="R6" s="3085" t="s">
        <v>2327</v>
      </c>
      <c r="S6" s="3067"/>
      <c r="T6" s="3067" t="s">
        <v>2328</v>
      </c>
      <c r="U6" s="3067"/>
      <c r="V6" s="3076"/>
    </row>
    <row r="7" spans="1:22" s="3080" customFormat="1" ht="13.15" customHeight="1">
      <c r="A7" s="3103" t="s">
        <v>2329</v>
      </c>
      <c r="B7" s="3104"/>
      <c r="C7" s="3105"/>
      <c r="D7" s="3106">
        <f>SUM(D9,D10,D11,D17,0)</f>
        <v>0</v>
      </c>
      <c r="E7" s="3107" t="e">
        <f>E9+E10+E11+E17</f>
        <v>#DIV/0!</v>
      </c>
      <c r="F7" s="3108"/>
      <c r="G7" s="3109"/>
      <c r="H7" s="3075"/>
      <c r="I7" s="3076"/>
      <c r="J7" s="3973"/>
      <c r="K7" s="3975"/>
      <c r="L7" s="3110" t="s">
        <v>2330</v>
      </c>
      <c r="M7" s="3111"/>
      <c r="N7" s="3087"/>
      <c r="O7" s="3112"/>
      <c r="P7" s="3112"/>
      <c r="Q7" s="3113">
        <v>365</v>
      </c>
      <c r="R7" s="3114">
        <f>ROUND(M7*N7*O7*P7*Q7/10000,0)</f>
        <v>0</v>
      </c>
      <c r="S7" s="3067"/>
      <c r="T7" s="3067" t="s">
        <v>2331</v>
      </c>
      <c r="U7" s="3067"/>
      <c r="V7" s="3076"/>
    </row>
    <row r="8" spans="1:22" s="3080" customFormat="1" ht="13.15" customHeight="1">
      <c r="A8" s="3115" t="s">
        <v>2332</v>
      </c>
      <c r="B8" s="3990" t="s">
        <v>2333</v>
      </c>
      <c r="C8" s="3991"/>
      <c r="D8" s="3116" t="s">
        <v>2334</v>
      </c>
      <c r="E8" s="3117" t="s">
        <v>2335</v>
      </c>
      <c r="F8" s="3118" t="s">
        <v>2336</v>
      </c>
      <c r="G8" s="3119"/>
      <c r="H8" s="3075"/>
      <c r="I8" s="3076"/>
      <c r="J8" s="3973"/>
      <c r="K8" s="3975"/>
      <c r="L8" s="3110" t="s">
        <v>2337</v>
      </c>
      <c r="M8" s="3111"/>
      <c r="N8" s="3087"/>
      <c r="O8" s="3112"/>
      <c r="P8" s="3112"/>
      <c r="Q8" s="3113">
        <v>365</v>
      </c>
      <c r="R8" s="3114">
        <f t="shared" ref="R8:R13" si="0">ROUND(M8*N8*O8*P8*Q8/10000,0)</f>
        <v>0</v>
      </c>
      <c r="S8" s="3067"/>
      <c r="T8" s="3067" t="s">
        <v>2338</v>
      </c>
      <c r="U8" s="3067"/>
      <c r="V8" s="3076"/>
    </row>
    <row r="9" spans="1:22" s="3080" customFormat="1" ht="13.15" customHeight="1">
      <c r="A9" s="3115">
        <v>1</v>
      </c>
      <c r="B9" s="3990" t="s">
        <v>2339</v>
      </c>
      <c r="C9" s="3991"/>
      <c r="D9" s="3116">
        <f>ROUND(D6*E9,0)</f>
        <v>0</v>
      </c>
      <c r="E9" s="3120"/>
      <c r="F9" s="3121" t="s">
        <v>2340</v>
      </c>
      <c r="G9" s="3100"/>
      <c r="H9" s="3075"/>
      <c r="I9" s="3076"/>
      <c r="J9" s="3973"/>
      <c r="K9" s="3975"/>
      <c r="L9" s="3110" t="s">
        <v>2341</v>
      </c>
      <c r="M9" s="3111"/>
      <c r="N9" s="3087"/>
      <c r="O9" s="3112"/>
      <c r="P9" s="3112"/>
      <c r="Q9" s="3113">
        <v>365</v>
      </c>
      <c r="R9" s="3114">
        <f t="shared" si="0"/>
        <v>0</v>
      </c>
      <c r="S9" s="3067"/>
      <c r="T9" s="3067"/>
      <c r="U9" s="3067"/>
      <c r="V9" s="3076"/>
    </row>
    <row r="10" spans="1:22" s="3080" customFormat="1" ht="13.15" customHeight="1">
      <c r="A10" s="3115">
        <v>2</v>
      </c>
      <c r="B10" s="3990" t="s">
        <v>2342</v>
      </c>
      <c r="C10" s="3991"/>
      <c r="D10" s="3116">
        <f>ROUND(D6*E10,0)</f>
        <v>0</v>
      </c>
      <c r="E10" s="3120"/>
      <c r="F10" s="3121" t="s">
        <v>2343</v>
      </c>
      <c r="G10" s="3100"/>
      <c r="H10" s="3075"/>
      <c r="I10" s="3076"/>
      <c r="J10" s="3973"/>
      <c r="K10" s="3975"/>
      <c r="L10" s="3110" t="s">
        <v>2344</v>
      </c>
      <c r="M10" s="3111"/>
      <c r="N10" s="3087"/>
      <c r="O10" s="3112"/>
      <c r="P10" s="3112"/>
      <c r="Q10" s="3113">
        <v>365</v>
      </c>
      <c r="R10" s="3114">
        <f t="shared" si="0"/>
        <v>0</v>
      </c>
      <c r="S10" s="3067"/>
      <c r="T10" s="3067"/>
      <c r="U10" s="3067"/>
      <c r="V10" s="3076"/>
    </row>
    <row r="11" spans="1:22" s="3080" customFormat="1" ht="13.15" customHeight="1">
      <c r="A11" s="3115">
        <v>3</v>
      </c>
      <c r="B11" s="3990" t="s">
        <v>2345</v>
      </c>
      <c r="C11" s="3991"/>
      <c r="D11" s="3116">
        <f>D12+D14+D15+D16</f>
        <v>0</v>
      </c>
      <c r="E11" s="3122" t="e">
        <f>D11/D6</f>
        <v>#DIV/0!</v>
      </c>
      <c r="F11" s="3118"/>
      <c r="G11" s="3119"/>
      <c r="H11" s="3075"/>
      <c r="I11" s="3076"/>
      <c r="J11" s="3973"/>
      <c r="K11" s="3975"/>
      <c r="L11" s="3110" t="s">
        <v>2346</v>
      </c>
      <c r="M11" s="3111"/>
      <c r="N11" s="3087"/>
      <c r="O11" s="3112"/>
      <c r="P11" s="3112"/>
      <c r="Q11" s="3113">
        <v>365</v>
      </c>
      <c r="R11" s="3114">
        <f t="shared" si="0"/>
        <v>0</v>
      </c>
      <c r="S11" s="3067"/>
      <c r="T11" s="3067"/>
      <c r="U11" s="3067"/>
      <c r="V11" s="3076"/>
    </row>
    <row r="12" spans="1:22" s="3080" customFormat="1" ht="13.15" customHeight="1">
      <c r="A12" s="3123" t="s">
        <v>2347</v>
      </c>
      <c r="B12" s="3983" t="s">
        <v>2348</v>
      </c>
      <c r="C12" s="3984"/>
      <c r="D12" s="3124">
        <f>ROUND(D13*1.2%*(1-30%),0)</f>
        <v>0</v>
      </c>
      <c r="E12" s="3125">
        <v>1.2E-2</v>
      </c>
      <c r="F12" s="3118" t="s">
        <v>2349</v>
      </c>
      <c r="G12" s="3119"/>
      <c r="H12" s="3075"/>
      <c r="I12" s="3076"/>
      <c r="J12" s="3973"/>
      <c r="K12" s="3975"/>
      <c r="L12" s="3110" t="s">
        <v>2350</v>
      </c>
      <c r="M12" s="3111"/>
      <c r="N12" s="3087"/>
      <c r="O12" s="3112"/>
      <c r="P12" s="3112"/>
      <c r="Q12" s="3113">
        <v>365</v>
      </c>
      <c r="R12" s="3114">
        <f t="shared" si="0"/>
        <v>0</v>
      </c>
      <c r="S12" s="3067"/>
      <c r="T12" s="3067"/>
      <c r="U12" s="3067"/>
      <c r="V12" s="3076"/>
    </row>
    <row r="13" spans="1:22" s="3080" customFormat="1" ht="13.15" customHeight="1">
      <c r="A13" s="3123"/>
      <c r="B13" s="3126"/>
      <c r="C13" s="3127" t="s">
        <v>2351</v>
      </c>
      <c r="D13" s="3128"/>
      <c r="E13" s="3129"/>
      <c r="F13" s="3118"/>
      <c r="G13" s="3119"/>
      <c r="H13" s="3075"/>
      <c r="I13" s="3076"/>
      <c r="J13" s="3973"/>
      <c r="K13" s="3975"/>
      <c r="L13" s="3110" t="s">
        <v>2352</v>
      </c>
      <c r="M13" s="3111"/>
      <c r="N13" s="3087"/>
      <c r="O13" s="3112"/>
      <c r="P13" s="3112"/>
      <c r="Q13" s="3113">
        <v>365</v>
      </c>
      <c r="R13" s="3114">
        <f t="shared" si="0"/>
        <v>0</v>
      </c>
      <c r="S13" s="3067"/>
      <c r="T13" s="3067"/>
      <c r="U13" s="3067"/>
      <c r="V13" s="3076"/>
    </row>
    <row r="14" spans="1:22" s="3080" customFormat="1" ht="13.15" customHeight="1">
      <c r="A14" s="3123" t="s">
        <v>2353</v>
      </c>
      <c r="B14" s="3983" t="s">
        <v>2354</v>
      </c>
      <c r="C14" s="3984"/>
      <c r="D14" s="3124">
        <f>ROUND(E14*B5/10000,0)</f>
        <v>0</v>
      </c>
      <c r="E14" s="3113"/>
      <c r="F14" s="3118" t="s">
        <v>2355</v>
      </c>
      <c r="G14" s="3119"/>
      <c r="H14" s="3075"/>
      <c r="I14" s="3076"/>
      <c r="J14" s="3973"/>
      <c r="K14" s="3976"/>
      <c r="L14" s="3130" t="s">
        <v>2356</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2357</v>
      </c>
      <c r="B15" s="3983" t="s">
        <v>2358</v>
      </c>
      <c r="C15" s="3984"/>
      <c r="D15" s="3124">
        <f>ROUND(D6*E15,0)</f>
        <v>0</v>
      </c>
      <c r="E15" s="3125">
        <v>5.5E-2</v>
      </c>
      <c r="F15" s="3118" t="s">
        <v>2359</v>
      </c>
      <c r="G15" s="3100"/>
      <c r="H15" s="3075"/>
      <c r="I15" s="3076"/>
      <c r="J15" s="3973">
        <v>2</v>
      </c>
      <c r="K15" s="3974" t="s">
        <v>2360</v>
      </c>
      <c r="L15" s="3110" t="s">
        <v>2361</v>
      </c>
      <c r="M15" s="3111" t="s">
        <v>2362</v>
      </c>
      <c r="N15" s="3111" t="s">
        <v>2363</v>
      </c>
      <c r="O15" s="3112" t="s">
        <v>2364</v>
      </c>
      <c r="P15" s="3112" t="s">
        <v>2365</v>
      </c>
      <c r="Q15" s="3087" t="s">
        <v>2366</v>
      </c>
      <c r="R15" s="3134" t="s">
        <v>2367</v>
      </c>
      <c r="S15" s="3067"/>
      <c r="T15" s="3067"/>
      <c r="U15" s="3067"/>
      <c r="V15" s="3076"/>
    </row>
    <row r="16" spans="1:22" s="3080" customFormat="1" ht="13.15" customHeight="1">
      <c r="A16" s="3123" t="s">
        <v>2368</v>
      </c>
      <c r="B16" s="3983" t="s">
        <v>2369</v>
      </c>
      <c r="C16" s="3984"/>
      <c r="D16" s="3135">
        <f>D6*E16</f>
        <v>0</v>
      </c>
      <c r="E16" s="3136"/>
      <c r="F16" s="3121" t="s">
        <v>2370</v>
      </c>
      <c r="G16" s="3100"/>
      <c r="H16" s="3075"/>
      <c r="I16" s="3076"/>
      <c r="J16" s="3973"/>
      <c r="K16" s="3975"/>
      <c r="L16" s="3110" t="s">
        <v>2371</v>
      </c>
      <c r="M16" s="3111"/>
      <c r="N16" s="3111"/>
      <c r="O16" s="3112"/>
      <c r="P16" s="3113">
        <v>365</v>
      </c>
      <c r="Q16" s="3087"/>
      <c r="R16" s="3134">
        <f>ROUND(M16*N16*O16*P16/10000,0)</f>
        <v>0</v>
      </c>
      <c r="S16" s="3067"/>
      <c r="T16" s="3067"/>
      <c r="U16" s="3067"/>
      <c r="V16" s="3076"/>
    </row>
    <row r="17" spans="1:22" s="3080" customFormat="1" ht="13.15" customHeight="1" thickBot="1">
      <c r="A17" s="3137">
        <v>4</v>
      </c>
      <c r="B17" s="3985" t="s">
        <v>2372</v>
      </c>
      <c r="C17" s="3986"/>
      <c r="D17" s="3138">
        <f>ROUND(D6*E17,0)</f>
        <v>0</v>
      </c>
      <c r="E17" s="3139"/>
      <c r="F17" s="3140" t="s">
        <v>2373</v>
      </c>
      <c r="G17" s="3100"/>
      <c r="H17" s="3075"/>
      <c r="I17" s="3076"/>
      <c r="J17" s="3973"/>
      <c r="K17" s="3975"/>
      <c r="L17" s="3110" t="s">
        <v>2374</v>
      </c>
      <c r="M17" s="3111"/>
      <c r="N17" s="3111"/>
      <c r="O17" s="3112"/>
      <c r="P17" s="3113">
        <v>365</v>
      </c>
      <c r="Q17" s="3087"/>
      <c r="R17" s="3134">
        <f>ROUND(M17*N17*O17*P17/10000,0)</f>
        <v>0</v>
      </c>
      <c r="S17" s="3067"/>
      <c r="T17" s="3067"/>
      <c r="U17" s="3067"/>
      <c r="V17" s="3076"/>
    </row>
    <row r="18" spans="1:22" s="3080" customFormat="1" ht="13.15" customHeight="1" thickBot="1">
      <c r="A18" s="3103" t="s">
        <v>2375</v>
      </c>
      <c r="B18" s="3104"/>
      <c r="C18" s="3104"/>
      <c r="D18" s="3141">
        <f>ROUND(D6*E18,0)</f>
        <v>0</v>
      </c>
      <c r="E18" s="3142"/>
      <c r="F18" s="3143" t="s">
        <v>2376</v>
      </c>
      <c r="G18" s="3100"/>
      <c r="H18" s="3075"/>
      <c r="I18" s="3076"/>
      <c r="J18" s="3973"/>
      <c r="K18" s="3975"/>
      <c r="L18" s="3110" t="s">
        <v>2377</v>
      </c>
      <c r="M18" s="3111"/>
      <c r="N18" s="3111"/>
      <c r="O18" s="3112"/>
      <c r="P18" s="3113">
        <v>365</v>
      </c>
      <c r="Q18" s="3087"/>
      <c r="R18" s="3134">
        <f>ROUND(M18*N18*O18*P18/10000,0)</f>
        <v>0</v>
      </c>
      <c r="S18" s="3067"/>
      <c r="T18" s="3067"/>
      <c r="U18" s="3067"/>
      <c r="V18" s="3076"/>
    </row>
    <row r="19" spans="1:22" s="3080" customFormat="1" ht="13.15" customHeight="1" thickBot="1">
      <c r="A19" s="3144" t="s">
        <v>2378</v>
      </c>
      <c r="B19" s="3098"/>
      <c r="C19" s="3098"/>
      <c r="D19" s="3098"/>
      <c r="E19" s="3098"/>
      <c r="F19" s="3099"/>
      <c r="G19" s="3119"/>
      <c r="H19" s="3075"/>
      <c r="I19" s="3076"/>
      <c r="J19" s="3973"/>
      <c r="K19" s="3976"/>
      <c r="L19" s="3130" t="s">
        <v>2356</v>
      </c>
      <c r="M19" s="3131"/>
      <c r="N19" s="3131">
        <f>SUM(N16:N18)</f>
        <v>0</v>
      </c>
      <c r="O19" s="3132"/>
      <c r="P19" s="3145" t="s">
        <v>2444</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73">
        <v>3</v>
      </c>
      <c r="K20" s="3974" t="s">
        <v>2379</v>
      </c>
      <c r="L20" s="3110" t="s">
        <v>2380</v>
      </c>
      <c r="M20" s="3111" t="s">
        <v>2381</v>
      </c>
      <c r="N20" s="3148" t="s">
        <v>2382</v>
      </c>
      <c r="O20" s="3112" t="s">
        <v>2383</v>
      </c>
      <c r="P20" s="3113" t="s">
        <v>2384</v>
      </c>
      <c r="Q20" s="3087" t="s">
        <v>2385</v>
      </c>
      <c r="R20" s="3134" t="s">
        <v>2327</v>
      </c>
      <c r="S20" s="3149"/>
      <c r="T20" s="3149"/>
      <c r="U20" s="3149"/>
      <c r="V20" s="3076"/>
    </row>
    <row r="21" spans="1:22" s="3080" customFormat="1" ht="13.15" customHeight="1">
      <c r="A21" s="3103"/>
      <c r="B21" s="3104"/>
      <c r="C21" s="3150" t="s">
        <v>2386</v>
      </c>
      <c r="D21" s="3151" t="s">
        <v>2387</v>
      </c>
      <c r="E21" s="3152" t="s">
        <v>2388</v>
      </c>
      <c r="F21" s="3147"/>
      <c r="G21" s="3119"/>
      <c r="H21" s="3075"/>
      <c r="I21" s="3076"/>
      <c r="J21" s="3973"/>
      <c r="K21" s="3975"/>
      <c r="L21" s="3110" t="s">
        <v>2389</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2390</v>
      </c>
      <c r="D22" s="3155" t="s">
        <v>2391</v>
      </c>
      <c r="E22" s="3156" t="s">
        <v>2392</v>
      </c>
      <c r="F22" s="3147"/>
      <c r="G22" s="3157"/>
      <c r="H22" s="3075"/>
      <c r="I22" s="3076"/>
      <c r="J22" s="3973"/>
      <c r="K22" s="3975"/>
      <c r="L22" s="3110" t="s">
        <v>2393</v>
      </c>
      <c r="M22" s="3111"/>
      <c r="N22" s="3111"/>
      <c r="O22" s="3112"/>
      <c r="P22" s="3113">
        <v>365</v>
      </c>
      <c r="Q22" s="3087"/>
      <c r="R22" s="3153">
        <f>ROUND(M22*N22*O22*P22/10000,0)</f>
        <v>0</v>
      </c>
      <c r="S22" s="3149"/>
      <c r="T22" s="3149"/>
      <c r="U22" s="3149"/>
      <c r="V22" s="3076"/>
    </row>
    <row r="23" spans="1:22" s="3080" customFormat="1" ht="13.15" customHeight="1">
      <c r="A23" s="3158">
        <v>1</v>
      </c>
      <c r="B23" s="3159" t="s">
        <v>2394</v>
      </c>
      <c r="C23" s="3160">
        <f>D6</f>
        <v>0</v>
      </c>
      <c r="D23" s="3161">
        <f>C23*(1+D24)</f>
        <v>0</v>
      </c>
      <c r="E23" s="3162">
        <f>D23*(1+E24)</f>
        <v>0</v>
      </c>
      <c r="F23" s="3163"/>
      <c r="G23" s="3164"/>
      <c r="H23" s="3075"/>
      <c r="I23" s="3076"/>
      <c r="J23" s="3973"/>
      <c r="K23" s="3975"/>
      <c r="L23" s="3110" t="s">
        <v>2395</v>
      </c>
      <c r="M23" s="3111"/>
      <c r="N23" s="3111"/>
      <c r="O23" s="3112"/>
      <c r="P23" s="3113">
        <v>365</v>
      </c>
      <c r="Q23" s="3087"/>
      <c r="R23" s="3153">
        <f>ROUND(M23*N23*O23*P23/10000,0)</f>
        <v>0</v>
      </c>
      <c r="S23" s="3067"/>
      <c r="T23" s="3067"/>
      <c r="U23" s="3067"/>
      <c r="V23" s="3076"/>
    </row>
    <row r="24" spans="1:22" s="3080" customFormat="1" ht="13.15" customHeight="1">
      <c r="A24" s="3165"/>
      <c r="B24" s="3166" t="s">
        <v>2396</v>
      </c>
      <c r="C24" s="3167"/>
      <c r="D24" s="3168"/>
      <c r="E24" s="3169"/>
      <c r="F24" s="3170"/>
      <c r="G24" s="3164"/>
      <c r="H24" s="3075"/>
      <c r="I24" s="3076"/>
      <c r="J24" s="3973"/>
      <c r="K24" s="3976"/>
      <c r="L24" s="3130" t="s">
        <v>2356</v>
      </c>
      <c r="M24" s="3131">
        <f>SUM(M21:M23)</f>
        <v>0</v>
      </c>
      <c r="N24" s="3131"/>
      <c r="O24" s="3132"/>
      <c r="P24" s="3145" t="s">
        <v>2444</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2397</v>
      </c>
      <c r="L25" s="3173"/>
      <c r="M25" s="3173"/>
      <c r="N25" s="3173"/>
      <c r="O25" s="3173"/>
      <c r="P25" s="3174"/>
      <c r="Q25" s="3175"/>
      <c r="R25" s="3146">
        <f>ROUND(R14*Q25,0)</f>
        <v>0</v>
      </c>
      <c r="S25" s="3067"/>
      <c r="T25" s="3067"/>
      <c r="U25" s="3067"/>
      <c r="V25" s="3176"/>
    </row>
    <row r="26" spans="1:22" s="3177" customFormat="1" ht="13.15" customHeight="1">
      <c r="A26" s="3158">
        <v>2</v>
      </c>
      <c r="B26" s="3159" t="s">
        <v>2398</v>
      </c>
      <c r="C26" s="3160">
        <f>D7</f>
        <v>0</v>
      </c>
      <c r="D26" s="3161">
        <f>D23*D27</f>
        <v>0</v>
      </c>
      <c r="E26" s="3162">
        <f>E23*E27</f>
        <v>0</v>
      </c>
      <c r="F26" s="3163"/>
      <c r="G26" s="3164"/>
      <c r="H26" s="3075"/>
      <c r="I26" s="3076"/>
      <c r="J26" s="3977">
        <v>5</v>
      </c>
      <c r="K26" s="3178" t="s">
        <v>2399</v>
      </c>
      <c r="L26" s="3179"/>
      <c r="M26" s="3180"/>
      <c r="N26" s="3181" t="s">
        <v>2400</v>
      </c>
      <c r="O26" s="3181" t="s">
        <v>2401</v>
      </c>
      <c r="P26" s="3182" t="s">
        <v>2402</v>
      </c>
      <c r="Q26" s="3182" t="s">
        <v>2403</v>
      </c>
      <c r="R26" s="3085" t="s">
        <v>2404</v>
      </c>
      <c r="S26" s="3183"/>
      <c r="T26" s="3183"/>
      <c r="U26" s="3183"/>
      <c r="V26" s="3176"/>
    </row>
    <row r="27" spans="1:22" s="3080" customFormat="1" ht="13.15" customHeight="1">
      <c r="A27" s="3165"/>
      <c r="B27" s="3166" t="s">
        <v>2405</v>
      </c>
      <c r="C27" s="3184" t="e">
        <f>E7</f>
        <v>#DIV/0!</v>
      </c>
      <c r="D27" s="3168"/>
      <c r="E27" s="3169"/>
      <c r="F27" s="3170"/>
      <c r="G27" s="3164"/>
      <c r="H27" s="3185"/>
      <c r="I27" s="3176"/>
      <c r="J27" s="3978"/>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2406</v>
      </c>
      <c r="F28" s="3170"/>
      <c r="G28" s="3157"/>
      <c r="H28" s="3185"/>
      <c r="I28" s="3176"/>
      <c r="J28" s="3191">
        <v>6</v>
      </c>
      <c r="K28" s="3192" t="s">
        <v>2407</v>
      </c>
      <c r="L28" s="3193" t="s">
        <v>2408</v>
      </c>
      <c r="M28" s="3194"/>
      <c r="N28" s="3193" t="s">
        <v>2409</v>
      </c>
      <c r="O28" s="3195"/>
      <c r="P28" s="3193" t="s">
        <v>2410</v>
      </c>
      <c r="Q28" s="3196">
        <v>1.4999999999999999E-2</v>
      </c>
      <c r="R28" s="3197"/>
      <c r="S28" s="3149"/>
      <c r="T28" s="3149"/>
      <c r="U28" s="3149"/>
      <c r="V28" s="3176"/>
    </row>
    <row r="29" spans="1:22" s="3177" customFormat="1" ht="13.15" customHeight="1">
      <c r="A29" s="3158">
        <v>3</v>
      </c>
      <c r="B29" s="3159" t="s">
        <v>2411</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2412</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2413</v>
      </c>
      <c r="K31" s="3065"/>
      <c r="L31" s="3065"/>
      <c r="M31" s="3065"/>
      <c r="N31" s="3065"/>
      <c r="O31" s="3065"/>
      <c r="P31" s="3065"/>
      <c r="Q31" s="3065"/>
      <c r="R31" s="3066"/>
      <c r="S31" s="3149"/>
      <c r="T31" s="3067"/>
      <c r="U31" s="3067"/>
      <c r="V31" s="3176"/>
    </row>
    <row r="32" spans="1:22" s="3177" customFormat="1" ht="13.15" customHeight="1">
      <c r="A32" s="3158">
        <v>4</v>
      </c>
      <c r="B32" s="3159" t="s">
        <v>2414</v>
      </c>
      <c r="C32" s="3160">
        <f>C23-C26-C29</f>
        <v>0</v>
      </c>
      <c r="D32" s="3161">
        <f>D23-D26-D29</f>
        <v>0</v>
      </c>
      <c r="E32" s="3162">
        <f>E23-E26-E29</f>
        <v>0</v>
      </c>
      <c r="F32" s="3163"/>
      <c r="G32" s="3157"/>
      <c r="H32" s="3075"/>
      <c r="I32" s="3076"/>
      <c r="J32" s="3979" t="s">
        <v>2415</v>
      </c>
      <c r="K32" s="3980"/>
      <c r="L32" s="3077" t="s">
        <v>2416</v>
      </c>
      <c r="M32" s="3077" t="s">
        <v>2305</v>
      </c>
      <c r="N32" s="3077" t="s">
        <v>2306</v>
      </c>
      <c r="O32" s="3077" t="s">
        <v>2307</v>
      </c>
      <c r="P32" s="3077" t="s">
        <v>2308</v>
      </c>
      <c r="Q32" s="3078" t="s">
        <v>2417</v>
      </c>
      <c r="R32" s="3200" t="s">
        <v>2418</v>
      </c>
      <c r="S32" s="3149"/>
      <c r="T32" s="3067"/>
      <c r="U32" s="3067"/>
      <c r="V32" s="3176"/>
    </row>
    <row r="33" spans="1:23" s="3080" customFormat="1" ht="13.15" customHeight="1">
      <c r="A33" s="3158"/>
      <c r="B33" s="3159"/>
      <c r="C33" s="3160"/>
      <c r="D33" s="3201"/>
      <c r="E33" s="3202"/>
      <c r="F33" s="3163"/>
      <c r="G33" s="3157"/>
      <c r="H33" s="3185"/>
      <c r="I33" s="3176"/>
      <c r="J33" s="3981" t="s">
        <v>2419</v>
      </c>
      <c r="K33" s="3982"/>
      <c r="L33" s="3083"/>
      <c r="M33" s="3083"/>
      <c r="N33" s="3083"/>
      <c r="O33" s="3083"/>
      <c r="P33" s="3083"/>
      <c r="Q33" s="3084"/>
      <c r="R33" s="3203">
        <f>SUM(L33:Q33)</f>
        <v>0</v>
      </c>
      <c r="S33" s="3149"/>
      <c r="T33" s="3067"/>
      <c r="U33" s="3067"/>
      <c r="V33" s="3076"/>
    </row>
    <row r="34" spans="1:23" s="3080" customFormat="1" ht="13.15" customHeight="1">
      <c r="A34" s="3158">
        <v>5</v>
      </c>
      <c r="B34" s="3159" t="s">
        <v>2420</v>
      </c>
      <c r="C34" s="3204"/>
      <c r="D34" s="3205"/>
      <c r="E34" s="3206"/>
      <c r="F34" s="3163"/>
      <c r="G34" s="3157"/>
      <c r="H34" s="3185"/>
      <c r="I34" s="3176"/>
      <c r="J34" s="3981" t="s">
        <v>2421</v>
      </c>
      <c r="K34" s="3982"/>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2422</v>
      </c>
      <c r="C35" s="3208"/>
      <c r="D35" s="3209"/>
      <c r="E35" s="3210"/>
      <c r="F35" s="3163"/>
      <c r="G35" s="3211"/>
      <c r="H35" s="3075"/>
      <c r="I35" s="3176"/>
      <c r="J35" s="3094" t="s">
        <v>2423</v>
      </c>
      <c r="K35" s="3095"/>
      <c r="L35" s="3095"/>
      <c r="M35" s="3096"/>
      <c r="N35" s="3096"/>
      <c r="O35" s="3096"/>
      <c r="P35" s="3096"/>
      <c r="Q35" s="3096"/>
      <c r="R35" s="3212">
        <f>R40+R41+R43</f>
        <v>0</v>
      </c>
      <c r="S35" s="3149"/>
      <c r="T35" s="3067" t="s">
        <v>2424</v>
      </c>
      <c r="U35" s="3067"/>
      <c r="V35" s="3076"/>
    </row>
    <row r="36" spans="1:23" s="3080" customFormat="1" ht="13.15" customHeight="1" thickBot="1">
      <c r="A36" s="3158">
        <v>7</v>
      </c>
      <c r="B36" s="3213" t="s">
        <v>2425</v>
      </c>
      <c r="C36" s="3214"/>
      <c r="D36" s="3215"/>
      <c r="E36" s="3216"/>
      <c r="F36" s="3217">
        <f>C36+D36+E36</f>
        <v>0</v>
      </c>
      <c r="G36" s="3157"/>
      <c r="H36" s="3075"/>
      <c r="I36" s="3076"/>
      <c r="J36" s="3973">
        <v>1</v>
      </c>
      <c r="K36" s="3974" t="s">
        <v>2426</v>
      </c>
      <c r="L36" s="3101"/>
      <c r="M36" s="3102"/>
      <c r="N36" s="3102"/>
      <c r="O36" s="3102"/>
      <c r="P36" s="3102"/>
      <c r="Q36" s="3102"/>
      <c r="R36" s="3085" t="s">
        <v>2327</v>
      </c>
      <c r="S36" s="3149"/>
      <c r="T36" s="3067" t="s">
        <v>2328</v>
      </c>
      <c r="U36" s="3067"/>
      <c r="V36" s="3076"/>
    </row>
    <row r="37" spans="1:23" s="3080" customFormat="1" ht="13.15" customHeight="1">
      <c r="A37" s="3158"/>
      <c r="B37" s="3159"/>
      <c r="C37" s="3159"/>
      <c r="D37" s="3159"/>
      <c r="E37" s="3159"/>
      <c r="F37" s="3163"/>
      <c r="G37" s="3157"/>
      <c r="H37" s="3075"/>
      <c r="I37" s="3076"/>
      <c r="J37" s="3973"/>
      <c r="K37" s="3975"/>
      <c r="L37" s="3110"/>
      <c r="M37" s="3111"/>
      <c r="N37" s="3087"/>
      <c r="O37" s="3112"/>
      <c r="P37" s="3112"/>
      <c r="Q37" s="3113"/>
      <c r="R37" s="3114"/>
      <c r="S37" s="3149"/>
      <c r="T37" s="3067" t="s">
        <v>2331</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73"/>
      <c r="K38" s="3975"/>
      <c r="L38" s="3110"/>
      <c r="M38" s="3111"/>
      <c r="N38" s="3087"/>
      <c r="O38" s="3112"/>
      <c r="P38" s="3112"/>
      <c r="Q38" s="3113"/>
      <c r="R38" s="3114"/>
      <c r="S38" s="3149"/>
      <c r="T38" s="3067" t="s">
        <v>2338</v>
      </c>
      <c r="U38" s="3067"/>
      <c r="V38" s="3076"/>
    </row>
    <row r="39" spans="1:23" s="3080" customFormat="1" ht="13.15" customHeight="1">
      <c r="A39" s="3158">
        <v>9</v>
      </c>
      <c r="B39" s="3159" t="s">
        <v>2427</v>
      </c>
      <c r="C39" s="3124" t="e">
        <f>C38</f>
        <v>#DIV/0!</v>
      </c>
      <c r="D39" s="3159">
        <f>D38/(1+D34)^C36</f>
        <v>0</v>
      </c>
      <c r="E39" s="3159">
        <f>E38/(1+E34)^(C36+D36)</f>
        <v>0</v>
      </c>
      <c r="F39" s="3163"/>
      <c r="G39" s="3218"/>
      <c r="H39" s="3075"/>
      <c r="I39" s="3076"/>
      <c r="J39" s="3973"/>
      <c r="K39" s="3975"/>
      <c r="L39" s="3110"/>
      <c r="M39" s="3111"/>
      <c r="N39" s="3087"/>
      <c r="O39" s="3112"/>
      <c r="P39" s="3112"/>
      <c r="Q39" s="3113"/>
      <c r="R39" s="3114"/>
      <c r="S39" s="3149"/>
      <c r="T39" s="3067"/>
      <c r="U39" s="3067"/>
      <c r="V39" s="3076"/>
    </row>
    <row r="40" spans="1:23" s="3080" customFormat="1" ht="13.15" customHeight="1">
      <c r="A40" s="3219">
        <v>10</v>
      </c>
      <c r="B40" s="3159" t="s">
        <v>2428</v>
      </c>
      <c r="C40" s="3220" t="e">
        <f>C39+D39+E39</f>
        <v>#DIV/0!</v>
      </c>
      <c r="D40" s="3221"/>
      <c r="E40" s="3221"/>
      <c r="F40" s="3222"/>
      <c r="G40" s="3157"/>
      <c r="H40" s="3075"/>
      <c r="I40" s="3076"/>
      <c r="J40" s="3973"/>
      <c r="K40" s="3976"/>
      <c r="L40" s="3130" t="s">
        <v>2429</v>
      </c>
      <c r="M40" s="3131"/>
      <c r="N40" s="3131"/>
      <c r="O40" s="3132"/>
      <c r="P40" s="3132"/>
      <c r="Q40" s="3133"/>
      <c r="R40" s="3079">
        <f>SUM(R37:R39)</f>
        <v>0</v>
      </c>
      <c r="S40" s="3149"/>
      <c r="T40" s="3067"/>
      <c r="U40" s="3067"/>
      <c r="V40" s="3076"/>
    </row>
    <row r="41" spans="1:23" s="3080" customFormat="1" ht="13.15" customHeight="1" thickBot="1">
      <c r="A41" s="3223">
        <v>11</v>
      </c>
      <c r="B41" s="3224" t="s">
        <v>2430</v>
      </c>
      <c r="C41" s="3224" t="e">
        <f>ROUND(C40*10000/B4,0)</f>
        <v>#DIV/0!</v>
      </c>
      <c r="D41" s="3225"/>
      <c r="E41" s="3225"/>
      <c r="F41" s="3226"/>
      <c r="G41" s="3227"/>
      <c r="H41" s="3075"/>
      <c r="I41" s="3076"/>
      <c r="J41" s="3171">
        <v>2</v>
      </c>
      <c r="K41" s="3172" t="s">
        <v>2431</v>
      </c>
      <c r="L41" s="3173"/>
      <c r="M41" s="3173"/>
      <c r="N41" s="3173"/>
      <c r="O41" s="3173"/>
      <c r="P41" s="3174"/>
      <c r="Q41" s="3175"/>
      <c r="R41" s="3146">
        <f>ROUND(R40*Q41,0)</f>
        <v>0</v>
      </c>
      <c r="S41" s="3149"/>
      <c r="T41" s="3067"/>
      <c r="U41" s="3183"/>
      <c r="V41" s="3076"/>
    </row>
    <row r="42" spans="1:23" s="3080" customFormat="1" ht="13.15" customHeight="1">
      <c r="G42" s="3227"/>
      <c r="H42" s="3075"/>
      <c r="I42" s="3076"/>
      <c r="J42" s="3977">
        <v>3</v>
      </c>
      <c r="K42" s="3178" t="s">
        <v>2432</v>
      </c>
      <c r="L42" s="3179"/>
      <c r="M42" s="3180"/>
      <c r="N42" s="3181" t="s">
        <v>2433</v>
      </c>
      <c r="O42" s="3181" t="s">
        <v>2434</v>
      </c>
      <c r="P42" s="3182" t="s">
        <v>2435</v>
      </c>
      <c r="Q42" s="3182" t="s">
        <v>2436</v>
      </c>
      <c r="R42" s="3085" t="s">
        <v>2437</v>
      </c>
      <c r="S42" s="3183"/>
      <c r="T42" s="3183"/>
      <c r="U42" s="3067"/>
      <c r="V42" s="3076"/>
    </row>
    <row r="43" spans="1:23" ht="13.15" customHeight="1">
      <c r="A43" s="3080"/>
      <c r="B43" s="3080"/>
      <c r="C43" s="3080"/>
      <c r="D43" s="3080"/>
      <c r="E43" s="3080"/>
      <c r="F43" s="3080"/>
      <c r="I43" s="3062"/>
      <c r="J43" s="3978"/>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2438</v>
      </c>
      <c r="L44" s="3231" t="s">
        <v>2439</v>
      </c>
      <c r="M44" s="3194"/>
      <c r="N44" s="3231" t="s">
        <v>2440</v>
      </c>
      <c r="O44" s="3194"/>
      <c r="P44" s="3231" t="s">
        <v>2441</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9" t="s">
        <v>471</v>
      </c>
      <c r="D4" s="3890"/>
      <c r="E4" s="3926" t="s">
        <v>472</v>
      </c>
      <c r="F4" s="3927"/>
      <c r="G4" s="3889" t="s">
        <v>473</v>
      </c>
      <c r="H4" s="3890"/>
      <c r="I4" s="3889" t="s">
        <v>474</v>
      </c>
      <c r="J4" s="3890"/>
      <c r="K4" s="818" t="s">
        <v>475</v>
      </c>
      <c r="L4" s="1856"/>
      <c r="M4" s="1857"/>
      <c r="N4" s="1857"/>
      <c r="O4" s="1857"/>
      <c r="P4" s="3891" t="s">
        <v>476</v>
      </c>
      <c r="Q4" s="3892"/>
      <c r="R4" s="3875" t="s">
        <v>472</v>
      </c>
      <c r="S4" s="3876"/>
      <c r="T4" s="3875" t="s">
        <v>473</v>
      </c>
      <c r="U4" s="3876"/>
      <c r="V4" s="3897" t="s">
        <v>474</v>
      </c>
      <c r="W4" s="3897"/>
      <c r="X4" s="1380"/>
      <c r="Y4" s="3875" t="s">
        <v>476</v>
      </c>
      <c r="Z4" s="3876"/>
      <c r="AA4" s="3870" t="s">
        <v>472</v>
      </c>
      <c r="AB4" s="3870" t="s">
        <v>473</v>
      </c>
      <c r="AC4" s="3870" t="s">
        <v>474</v>
      </c>
    </row>
    <row r="5" spans="1:29" ht="15">
      <c r="A5" s="485"/>
      <c r="B5" s="486"/>
      <c r="C5" s="3900" t="s">
        <v>2192</v>
      </c>
      <c r="D5" s="3901"/>
      <c r="E5" s="3928" t="s">
        <v>2193</v>
      </c>
      <c r="F5" s="3929"/>
      <c r="G5" s="3900" t="s">
        <v>2194</v>
      </c>
      <c r="H5" s="3901"/>
      <c r="I5" s="3900" t="s">
        <v>2195</v>
      </c>
      <c r="J5" s="3901"/>
      <c r="K5" s="819"/>
      <c r="L5" s="1856"/>
      <c r="M5" s="1857"/>
      <c r="N5" s="1857"/>
      <c r="O5" s="1857"/>
      <c r="P5" s="3893"/>
      <c r="Q5" s="3894"/>
      <c r="R5" s="3877"/>
      <c r="S5" s="3878"/>
      <c r="T5" s="3877"/>
      <c r="U5" s="3878"/>
      <c r="V5" s="3897"/>
      <c r="W5" s="3897"/>
      <c r="X5" s="1380"/>
      <c r="Y5" s="3877"/>
      <c r="Z5" s="3878"/>
      <c r="AA5" s="3871"/>
      <c r="AB5" s="3871"/>
      <c r="AC5" s="3871"/>
    </row>
    <row r="6" spans="1:29" ht="15.75" thickBot="1">
      <c r="A6" s="487"/>
      <c r="B6" s="488"/>
      <c r="C6" s="3898" t="s">
        <v>2196</v>
      </c>
      <c r="D6" s="3899"/>
      <c r="E6" s="3930" t="s">
        <v>2196</v>
      </c>
      <c r="F6" s="3931"/>
      <c r="G6" s="3898" t="s">
        <v>2196</v>
      </c>
      <c r="H6" s="3899"/>
      <c r="I6" s="3898" t="s">
        <v>2196</v>
      </c>
      <c r="J6" s="3899"/>
      <c r="K6" s="819" t="s">
        <v>477</v>
      </c>
      <c r="L6" s="1856"/>
      <c r="M6" s="1857"/>
      <c r="N6" s="1857"/>
      <c r="O6" s="1857"/>
      <c r="P6" s="3895"/>
      <c r="Q6" s="3896"/>
      <c r="R6" s="3877"/>
      <c r="S6" s="3878"/>
      <c r="T6" s="3879"/>
      <c r="U6" s="3880"/>
      <c r="V6" s="3897"/>
      <c r="W6" s="3897"/>
      <c r="X6" s="1380"/>
      <c r="Y6" s="3879"/>
      <c r="Z6" s="3880"/>
      <c r="AA6" s="3872"/>
      <c r="AB6" s="3872"/>
      <c r="AC6" s="3872"/>
    </row>
    <row r="7" spans="1:29" s="1118" customFormat="1" ht="15.75" thickBot="1">
      <c r="A7" s="2392"/>
      <c r="B7" s="2399" t="s">
        <v>478</v>
      </c>
      <c r="C7" s="489">
        <f>'数据-取费表'!B2</f>
        <v>45091</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3" t="s">
        <v>479</v>
      </c>
      <c r="Q7" s="3882"/>
      <c r="R7" s="1381" t="s">
        <v>10</v>
      </c>
      <c r="S7" s="1382">
        <f t="shared" ref="S7:S15" si="0">F7</f>
        <v>0</v>
      </c>
      <c r="T7" s="1381" t="s">
        <v>10</v>
      </c>
      <c r="U7" s="1382">
        <f t="shared" ref="U7:U15" si="1">H7</f>
        <v>0</v>
      </c>
      <c r="V7" s="1381" t="s">
        <v>10</v>
      </c>
      <c r="W7" s="1382">
        <f t="shared" ref="W7:W15"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3" t="s">
        <v>482</v>
      </c>
      <c r="Q8" s="3874"/>
      <c r="R8" s="1381" t="s">
        <v>10</v>
      </c>
      <c r="S8" s="1382">
        <f t="shared" si="0"/>
        <v>0</v>
      </c>
      <c r="T8" s="1381" t="s">
        <v>10</v>
      </c>
      <c r="U8" s="1382">
        <f t="shared" si="1"/>
        <v>0</v>
      </c>
      <c r="V8" s="1381" t="s">
        <v>10</v>
      </c>
      <c r="W8" s="1382">
        <f t="shared" si="2"/>
        <v>0</v>
      </c>
      <c r="X8" s="1383"/>
      <c r="Y8" s="3873" t="s">
        <v>482</v>
      </c>
      <c r="Z8" s="387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1"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1"/>
      <c r="Q11" s="1050" t="str">
        <f t="shared" si="6"/>
        <v>容积率</v>
      </c>
      <c r="R11" s="1381" t="s">
        <v>8</v>
      </c>
      <c r="S11" s="1382" t="e">
        <f t="shared" si="0"/>
        <v>#N/A</v>
      </c>
      <c r="T11" s="1381" t="s">
        <v>8</v>
      </c>
      <c r="U11" s="1382" t="e">
        <f t="shared" si="1"/>
        <v>#N/A</v>
      </c>
      <c r="V11" s="1381" t="s">
        <v>8</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1"/>
      <c r="Q12" s="1050">
        <f t="shared" si="6"/>
        <v>111</v>
      </c>
      <c r="R12" s="1381" t="s">
        <v>8</v>
      </c>
      <c r="S12" s="1382">
        <f t="shared" si="0"/>
        <v>100</v>
      </c>
      <c r="T12" s="1381" t="s">
        <v>8</v>
      </c>
      <c r="U12" s="1382">
        <f t="shared" si="1"/>
        <v>100</v>
      </c>
      <c r="V12" s="1381" t="s">
        <v>8</v>
      </c>
      <c r="W12" s="1382">
        <f t="shared" si="2"/>
        <v>100</v>
      </c>
      <c r="X12" s="1383"/>
      <c r="Y12" s="3829"/>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1"/>
      <c r="Q13" s="1050">
        <f t="shared" si="6"/>
        <v>111</v>
      </c>
      <c r="R13" s="1381" t="s">
        <v>8</v>
      </c>
      <c r="S13" s="1382">
        <f t="shared" si="0"/>
        <v>100</v>
      </c>
      <c r="T13" s="1381" t="s">
        <v>8</v>
      </c>
      <c r="U13" s="1382">
        <f t="shared" si="1"/>
        <v>100</v>
      </c>
      <c r="V13" s="1381" t="s">
        <v>8</v>
      </c>
      <c r="W13" s="1382">
        <f t="shared" si="2"/>
        <v>100</v>
      </c>
      <c r="X13" s="1383"/>
      <c r="Y13" s="3829"/>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1"/>
      <c r="Q14" s="1050">
        <f t="shared" si="6"/>
        <v>111</v>
      </c>
      <c r="R14" s="1381" t="s">
        <v>8</v>
      </c>
      <c r="S14" s="1382">
        <f t="shared" si="0"/>
        <v>100</v>
      </c>
      <c r="T14" s="1381" t="s">
        <v>8</v>
      </c>
      <c r="U14" s="1382">
        <f t="shared" si="1"/>
        <v>100</v>
      </c>
      <c r="V14" s="1381" t="s">
        <v>8</v>
      </c>
      <c r="W14" s="1382">
        <f t="shared" si="2"/>
        <v>100</v>
      </c>
      <c r="X14" s="1383"/>
      <c r="Y14" s="3829"/>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3" t="s">
        <v>489</v>
      </c>
      <c r="Q15" s="1385" t="str">
        <f t="shared" si="6"/>
        <v>居住社区成熟度</v>
      </c>
      <c r="R15" s="1386" t="s">
        <v>8</v>
      </c>
      <c r="S15" s="1387">
        <f t="shared" si="0"/>
        <v>100</v>
      </c>
      <c r="T15" s="1386" t="s">
        <v>8</v>
      </c>
      <c r="U15" s="1387">
        <f t="shared" si="1"/>
        <v>100</v>
      </c>
      <c r="V15" s="1386" t="s">
        <v>8</v>
      </c>
      <c r="W15" s="1387">
        <f t="shared" si="2"/>
        <v>100</v>
      </c>
      <c r="X15" s="1380"/>
      <c r="Y15" s="388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4"/>
      <c r="Q16" s="1385"/>
      <c r="R16" s="1386"/>
      <c r="S16" s="1387"/>
      <c r="T16" s="1386"/>
      <c r="U16" s="1387"/>
      <c r="V16" s="1386"/>
      <c r="W16" s="1387"/>
      <c r="X16" s="1380"/>
      <c r="Y16" s="388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4"/>
      <c r="Q17" s="1385" t="str">
        <f>B17</f>
        <v>交通便捷度</v>
      </c>
      <c r="R17" s="1386" t="s">
        <v>8</v>
      </c>
      <c r="S17" s="1387">
        <f>F17</f>
        <v>100</v>
      </c>
      <c r="T17" s="1386" t="s">
        <v>8</v>
      </c>
      <c r="U17" s="1387">
        <f>H17</f>
        <v>100</v>
      </c>
      <c r="V17" s="1386" t="s">
        <v>8</v>
      </c>
      <c r="W17" s="1387">
        <f>J17</f>
        <v>100</v>
      </c>
      <c r="X17" s="1380"/>
      <c r="Y17" s="388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4"/>
      <c r="Q18" s="1385"/>
      <c r="R18" s="1386"/>
      <c r="S18" s="1387"/>
      <c r="T18" s="1386"/>
      <c r="U18" s="1387"/>
      <c r="V18" s="1386"/>
      <c r="W18" s="1387"/>
      <c r="X18" s="1380"/>
      <c r="Y18" s="388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4"/>
      <c r="Q19" s="1385" t="str">
        <f>B19</f>
        <v>公共配套设施</v>
      </c>
      <c r="R19" s="1386" t="s">
        <v>8</v>
      </c>
      <c r="S19" s="1387">
        <f>F19</f>
        <v>100</v>
      </c>
      <c r="T19" s="1386" t="s">
        <v>8</v>
      </c>
      <c r="U19" s="1387">
        <f>H19</f>
        <v>100</v>
      </c>
      <c r="V19" s="1386" t="s">
        <v>8</v>
      </c>
      <c r="W19" s="1387">
        <f>J19</f>
        <v>100</v>
      </c>
      <c r="X19" s="1380"/>
      <c r="Y19" s="388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4"/>
      <c r="Q20" s="1385"/>
      <c r="R20" s="1386"/>
      <c r="S20" s="1387"/>
      <c r="T20" s="1386"/>
      <c r="U20" s="1387"/>
      <c r="V20" s="1386"/>
      <c r="W20" s="1387"/>
      <c r="X20" s="1380"/>
      <c r="Y20" s="388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4"/>
      <c r="Q21" s="2193" t="str">
        <f>B21</f>
        <v>基础设施水平</v>
      </c>
      <c r="R21" s="1386" t="s">
        <v>8</v>
      </c>
      <c r="S21" s="1387">
        <f>F21</f>
        <v>100</v>
      </c>
      <c r="T21" s="1386" t="s">
        <v>8</v>
      </c>
      <c r="U21" s="1387">
        <f>H21</f>
        <v>100</v>
      </c>
      <c r="V21" s="1386" t="s">
        <v>8</v>
      </c>
      <c r="W21" s="1387">
        <f>J21</f>
        <v>100</v>
      </c>
      <c r="X21" s="2195"/>
      <c r="Y21" s="388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4"/>
      <c r="Q22" s="2193"/>
      <c r="R22" s="1386"/>
      <c r="S22" s="1387"/>
      <c r="T22" s="1386"/>
      <c r="U22" s="1387"/>
      <c r="V22" s="1386"/>
      <c r="W22" s="1387"/>
      <c r="X22" s="2195"/>
      <c r="Y22" s="388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4"/>
      <c r="Q23" s="1385" t="str">
        <f>B23</f>
        <v>自然及人文环境</v>
      </c>
      <c r="R23" s="1386" t="s">
        <v>8</v>
      </c>
      <c r="S23" s="1387">
        <f>F23</f>
        <v>100</v>
      </c>
      <c r="T23" s="1386" t="s">
        <v>8</v>
      </c>
      <c r="U23" s="1387">
        <f>H23</f>
        <v>100</v>
      </c>
      <c r="V23" s="1386" t="s">
        <v>8</v>
      </c>
      <c r="W23" s="1387">
        <f>J23</f>
        <v>100</v>
      </c>
      <c r="X23" s="1380"/>
      <c r="Y23" s="388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4"/>
      <c r="Q24" s="1385"/>
      <c r="R24" s="1386"/>
      <c r="S24" s="1387"/>
      <c r="T24" s="1386"/>
      <c r="U24" s="1387"/>
      <c r="V24" s="1386"/>
      <c r="W24" s="1387"/>
      <c r="X24" s="1380"/>
      <c r="Y24" s="388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4"/>
      <c r="Q25" s="1385" t="str">
        <f t="shared" ref="Q25:Q46" si="8">B25</f>
        <v>楼层-1</v>
      </c>
      <c r="R25" s="1386" t="s">
        <v>8</v>
      </c>
      <c r="S25" s="1387">
        <f>F25</f>
        <v>100</v>
      </c>
      <c r="T25" s="1386" t="s">
        <v>8</v>
      </c>
      <c r="U25" s="1387">
        <f>H25</f>
        <v>100</v>
      </c>
      <c r="V25" s="1386" t="s">
        <v>8</v>
      </c>
      <c r="W25" s="1387">
        <f>J25</f>
        <v>100</v>
      </c>
      <c r="X25" s="1380"/>
      <c r="Y25" s="388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4"/>
      <c r="Q26" s="1385" t="str">
        <f t="shared" si="8"/>
        <v>朝向</v>
      </c>
      <c r="R26" s="1386" t="s">
        <v>8</v>
      </c>
      <c r="S26" s="1387">
        <f>F26</f>
        <v>100</v>
      </c>
      <c r="T26" s="1386" t="s">
        <v>8</v>
      </c>
      <c r="U26" s="1387">
        <f>H26</f>
        <v>100</v>
      </c>
      <c r="V26" s="1386" t="s">
        <v>8</v>
      </c>
      <c r="W26" s="1387">
        <f>J26</f>
        <v>100</v>
      </c>
      <c r="X26" s="1380"/>
      <c r="Y26" s="388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4"/>
      <c r="Q27" s="1050" t="str">
        <f t="shared" si="8"/>
        <v>道路级别</v>
      </c>
      <c r="R27" s="1381" t="s">
        <v>8</v>
      </c>
      <c r="S27" s="1382">
        <f>F27</f>
        <v>100</v>
      </c>
      <c r="T27" s="1381" t="s">
        <v>8</v>
      </c>
      <c r="U27" s="1382">
        <f>H27</f>
        <v>100</v>
      </c>
      <c r="V27" s="1381" t="s">
        <v>8</v>
      </c>
      <c r="W27" s="1382">
        <f>J27</f>
        <v>100</v>
      </c>
      <c r="X27" s="1383"/>
      <c r="Y27" s="388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4"/>
      <c r="Q28" s="1385">
        <f t="shared" si="8"/>
        <v>111</v>
      </c>
      <c r="R28" s="1386" t="s">
        <v>8</v>
      </c>
      <c r="S28" s="1387">
        <f t="shared" ref="S28:S46" si="9">F28</f>
        <v>100</v>
      </c>
      <c r="T28" s="1386" t="s">
        <v>8</v>
      </c>
      <c r="U28" s="1387">
        <f t="shared" ref="U28:U46" si="10">H28</f>
        <v>100</v>
      </c>
      <c r="V28" s="1386" t="s">
        <v>8</v>
      </c>
      <c r="W28" s="1387">
        <f t="shared" ref="W28:W46" si="11">J28</f>
        <v>100</v>
      </c>
      <c r="X28" s="1380"/>
      <c r="Y28" s="388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4"/>
      <c r="Q29" s="1385">
        <f t="shared" si="8"/>
        <v>111</v>
      </c>
      <c r="R29" s="1386" t="s">
        <v>8</v>
      </c>
      <c r="S29" s="1387">
        <f t="shared" si="9"/>
        <v>100</v>
      </c>
      <c r="T29" s="1386" t="s">
        <v>8</v>
      </c>
      <c r="U29" s="1387">
        <f t="shared" si="10"/>
        <v>100</v>
      </c>
      <c r="V29" s="1386" t="s">
        <v>8</v>
      </c>
      <c r="W29" s="1387">
        <f t="shared" si="11"/>
        <v>100</v>
      </c>
      <c r="X29" s="1380"/>
      <c r="Y29" s="388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4"/>
      <c r="Q30" s="1385">
        <f t="shared" si="8"/>
        <v>111</v>
      </c>
      <c r="R30" s="1386" t="s">
        <v>8</v>
      </c>
      <c r="S30" s="1387">
        <f t="shared" si="9"/>
        <v>100</v>
      </c>
      <c r="T30" s="1386" t="s">
        <v>8</v>
      </c>
      <c r="U30" s="1387">
        <f t="shared" si="10"/>
        <v>100</v>
      </c>
      <c r="V30" s="1386" t="s">
        <v>8</v>
      </c>
      <c r="W30" s="1387">
        <f t="shared" si="11"/>
        <v>100</v>
      </c>
      <c r="X30" s="1380"/>
      <c r="Y30" s="388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4"/>
      <c r="Q31" s="1385">
        <f t="shared" si="8"/>
        <v>111</v>
      </c>
      <c r="R31" s="1386" t="s">
        <v>8</v>
      </c>
      <c r="S31" s="1387">
        <f t="shared" si="9"/>
        <v>100</v>
      </c>
      <c r="T31" s="1386" t="s">
        <v>8</v>
      </c>
      <c r="U31" s="1387">
        <f t="shared" si="10"/>
        <v>100</v>
      </c>
      <c r="V31" s="1386" t="s">
        <v>8</v>
      </c>
      <c r="W31" s="1387">
        <f t="shared" si="11"/>
        <v>100</v>
      </c>
      <c r="X31" s="1380"/>
      <c r="Y31" s="388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5" t="s">
        <v>499</v>
      </c>
      <c r="Q32" s="1385" t="str">
        <f t="shared" si="8"/>
        <v>建筑类型</v>
      </c>
      <c r="R32" s="1386" t="s">
        <v>8</v>
      </c>
      <c r="S32" s="1387">
        <f t="shared" si="9"/>
        <v>100</v>
      </c>
      <c r="T32" s="1386" t="s">
        <v>8</v>
      </c>
      <c r="U32" s="1387">
        <f t="shared" si="10"/>
        <v>100</v>
      </c>
      <c r="V32" s="1386" t="s">
        <v>8</v>
      </c>
      <c r="W32" s="1387">
        <f t="shared" si="11"/>
        <v>100</v>
      </c>
      <c r="X32" s="1380"/>
      <c r="Y32" s="388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6"/>
      <c r="Q33" s="1414" t="str">
        <f t="shared" si="8"/>
        <v>项目建筑规模</v>
      </c>
      <c r="R33" s="1390" t="s">
        <v>8</v>
      </c>
      <c r="S33" s="1391" t="e">
        <f t="shared" si="9"/>
        <v>#N/A</v>
      </c>
      <c r="T33" s="1390" t="s">
        <v>8</v>
      </c>
      <c r="U33" s="1391" t="e">
        <f t="shared" si="10"/>
        <v>#N/A</v>
      </c>
      <c r="V33" s="1390" t="s">
        <v>8</v>
      </c>
      <c r="W33" s="1391" t="e">
        <f t="shared" si="11"/>
        <v>#N/A</v>
      </c>
      <c r="X33" s="1392"/>
      <c r="Y33" s="388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6"/>
      <c r="Q34" s="1385" t="str">
        <f t="shared" si="8"/>
        <v>建筑结构</v>
      </c>
      <c r="R34" s="1386" t="s">
        <v>8</v>
      </c>
      <c r="S34" s="1387">
        <f t="shared" si="9"/>
        <v>100</v>
      </c>
      <c r="T34" s="1386" t="s">
        <v>8</v>
      </c>
      <c r="U34" s="1387">
        <f t="shared" si="10"/>
        <v>100</v>
      </c>
      <c r="V34" s="1386" t="s">
        <v>8</v>
      </c>
      <c r="W34" s="1387">
        <f t="shared" si="11"/>
        <v>100</v>
      </c>
      <c r="X34" s="1380"/>
      <c r="Y34" s="388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6"/>
      <c r="Q35" s="1385" t="str">
        <f t="shared" si="8"/>
        <v>建筑品质</v>
      </c>
      <c r="R35" s="1386" t="s">
        <v>8</v>
      </c>
      <c r="S35" s="1387">
        <f t="shared" si="9"/>
        <v>100</v>
      </c>
      <c r="T35" s="1386" t="s">
        <v>8</v>
      </c>
      <c r="U35" s="1387">
        <f t="shared" si="10"/>
        <v>100</v>
      </c>
      <c r="V35" s="1386" t="s">
        <v>8</v>
      </c>
      <c r="W35" s="1387">
        <f t="shared" si="11"/>
        <v>100</v>
      </c>
      <c r="X35" s="1380"/>
      <c r="Y35" s="388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6"/>
      <c r="Q36" s="1385" t="str">
        <f t="shared" si="8"/>
        <v>公共部分装修</v>
      </c>
      <c r="R36" s="1386" t="s">
        <v>8</v>
      </c>
      <c r="S36" s="1387">
        <f t="shared" si="9"/>
        <v>100</v>
      </c>
      <c r="T36" s="1386" t="s">
        <v>8</v>
      </c>
      <c r="U36" s="1387">
        <f t="shared" si="10"/>
        <v>100</v>
      </c>
      <c r="V36" s="1386" t="s">
        <v>8</v>
      </c>
      <c r="W36" s="1387">
        <f t="shared" si="11"/>
        <v>100</v>
      </c>
      <c r="X36" s="1380"/>
      <c r="Y36" s="388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6"/>
      <c r="Q37" s="1050" t="str">
        <f t="shared" si="8"/>
        <v>成新度</v>
      </c>
      <c r="R37" s="1381" t="s">
        <v>8</v>
      </c>
      <c r="S37" s="1382" t="e">
        <f t="shared" si="9"/>
        <v>#N/A</v>
      </c>
      <c r="T37" s="1381" t="s">
        <v>8</v>
      </c>
      <c r="U37" s="1382" t="e">
        <f t="shared" si="10"/>
        <v>#N/A</v>
      </c>
      <c r="V37" s="1381" t="s">
        <v>8</v>
      </c>
      <c r="W37" s="1382" t="e">
        <f t="shared" si="11"/>
        <v>#N/A</v>
      </c>
      <c r="X37" s="1383"/>
      <c r="Y37" s="388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6" t="s">
        <v>499</v>
      </c>
      <c r="Q38" s="1385" t="str">
        <f t="shared" si="8"/>
        <v>物业管理</v>
      </c>
      <c r="R38" s="1386" t="s">
        <v>8</v>
      </c>
      <c r="S38" s="1387">
        <f t="shared" si="9"/>
        <v>100</v>
      </c>
      <c r="T38" s="1386" t="s">
        <v>8</v>
      </c>
      <c r="U38" s="1387">
        <f t="shared" si="10"/>
        <v>100</v>
      </c>
      <c r="V38" s="1386" t="s">
        <v>8</v>
      </c>
      <c r="W38" s="1387">
        <f t="shared" si="11"/>
        <v>100</v>
      </c>
      <c r="X38" s="1380"/>
      <c r="Y38" s="388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6"/>
      <c r="Q39" s="1385" t="str">
        <f t="shared" si="8"/>
        <v>市政基础设施</v>
      </c>
      <c r="R39" s="1386" t="s">
        <v>8</v>
      </c>
      <c r="S39" s="1387">
        <f t="shared" si="9"/>
        <v>100</v>
      </c>
      <c r="T39" s="1386" t="s">
        <v>8</v>
      </c>
      <c r="U39" s="1387">
        <f t="shared" si="10"/>
        <v>100</v>
      </c>
      <c r="V39" s="1386" t="s">
        <v>8</v>
      </c>
      <c r="W39" s="1387">
        <f t="shared" si="11"/>
        <v>100</v>
      </c>
      <c r="X39" s="1380"/>
      <c r="Y39" s="388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6"/>
      <c r="Q40" s="1385" t="str">
        <f t="shared" si="8"/>
        <v>房型</v>
      </c>
      <c r="R40" s="1386" t="s">
        <v>8</v>
      </c>
      <c r="S40" s="1387">
        <f t="shared" si="9"/>
        <v>100</v>
      </c>
      <c r="T40" s="1386" t="s">
        <v>8</v>
      </c>
      <c r="U40" s="1387">
        <f t="shared" si="10"/>
        <v>100</v>
      </c>
      <c r="V40" s="1386" t="s">
        <v>8</v>
      </c>
      <c r="W40" s="1387">
        <f t="shared" si="11"/>
        <v>100</v>
      </c>
      <c r="X40" s="1380"/>
      <c r="Y40" s="388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6"/>
      <c r="Q41" s="1414" t="str">
        <f t="shared" si="8"/>
        <v>单套/主力户型建筑面积</v>
      </c>
      <c r="R41" s="1390" t="s">
        <v>8</v>
      </c>
      <c r="S41" s="1391">
        <f t="shared" si="9"/>
        <v>100</v>
      </c>
      <c r="T41" s="1390" t="s">
        <v>8</v>
      </c>
      <c r="U41" s="1391">
        <f t="shared" si="10"/>
        <v>100</v>
      </c>
      <c r="V41" s="1390" t="s">
        <v>8</v>
      </c>
      <c r="W41" s="1391">
        <f t="shared" si="11"/>
        <v>100</v>
      </c>
      <c r="X41" s="1392"/>
      <c r="Y41" s="388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6"/>
      <c r="Q42" s="1385" t="str">
        <f t="shared" si="8"/>
        <v>内部装修</v>
      </c>
      <c r="R42" s="1386" t="s">
        <v>8</v>
      </c>
      <c r="S42" s="1387">
        <f t="shared" si="9"/>
        <v>100</v>
      </c>
      <c r="T42" s="1386" t="s">
        <v>8</v>
      </c>
      <c r="U42" s="1387">
        <f t="shared" si="10"/>
        <v>100</v>
      </c>
      <c r="V42" s="1386" t="s">
        <v>8</v>
      </c>
      <c r="W42" s="1387">
        <f t="shared" si="11"/>
        <v>100</v>
      </c>
      <c r="X42" s="1380"/>
      <c r="Y42" s="3886"/>
      <c r="Z42" s="1388" t="str">
        <f t="shared" si="12"/>
        <v>内部装修</v>
      </c>
      <c r="AA42" s="1389">
        <f t="shared" si="3"/>
        <v>1</v>
      </c>
      <c r="AB42" s="1389">
        <f t="shared" si="4"/>
        <v>1</v>
      </c>
      <c r="AC42" s="1389">
        <f t="shared" si="5"/>
        <v>1</v>
      </c>
    </row>
    <row r="43" spans="1:29" ht="15">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6"/>
      <c r="Q43" s="1385" t="str">
        <f t="shared" si="8"/>
        <v>内部装修维护情况</v>
      </c>
      <c r="R43" s="1386" t="s">
        <v>8</v>
      </c>
      <c r="S43" s="1387">
        <f t="shared" si="9"/>
        <v>100</v>
      </c>
      <c r="T43" s="1386" t="s">
        <v>8</v>
      </c>
      <c r="U43" s="1387">
        <f t="shared" si="10"/>
        <v>100</v>
      </c>
      <c r="V43" s="1386" t="s">
        <v>8</v>
      </c>
      <c r="W43" s="1387">
        <f t="shared" si="11"/>
        <v>100</v>
      </c>
      <c r="X43" s="1380"/>
      <c r="Y43" s="388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6"/>
      <c r="Q44" s="1050">
        <f t="shared" si="8"/>
        <v>111</v>
      </c>
      <c r="R44" s="1381" t="s">
        <v>8</v>
      </c>
      <c r="S44" s="1382">
        <f t="shared" si="9"/>
        <v>100</v>
      </c>
      <c r="T44" s="1381" t="s">
        <v>8</v>
      </c>
      <c r="U44" s="1382">
        <f t="shared" si="10"/>
        <v>100</v>
      </c>
      <c r="V44" s="1381" t="s">
        <v>8</v>
      </c>
      <c r="W44" s="1382">
        <f t="shared" si="11"/>
        <v>100</v>
      </c>
      <c r="X44" s="1383"/>
      <c r="Y44" s="388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6"/>
      <c r="Q45" s="1385">
        <f t="shared" si="8"/>
        <v>111</v>
      </c>
      <c r="R45" s="1386" t="s">
        <v>8</v>
      </c>
      <c r="S45" s="1387">
        <f t="shared" si="9"/>
        <v>100</v>
      </c>
      <c r="T45" s="1386" t="s">
        <v>8</v>
      </c>
      <c r="U45" s="1387">
        <f t="shared" si="10"/>
        <v>100</v>
      </c>
      <c r="V45" s="1386" t="s">
        <v>8</v>
      </c>
      <c r="W45" s="1387">
        <f t="shared" si="11"/>
        <v>100</v>
      </c>
      <c r="X45" s="1380"/>
      <c r="Y45" s="388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1" t="str">
        <f>A47</f>
        <v>成交单价（元/平方米）</v>
      </c>
      <c r="Q47" s="3881"/>
      <c r="R47" s="3993">
        <f>E47</f>
        <v>0</v>
      </c>
      <c r="S47" s="3993"/>
      <c r="T47" s="3993">
        <f>G47</f>
        <v>0</v>
      </c>
      <c r="U47" s="3993"/>
      <c r="V47" s="3993">
        <f>I47</f>
        <v>0</v>
      </c>
      <c r="W47" s="3993"/>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81" t="str">
        <f>A48</f>
        <v>比较价格（元/平方米）</v>
      </c>
      <c r="Q48" s="3881"/>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87" t="str">
        <f>A49</f>
        <v>估价对象XX用房的比较价格（楼面单价，元/平方米）</v>
      </c>
      <c r="Q49" s="3888"/>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2023-6</v>
      </c>
      <c r="D58" s="2284">
        <f>EDATE(C58,-1)</f>
        <v>45047</v>
      </c>
      <c r="E58" s="2284">
        <f t="shared" ref="E58:O58" si="13">EDATE(D58,-1)</f>
        <v>45017</v>
      </c>
      <c r="F58" s="2284">
        <f t="shared" si="13"/>
        <v>44986</v>
      </c>
      <c r="G58" s="2284">
        <f t="shared" si="13"/>
        <v>44958</v>
      </c>
      <c r="H58" s="2284">
        <f t="shared" si="13"/>
        <v>44927</v>
      </c>
      <c r="I58" s="2284">
        <f t="shared" si="13"/>
        <v>44896</v>
      </c>
      <c r="J58" s="2284">
        <f t="shared" si="13"/>
        <v>44866</v>
      </c>
      <c r="K58" s="2284">
        <f t="shared" si="13"/>
        <v>44835</v>
      </c>
      <c r="L58" s="2284">
        <f t="shared" si="13"/>
        <v>44805</v>
      </c>
      <c r="M58" s="2284">
        <f t="shared" si="13"/>
        <v>44774</v>
      </c>
      <c r="N58" s="2284">
        <f t="shared" si="13"/>
        <v>44743</v>
      </c>
      <c r="O58" s="2284">
        <f t="shared" si="13"/>
        <v>44713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9" t="s">
        <v>471</v>
      </c>
      <c r="D4" s="3890"/>
      <c r="E4" s="3926" t="s">
        <v>472</v>
      </c>
      <c r="F4" s="3927"/>
      <c r="G4" s="3889" t="s">
        <v>473</v>
      </c>
      <c r="H4" s="3890"/>
      <c r="I4" s="3889" t="s">
        <v>474</v>
      </c>
      <c r="J4" s="3890"/>
      <c r="K4" s="484" t="s">
        <v>475</v>
      </c>
      <c r="L4" s="1856"/>
      <c r="M4" s="1857"/>
      <c r="N4" s="1857"/>
      <c r="O4" s="1857"/>
      <c r="P4" s="3891" t="s">
        <v>476</v>
      </c>
      <c r="Q4" s="3892"/>
      <c r="R4" s="3875" t="s">
        <v>472</v>
      </c>
      <c r="S4" s="3876"/>
      <c r="T4" s="3875" t="s">
        <v>473</v>
      </c>
      <c r="U4" s="3876"/>
      <c r="V4" s="3897" t="s">
        <v>474</v>
      </c>
      <c r="W4" s="3897"/>
      <c r="X4" s="1380"/>
      <c r="Y4" s="3875" t="s">
        <v>476</v>
      </c>
      <c r="Z4" s="3876"/>
      <c r="AA4" s="3870" t="s">
        <v>472</v>
      </c>
      <c r="AB4" s="3897" t="s">
        <v>473</v>
      </c>
      <c r="AC4" s="3870" t="s">
        <v>474</v>
      </c>
    </row>
    <row r="5" spans="1:29" ht="15">
      <c r="A5" s="485"/>
      <c r="B5" s="486"/>
      <c r="C5" s="3900" t="s">
        <v>2192</v>
      </c>
      <c r="D5" s="3901"/>
      <c r="E5" s="3928" t="s">
        <v>2193</v>
      </c>
      <c r="F5" s="3929"/>
      <c r="G5" s="3900" t="s">
        <v>2194</v>
      </c>
      <c r="H5" s="3901"/>
      <c r="I5" s="3900" t="s">
        <v>2195</v>
      </c>
      <c r="J5" s="3901"/>
      <c r="K5" s="484"/>
      <c r="L5" s="1856"/>
      <c r="M5" s="1857"/>
      <c r="N5" s="1857"/>
      <c r="O5" s="1857"/>
      <c r="P5" s="3893"/>
      <c r="Q5" s="3894"/>
      <c r="R5" s="3877"/>
      <c r="S5" s="3878"/>
      <c r="T5" s="3877"/>
      <c r="U5" s="3878"/>
      <c r="V5" s="3897"/>
      <c r="W5" s="3897"/>
      <c r="X5" s="1380"/>
      <c r="Y5" s="3877"/>
      <c r="Z5" s="3878"/>
      <c r="AA5" s="3871"/>
      <c r="AB5" s="3897"/>
      <c r="AC5" s="3871"/>
    </row>
    <row r="6" spans="1:29" ht="15.75" thickBot="1">
      <c r="A6" s="487"/>
      <c r="B6" s="488"/>
      <c r="C6" s="3898" t="s">
        <v>2196</v>
      </c>
      <c r="D6" s="3899"/>
      <c r="E6" s="3930" t="s">
        <v>2196</v>
      </c>
      <c r="F6" s="3931"/>
      <c r="G6" s="3898" t="s">
        <v>2196</v>
      </c>
      <c r="H6" s="3899"/>
      <c r="I6" s="3898" t="s">
        <v>2196</v>
      </c>
      <c r="J6" s="3899"/>
      <c r="K6" s="484" t="s">
        <v>477</v>
      </c>
      <c r="L6" s="1856"/>
      <c r="M6" s="1857"/>
      <c r="N6" s="1857"/>
      <c r="O6" s="1857"/>
      <c r="P6" s="3895"/>
      <c r="Q6" s="3896"/>
      <c r="R6" s="3877"/>
      <c r="S6" s="3878"/>
      <c r="T6" s="3879"/>
      <c r="U6" s="3880"/>
      <c r="V6" s="3897"/>
      <c r="W6" s="3897"/>
      <c r="X6" s="1380"/>
      <c r="Y6" s="3879"/>
      <c r="Z6" s="3880"/>
      <c r="AA6" s="3872"/>
      <c r="AB6" s="3897"/>
      <c r="AC6" s="3872"/>
    </row>
    <row r="7" spans="1:29" s="1118" customFormat="1" ht="15.75" thickBot="1">
      <c r="A7" s="2392"/>
      <c r="B7" s="2399" t="s">
        <v>478</v>
      </c>
      <c r="C7" s="489">
        <f>'数据-取费表'!B2</f>
        <v>45091</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3" t="s">
        <v>479</v>
      </c>
      <c r="Q7" s="3882"/>
      <c r="R7" s="1381" t="s">
        <v>5</v>
      </c>
      <c r="S7" s="1382">
        <f t="shared" ref="S7:S15" si="0">F7</f>
        <v>0</v>
      </c>
      <c r="T7" s="1381" t="s">
        <v>5</v>
      </c>
      <c r="U7" s="1382">
        <f t="shared" ref="U7:U15" si="1">H7</f>
        <v>0</v>
      </c>
      <c r="V7" s="1381" t="s">
        <v>5</v>
      </c>
      <c r="W7" s="1382">
        <f t="shared" ref="W7:W15"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3" t="s">
        <v>482</v>
      </c>
      <c r="Q8" s="3874"/>
      <c r="R8" s="1381" t="s">
        <v>5</v>
      </c>
      <c r="S8" s="1382">
        <f t="shared" si="0"/>
        <v>0</v>
      </c>
      <c r="T8" s="1381" t="s">
        <v>5</v>
      </c>
      <c r="U8" s="1382">
        <f t="shared" si="1"/>
        <v>0</v>
      </c>
      <c r="V8" s="1381" t="s">
        <v>5</v>
      </c>
      <c r="W8" s="1382">
        <f t="shared" si="2"/>
        <v>0</v>
      </c>
      <c r="X8" s="1383"/>
      <c r="Y8" s="3873" t="s">
        <v>482</v>
      </c>
      <c r="Z8" s="387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1"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1"/>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1"/>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1"/>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1"/>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3" t="s">
        <v>489</v>
      </c>
      <c r="Q15" s="1385" t="str">
        <f t="shared" si="6"/>
        <v>商业繁华度</v>
      </c>
      <c r="R15" s="1386" t="s">
        <v>5</v>
      </c>
      <c r="S15" s="1387">
        <f t="shared" si="0"/>
        <v>100</v>
      </c>
      <c r="T15" s="1386" t="s">
        <v>5</v>
      </c>
      <c r="U15" s="1387">
        <f t="shared" si="1"/>
        <v>100</v>
      </c>
      <c r="V15" s="1386" t="s">
        <v>5</v>
      </c>
      <c r="W15" s="1387">
        <f t="shared" si="2"/>
        <v>100</v>
      </c>
      <c r="X15" s="1380"/>
      <c r="Y15" s="388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4"/>
      <c r="Q16" s="1385"/>
      <c r="R16" s="1386"/>
      <c r="S16" s="1387"/>
      <c r="T16" s="1386"/>
      <c r="U16" s="1387"/>
      <c r="V16" s="1386"/>
      <c r="W16" s="1387"/>
      <c r="X16" s="1380"/>
      <c r="Y16" s="388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4"/>
      <c r="Q17" s="1385" t="str">
        <f>B17</f>
        <v>交通便捷度</v>
      </c>
      <c r="R17" s="1386" t="s">
        <v>5</v>
      </c>
      <c r="S17" s="1387">
        <f>F17</f>
        <v>100</v>
      </c>
      <c r="T17" s="1386" t="s">
        <v>5</v>
      </c>
      <c r="U17" s="1387">
        <f>H17</f>
        <v>100</v>
      </c>
      <c r="V17" s="1386" t="s">
        <v>5</v>
      </c>
      <c r="W17" s="1387">
        <f>J17</f>
        <v>100</v>
      </c>
      <c r="X17" s="1380"/>
      <c r="Y17" s="388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4"/>
      <c r="Q18" s="1385"/>
      <c r="R18" s="1386"/>
      <c r="S18" s="1387"/>
      <c r="T18" s="1386"/>
      <c r="U18" s="1387"/>
      <c r="V18" s="1386"/>
      <c r="W18" s="1387"/>
      <c r="X18" s="1380"/>
      <c r="Y18" s="388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4"/>
      <c r="Q19" s="1385" t="str">
        <f>B19</f>
        <v>公共配套设施</v>
      </c>
      <c r="R19" s="1386" t="s">
        <v>5</v>
      </c>
      <c r="S19" s="1387">
        <f>F19</f>
        <v>100</v>
      </c>
      <c r="T19" s="1386" t="s">
        <v>5</v>
      </c>
      <c r="U19" s="1387">
        <f>H19</f>
        <v>100</v>
      </c>
      <c r="V19" s="1386" t="s">
        <v>5</v>
      </c>
      <c r="W19" s="1387">
        <f>J19</f>
        <v>100</v>
      </c>
      <c r="X19" s="1380"/>
      <c r="Y19" s="388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4"/>
      <c r="Q20" s="1385"/>
      <c r="R20" s="1386"/>
      <c r="S20" s="1387"/>
      <c r="T20" s="1386"/>
      <c r="U20" s="1387"/>
      <c r="V20" s="1386"/>
      <c r="W20" s="1387"/>
      <c r="X20" s="1380"/>
      <c r="Y20" s="388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4"/>
      <c r="Q21" s="2193" t="str">
        <f>B21</f>
        <v>基础设施水平</v>
      </c>
      <c r="R21" s="1386" t="s">
        <v>5</v>
      </c>
      <c r="S21" s="1387">
        <f>F21</f>
        <v>100</v>
      </c>
      <c r="T21" s="1386" t="s">
        <v>5</v>
      </c>
      <c r="U21" s="1387">
        <f>H21</f>
        <v>100</v>
      </c>
      <c r="V21" s="1386" t="s">
        <v>5</v>
      </c>
      <c r="W21" s="1387">
        <f>J21</f>
        <v>100</v>
      </c>
      <c r="X21" s="2195"/>
      <c r="Y21" s="388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4"/>
      <c r="Q22" s="2193"/>
      <c r="R22" s="1386"/>
      <c r="S22" s="1387"/>
      <c r="T22" s="1386"/>
      <c r="U22" s="1387"/>
      <c r="V22" s="1386"/>
      <c r="W22" s="1387"/>
      <c r="X22" s="2195"/>
      <c r="Y22" s="388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4"/>
      <c r="Q23" s="1385" t="str">
        <f>B23</f>
        <v>自然及人文环境</v>
      </c>
      <c r="R23" s="1386" t="s">
        <v>5</v>
      </c>
      <c r="S23" s="1387">
        <f>F23</f>
        <v>100</v>
      </c>
      <c r="T23" s="1386" t="s">
        <v>5</v>
      </c>
      <c r="U23" s="1387">
        <f>H23</f>
        <v>100</v>
      </c>
      <c r="V23" s="1386" t="s">
        <v>5</v>
      </c>
      <c r="W23" s="1387">
        <f>J23</f>
        <v>100</v>
      </c>
      <c r="X23" s="1380"/>
      <c r="Y23" s="388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4"/>
      <c r="Q24" s="1385"/>
      <c r="R24" s="1386"/>
      <c r="S24" s="1387"/>
      <c r="T24" s="1386"/>
      <c r="U24" s="1387"/>
      <c r="V24" s="1386"/>
      <c r="W24" s="1387"/>
      <c r="X24" s="1380"/>
      <c r="Y24" s="388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4"/>
      <c r="Q25" s="1385" t="str">
        <f t="shared" ref="Q25:Q46" si="8">B25</f>
        <v>临街状况</v>
      </c>
      <c r="R25" s="1386" t="s">
        <v>5</v>
      </c>
      <c r="S25" s="1387">
        <f>F25</f>
        <v>100</v>
      </c>
      <c r="T25" s="1386" t="s">
        <v>5</v>
      </c>
      <c r="U25" s="1387">
        <f>H25</f>
        <v>100</v>
      </c>
      <c r="V25" s="1386" t="s">
        <v>5</v>
      </c>
      <c r="W25" s="1387">
        <f>J25</f>
        <v>100</v>
      </c>
      <c r="X25" s="1380"/>
      <c r="Y25" s="388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4"/>
      <c r="Q26" s="1385" t="str">
        <f t="shared" si="8"/>
        <v>平面位置/可视性</v>
      </c>
      <c r="R26" s="1386" t="s">
        <v>5</v>
      </c>
      <c r="S26" s="1387">
        <f>F26</f>
        <v>100</v>
      </c>
      <c r="T26" s="1386" t="s">
        <v>5</v>
      </c>
      <c r="U26" s="1387">
        <f>H26</f>
        <v>100</v>
      </c>
      <c r="V26" s="1386" t="s">
        <v>5</v>
      </c>
      <c r="W26" s="1387">
        <f>J26</f>
        <v>100</v>
      </c>
      <c r="X26" s="1380"/>
      <c r="Y26" s="388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4"/>
      <c r="Q27" s="1050" t="str">
        <f t="shared" si="8"/>
        <v>人流量</v>
      </c>
      <c r="R27" s="1381" t="s">
        <v>5</v>
      </c>
      <c r="S27" s="1382">
        <f>F27</f>
        <v>100</v>
      </c>
      <c r="T27" s="1381" t="s">
        <v>5</v>
      </c>
      <c r="U27" s="1382">
        <f>H27</f>
        <v>100</v>
      </c>
      <c r="V27" s="1381" t="s">
        <v>5</v>
      </c>
      <c r="W27" s="1382">
        <f>J27</f>
        <v>100</v>
      </c>
      <c r="X27" s="1383"/>
      <c r="Y27" s="388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4"/>
      <c r="Q29" s="1385">
        <f t="shared" si="8"/>
        <v>111</v>
      </c>
      <c r="R29" s="1386" t="s">
        <v>5</v>
      </c>
      <c r="S29" s="1387">
        <f t="shared" si="9"/>
        <v>100</v>
      </c>
      <c r="T29" s="1386" t="s">
        <v>5</v>
      </c>
      <c r="U29" s="1387">
        <f t="shared" si="10"/>
        <v>100</v>
      </c>
      <c r="V29" s="1386" t="s">
        <v>5</v>
      </c>
      <c r="W29" s="1387">
        <f t="shared" si="11"/>
        <v>100</v>
      </c>
      <c r="X29" s="1380"/>
      <c r="Y29" s="388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4"/>
      <c r="Q30" s="1385">
        <f t="shared" si="8"/>
        <v>111</v>
      </c>
      <c r="R30" s="1386" t="s">
        <v>5</v>
      </c>
      <c r="S30" s="1387">
        <f t="shared" si="9"/>
        <v>100</v>
      </c>
      <c r="T30" s="1386" t="s">
        <v>5</v>
      </c>
      <c r="U30" s="1387">
        <f t="shared" si="10"/>
        <v>100</v>
      </c>
      <c r="V30" s="1386" t="s">
        <v>5</v>
      </c>
      <c r="W30" s="1387">
        <f t="shared" si="11"/>
        <v>100</v>
      </c>
      <c r="X30" s="1380"/>
      <c r="Y30" s="388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4"/>
      <c r="Q31" s="1385">
        <f t="shared" si="8"/>
        <v>111</v>
      </c>
      <c r="R31" s="1386" t="s">
        <v>5</v>
      </c>
      <c r="S31" s="1387">
        <f t="shared" si="9"/>
        <v>100</v>
      </c>
      <c r="T31" s="1386" t="s">
        <v>5</v>
      </c>
      <c r="U31" s="1387">
        <f t="shared" si="10"/>
        <v>100</v>
      </c>
      <c r="V31" s="1386" t="s">
        <v>5</v>
      </c>
      <c r="W31" s="1387">
        <f t="shared" si="11"/>
        <v>100</v>
      </c>
      <c r="X31" s="1380"/>
      <c r="Y31" s="388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5" t="s">
        <v>499</v>
      </c>
      <c r="Q32" s="1385" t="str">
        <f t="shared" si="8"/>
        <v>商业类型</v>
      </c>
      <c r="R32" s="1386" t="s">
        <v>5</v>
      </c>
      <c r="S32" s="1387">
        <f t="shared" si="9"/>
        <v>100</v>
      </c>
      <c r="T32" s="1386" t="s">
        <v>5</v>
      </c>
      <c r="U32" s="1387">
        <f t="shared" si="10"/>
        <v>100</v>
      </c>
      <c r="V32" s="1386" t="s">
        <v>5</v>
      </c>
      <c r="W32" s="1387">
        <f t="shared" si="11"/>
        <v>100</v>
      </c>
      <c r="X32" s="1380"/>
      <c r="Y32" s="388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6"/>
      <c r="Q33" s="1414" t="str">
        <f t="shared" si="8"/>
        <v>项目建筑规模</v>
      </c>
      <c r="R33" s="1390" t="s">
        <v>5</v>
      </c>
      <c r="S33" s="1391" t="e">
        <f t="shared" si="9"/>
        <v>#N/A</v>
      </c>
      <c r="T33" s="1390" t="s">
        <v>5</v>
      </c>
      <c r="U33" s="1391" t="e">
        <f t="shared" si="10"/>
        <v>#N/A</v>
      </c>
      <c r="V33" s="1390" t="s">
        <v>5</v>
      </c>
      <c r="W33" s="1391" t="e">
        <f t="shared" si="11"/>
        <v>#N/A</v>
      </c>
      <c r="X33" s="1392"/>
      <c r="Y33" s="388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6"/>
      <c r="Q34" s="1385" t="str">
        <f t="shared" si="8"/>
        <v>建筑结构</v>
      </c>
      <c r="R34" s="1386" t="s">
        <v>5</v>
      </c>
      <c r="S34" s="1387">
        <f t="shared" si="9"/>
        <v>100</v>
      </c>
      <c r="T34" s="1386" t="s">
        <v>5</v>
      </c>
      <c r="U34" s="1387">
        <f t="shared" si="10"/>
        <v>100</v>
      </c>
      <c r="V34" s="1386" t="s">
        <v>5</v>
      </c>
      <c r="W34" s="1387">
        <f t="shared" si="11"/>
        <v>100</v>
      </c>
      <c r="X34" s="1380"/>
      <c r="Y34" s="388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6"/>
      <c r="Q35" s="1385" t="str">
        <f t="shared" si="8"/>
        <v>公共部分装修</v>
      </c>
      <c r="R35" s="1386" t="s">
        <v>5</v>
      </c>
      <c r="S35" s="1387">
        <f t="shared" si="9"/>
        <v>100</v>
      </c>
      <c r="T35" s="1386" t="s">
        <v>5</v>
      </c>
      <c r="U35" s="1387">
        <f t="shared" si="10"/>
        <v>100</v>
      </c>
      <c r="V35" s="1386" t="s">
        <v>5</v>
      </c>
      <c r="W35" s="1387">
        <f t="shared" si="11"/>
        <v>100</v>
      </c>
      <c r="X35" s="1380"/>
      <c r="Y35" s="388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6"/>
      <c r="Q36" s="1385" t="str">
        <f t="shared" si="8"/>
        <v>成新度</v>
      </c>
      <c r="R36" s="1386" t="s">
        <v>5</v>
      </c>
      <c r="S36" s="1387" t="e">
        <f t="shared" si="9"/>
        <v>#N/A</v>
      </c>
      <c r="T36" s="1386" t="s">
        <v>5</v>
      </c>
      <c r="U36" s="1387" t="e">
        <f t="shared" si="10"/>
        <v>#N/A</v>
      </c>
      <c r="V36" s="1386" t="s">
        <v>5</v>
      </c>
      <c r="W36" s="1387" t="e">
        <f t="shared" si="11"/>
        <v>#N/A</v>
      </c>
      <c r="X36" s="1380"/>
      <c r="Y36" s="388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6"/>
      <c r="Q37" s="1050" t="str">
        <f t="shared" si="8"/>
        <v>市政基础设施</v>
      </c>
      <c r="R37" s="1381" t="s">
        <v>5</v>
      </c>
      <c r="S37" s="1382">
        <f t="shared" si="9"/>
        <v>100</v>
      </c>
      <c r="T37" s="1381" t="s">
        <v>5</v>
      </c>
      <c r="U37" s="1382">
        <f t="shared" si="10"/>
        <v>100</v>
      </c>
      <c r="V37" s="1381" t="s">
        <v>5</v>
      </c>
      <c r="W37" s="1382">
        <f t="shared" si="11"/>
        <v>100</v>
      </c>
      <c r="X37" s="1383"/>
      <c r="Y37" s="388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6" t="s">
        <v>706</v>
      </c>
      <c r="Q38" s="1385" t="str">
        <f t="shared" si="8"/>
        <v>业态</v>
      </c>
      <c r="R38" s="1386" t="s">
        <v>5</v>
      </c>
      <c r="S38" s="1387">
        <f t="shared" si="9"/>
        <v>100</v>
      </c>
      <c r="T38" s="1386" t="s">
        <v>5</v>
      </c>
      <c r="U38" s="1387">
        <f t="shared" si="10"/>
        <v>100</v>
      </c>
      <c r="V38" s="1386" t="s">
        <v>5</v>
      </c>
      <c r="W38" s="1387">
        <f t="shared" si="11"/>
        <v>100</v>
      </c>
      <c r="X38" s="1380"/>
      <c r="Y38" s="388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6"/>
      <c r="Q39" s="1385" t="str">
        <f t="shared" si="8"/>
        <v>层高</v>
      </c>
      <c r="R39" s="1386" t="s">
        <v>5</v>
      </c>
      <c r="S39" s="1387">
        <f t="shared" si="9"/>
        <v>100</v>
      </c>
      <c r="T39" s="1386" t="s">
        <v>5</v>
      </c>
      <c r="U39" s="1387">
        <f t="shared" si="10"/>
        <v>100</v>
      </c>
      <c r="V39" s="1386" t="s">
        <v>5</v>
      </c>
      <c r="W39" s="1387">
        <f t="shared" si="11"/>
        <v>100</v>
      </c>
      <c r="X39" s="1380"/>
      <c r="Y39" s="388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6"/>
      <c r="Q40" s="1385" t="str">
        <f t="shared" si="8"/>
        <v>单套建筑面积</v>
      </c>
      <c r="R40" s="1386" t="s">
        <v>5</v>
      </c>
      <c r="S40" s="1387">
        <f t="shared" si="9"/>
        <v>100</v>
      </c>
      <c r="T40" s="1386" t="s">
        <v>5</v>
      </c>
      <c r="U40" s="1387">
        <f t="shared" si="10"/>
        <v>100</v>
      </c>
      <c r="V40" s="1386" t="s">
        <v>5</v>
      </c>
      <c r="W40" s="1387">
        <f t="shared" si="11"/>
        <v>100</v>
      </c>
      <c r="X40" s="1380"/>
      <c r="Y40" s="388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6"/>
      <c r="Q41" s="1414" t="str">
        <f t="shared" si="8"/>
        <v>进深比</v>
      </c>
      <c r="R41" s="1390" t="s">
        <v>5</v>
      </c>
      <c r="S41" s="1391">
        <f t="shared" si="9"/>
        <v>100</v>
      </c>
      <c r="T41" s="1390" t="s">
        <v>5</v>
      </c>
      <c r="U41" s="1391">
        <f t="shared" si="10"/>
        <v>100</v>
      </c>
      <c r="V41" s="1390" t="s">
        <v>5</v>
      </c>
      <c r="W41" s="1391">
        <f t="shared" si="11"/>
        <v>100</v>
      </c>
      <c r="X41" s="1392"/>
      <c r="Y41" s="388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6"/>
      <c r="Q42" s="1385" t="str">
        <f t="shared" si="8"/>
        <v>内部装修</v>
      </c>
      <c r="R42" s="1386" t="s">
        <v>5</v>
      </c>
      <c r="S42" s="1387">
        <f t="shared" si="9"/>
        <v>100</v>
      </c>
      <c r="T42" s="1386" t="s">
        <v>5</v>
      </c>
      <c r="U42" s="1387">
        <f t="shared" si="10"/>
        <v>100</v>
      </c>
      <c r="V42" s="1386" t="s">
        <v>5</v>
      </c>
      <c r="W42" s="1387">
        <f t="shared" si="11"/>
        <v>100</v>
      </c>
      <c r="X42" s="1380"/>
      <c r="Y42" s="3886"/>
      <c r="Z42" s="1388" t="str">
        <f t="shared" si="12"/>
        <v>内部装修</v>
      </c>
      <c r="AA42" s="1389">
        <f t="shared" si="3"/>
        <v>1</v>
      </c>
      <c r="AB42" s="1389">
        <f t="shared" si="4"/>
        <v>1</v>
      </c>
      <c r="AC42" s="1389">
        <f t="shared" si="5"/>
        <v>1</v>
      </c>
    </row>
    <row r="43" spans="1:29" ht="15">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6"/>
      <c r="Q43" s="1385" t="str">
        <f t="shared" si="8"/>
        <v>内部装修维护情况</v>
      </c>
      <c r="R43" s="1386" t="s">
        <v>5</v>
      </c>
      <c r="S43" s="1387">
        <f t="shared" si="9"/>
        <v>100</v>
      </c>
      <c r="T43" s="1386" t="s">
        <v>5</v>
      </c>
      <c r="U43" s="1387">
        <f t="shared" si="10"/>
        <v>100</v>
      </c>
      <c r="V43" s="1386" t="s">
        <v>5</v>
      </c>
      <c r="W43" s="1387">
        <f t="shared" si="11"/>
        <v>100</v>
      </c>
      <c r="X43" s="1380"/>
      <c r="Y43" s="388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6"/>
      <c r="Q44" s="1050">
        <f t="shared" si="8"/>
        <v>111</v>
      </c>
      <c r="R44" s="1381" t="s">
        <v>5</v>
      </c>
      <c r="S44" s="1382">
        <f t="shared" si="9"/>
        <v>100</v>
      </c>
      <c r="T44" s="1381" t="s">
        <v>5</v>
      </c>
      <c r="U44" s="1382">
        <f t="shared" si="10"/>
        <v>100</v>
      </c>
      <c r="V44" s="1381" t="s">
        <v>5</v>
      </c>
      <c r="W44" s="1382">
        <f t="shared" si="11"/>
        <v>100</v>
      </c>
      <c r="X44" s="1383"/>
      <c r="Y44" s="388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6"/>
      <c r="Q45" s="1385">
        <f t="shared" si="8"/>
        <v>111</v>
      </c>
      <c r="R45" s="1386" t="s">
        <v>5</v>
      </c>
      <c r="S45" s="1387">
        <f t="shared" si="9"/>
        <v>100</v>
      </c>
      <c r="T45" s="1386" t="s">
        <v>5</v>
      </c>
      <c r="U45" s="1387">
        <f t="shared" si="10"/>
        <v>100</v>
      </c>
      <c r="V45" s="1386" t="s">
        <v>5</v>
      </c>
      <c r="W45" s="1387">
        <f t="shared" si="11"/>
        <v>100</v>
      </c>
      <c r="X45" s="1380"/>
      <c r="Y45" s="388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1" t="str">
        <f>A47</f>
        <v>成交单价（元/平方米）</v>
      </c>
      <c r="Q47" s="3881"/>
      <c r="R47" s="3993">
        <f>E47</f>
        <v>0</v>
      </c>
      <c r="S47" s="3993"/>
      <c r="T47" s="3993">
        <f>G47</f>
        <v>0</v>
      </c>
      <c r="U47" s="3993"/>
      <c r="V47" s="3993">
        <f>I47</f>
        <v>0</v>
      </c>
      <c r="W47" s="3993"/>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81" t="str">
        <f>A48</f>
        <v>比较价格（元/平方米）</v>
      </c>
      <c r="Q48" s="3881"/>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87" t="str">
        <f>A49</f>
        <v>估价对象XX用房的比较价格（楼面单价，元/平方米）</v>
      </c>
      <c r="Q49" s="3888"/>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2023-6</v>
      </c>
      <c r="D58" s="2284">
        <f>EDATE(C58,-1)</f>
        <v>45047</v>
      </c>
      <c r="E58" s="2284">
        <f t="shared" ref="E58:O58" si="13">EDATE(D58,-1)</f>
        <v>45017</v>
      </c>
      <c r="F58" s="2284">
        <f t="shared" si="13"/>
        <v>44986</v>
      </c>
      <c r="G58" s="2284">
        <f t="shared" si="13"/>
        <v>44958</v>
      </c>
      <c r="H58" s="2284">
        <f t="shared" si="13"/>
        <v>44927</v>
      </c>
      <c r="I58" s="2284">
        <f t="shared" si="13"/>
        <v>44896</v>
      </c>
      <c r="J58" s="2284">
        <f t="shared" si="13"/>
        <v>44866</v>
      </c>
      <c r="K58" s="2284">
        <f t="shared" si="13"/>
        <v>44835</v>
      </c>
      <c r="L58" s="2284">
        <f t="shared" si="13"/>
        <v>44805</v>
      </c>
      <c r="M58" s="2284">
        <f t="shared" si="13"/>
        <v>44774</v>
      </c>
      <c r="N58" s="2284">
        <f t="shared" si="13"/>
        <v>44743</v>
      </c>
      <c r="O58" s="2284">
        <f t="shared" si="13"/>
        <v>44713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889" t="s">
        <v>471</v>
      </c>
      <c r="D4" s="3890"/>
      <c r="E4" s="3926" t="s">
        <v>472</v>
      </c>
      <c r="F4" s="3927"/>
      <c r="G4" s="3889" t="s">
        <v>473</v>
      </c>
      <c r="H4" s="3890"/>
      <c r="I4" s="3889" t="s">
        <v>474</v>
      </c>
      <c r="J4" s="3890"/>
      <c r="K4" s="484" t="s">
        <v>475</v>
      </c>
      <c r="L4" s="1856"/>
      <c r="M4" s="1857"/>
      <c r="N4" s="1857"/>
      <c r="O4" s="1857"/>
      <c r="P4" s="3995" t="s">
        <v>476</v>
      </c>
      <c r="Q4" s="3892"/>
      <c r="R4" s="3875" t="s">
        <v>472</v>
      </c>
      <c r="S4" s="3876"/>
      <c r="T4" s="3875" t="s">
        <v>473</v>
      </c>
      <c r="U4" s="3876"/>
      <c r="V4" s="3897" t="s">
        <v>474</v>
      </c>
      <c r="W4" s="3897"/>
      <c r="X4" s="1380"/>
      <c r="Y4" s="3875" t="s">
        <v>476</v>
      </c>
      <c r="Z4" s="3876"/>
      <c r="AA4" s="3870" t="s">
        <v>472</v>
      </c>
      <c r="AB4" s="3870" t="s">
        <v>473</v>
      </c>
      <c r="AC4" s="3870" t="s">
        <v>474</v>
      </c>
    </row>
    <row r="5" spans="1:29" ht="15">
      <c r="A5" s="485"/>
      <c r="B5" s="486"/>
      <c r="C5" s="3900" t="s">
        <v>2192</v>
      </c>
      <c r="D5" s="3901"/>
      <c r="E5" s="3928" t="s">
        <v>2193</v>
      </c>
      <c r="F5" s="3929"/>
      <c r="G5" s="3900" t="s">
        <v>2194</v>
      </c>
      <c r="H5" s="3901"/>
      <c r="I5" s="3900" t="s">
        <v>2195</v>
      </c>
      <c r="J5" s="3901"/>
      <c r="K5" s="484"/>
      <c r="L5" s="1856"/>
      <c r="M5" s="1857"/>
      <c r="N5" s="1857"/>
      <c r="O5" s="1857"/>
      <c r="P5" s="3996"/>
      <c r="Q5" s="3894"/>
      <c r="R5" s="3877"/>
      <c r="S5" s="3878"/>
      <c r="T5" s="3877"/>
      <c r="U5" s="3878"/>
      <c r="V5" s="3897"/>
      <c r="W5" s="3897"/>
      <c r="X5" s="1380"/>
      <c r="Y5" s="3877"/>
      <c r="Z5" s="3878"/>
      <c r="AA5" s="3871"/>
      <c r="AB5" s="3871"/>
      <c r="AC5" s="3871"/>
    </row>
    <row r="6" spans="1:29" ht="15.75" thickBot="1">
      <c r="A6" s="487"/>
      <c r="B6" s="488"/>
      <c r="C6" s="3898" t="s">
        <v>2196</v>
      </c>
      <c r="D6" s="3899"/>
      <c r="E6" s="3930" t="s">
        <v>2196</v>
      </c>
      <c r="F6" s="3931"/>
      <c r="G6" s="3898" t="s">
        <v>2196</v>
      </c>
      <c r="H6" s="3899"/>
      <c r="I6" s="3898" t="s">
        <v>2196</v>
      </c>
      <c r="J6" s="3899"/>
      <c r="K6" s="484" t="s">
        <v>477</v>
      </c>
      <c r="L6" s="1856"/>
      <c r="M6" s="1857"/>
      <c r="N6" s="1857"/>
      <c r="O6" s="1857"/>
      <c r="P6" s="3997"/>
      <c r="Q6" s="3896"/>
      <c r="R6" s="3877"/>
      <c r="S6" s="3878"/>
      <c r="T6" s="3879"/>
      <c r="U6" s="3880"/>
      <c r="V6" s="3897"/>
      <c r="W6" s="3897"/>
      <c r="X6" s="1380"/>
      <c r="Y6" s="3879"/>
      <c r="Z6" s="3880"/>
      <c r="AA6" s="3872"/>
      <c r="AB6" s="3872"/>
      <c r="AC6" s="3872"/>
    </row>
    <row r="7" spans="1:29" s="1118" customFormat="1" ht="15.75" thickBot="1">
      <c r="A7" s="2392"/>
      <c r="B7" s="2399" t="s">
        <v>478</v>
      </c>
      <c r="C7" s="489">
        <f>'数据-取费表'!B2</f>
        <v>45091</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2" t="s">
        <v>479</v>
      </c>
      <c r="Q7" s="3882"/>
      <c r="R7" s="1381" t="s">
        <v>5</v>
      </c>
      <c r="S7" s="1382">
        <f t="shared" ref="S7:S15" si="0">F7</f>
        <v>0</v>
      </c>
      <c r="T7" s="1381" t="s">
        <v>5</v>
      </c>
      <c r="U7" s="1382">
        <f t="shared" ref="U7:U15" si="1">H7</f>
        <v>0</v>
      </c>
      <c r="V7" s="1381" t="s">
        <v>5</v>
      </c>
      <c r="W7" s="1382">
        <f t="shared" ref="W7:W15"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2" t="s">
        <v>482</v>
      </c>
      <c r="Q8" s="3874"/>
      <c r="R8" s="1381" t="s">
        <v>5</v>
      </c>
      <c r="S8" s="1382">
        <f t="shared" si="0"/>
        <v>0</v>
      </c>
      <c r="T8" s="1381" t="s">
        <v>5</v>
      </c>
      <c r="U8" s="1382">
        <f t="shared" si="1"/>
        <v>0</v>
      </c>
      <c r="V8" s="1381" t="s">
        <v>5</v>
      </c>
      <c r="W8" s="1382">
        <f t="shared" si="2"/>
        <v>0</v>
      </c>
      <c r="X8" s="1383"/>
      <c r="Y8" s="3873" t="s">
        <v>482</v>
      </c>
      <c r="Z8" s="3874"/>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1"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1"/>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1"/>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1"/>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1"/>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3" t="s">
        <v>489</v>
      </c>
      <c r="Q15" s="1385" t="str">
        <f t="shared" si="6"/>
        <v>办公集聚程度</v>
      </c>
      <c r="R15" s="1386" t="s">
        <v>5</v>
      </c>
      <c r="S15" s="1387">
        <f t="shared" si="0"/>
        <v>100</v>
      </c>
      <c r="T15" s="1386" t="s">
        <v>5</v>
      </c>
      <c r="U15" s="1387">
        <f t="shared" si="1"/>
        <v>100</v>
      </c>
      <c r="V15" s="1386" t="s">
        <v>5</v>
      </c>
      <c r="W15" s="1387">
        <f t="shared" si="2"/>
        <v>100</v>
      </c>
      <c r="X15" s="1380"/>
      <c r="Y15" s="388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4"/>
      <c r="Q16" s="1385"/>
      <c r="R16" s="1386"/>
      <c r="S16" s="1387"/>
      <c r="T16" s="1386"/>
      <c r="U16" s="1387"/>
      <c r="V16" s="1386"/>
      <c r="W16" s="1387"/>
      <c r="X16" s="1380"/>
      <c r="Y16" s="388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4"/>
      <c r="Q17" s="1385" t="str">
        <f>B17</f>
        <v>交通便捷度</v>
      </c>
      <c r="R17" s="1386" t="s">
        <v>5</v>
      </c>
      <c r="S17" s="1387">
        <f>F17</f>
        <v>100</v>
      </c>
      <c r="T17" s="1386" t="s">
        <v>5</v>
      </c>
      <c r="U17" s="1387">
        <f>H17</f>
        <v>100</v>
      </c>
      <c r="V17" s="1386" t="s">
        <v>5</v>
      </c>
      <c r="W17" s="1387">
        <f>J17</f>
        <v>100</v>
      </c>
      <c r="X17" s="1380"/>
      <c r="Y17" s="388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4"/>
      <c r="Q18" s="1385"/>
      <c r="R18" s="1386"/>
      <c r="S18" s="1387"/>
      <c r="T18" s="1386"/>
      <c r="U18" s="1387"/>
      <c r="V18" s="1386"/>
      <c r="W18" s="1387"/>
      <c r="X18" s="1380"/>
      <c r="Y18" s="388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4"/>
      <c r="Q19" s="1385" t="str">
        <f>B19</f>
        <v>公共配套设施</v>
      </c>
      <c r="R19" s="1386" t="s">
        <v>5</v>
      </c>
      <c r="S19" s="1387">
        <f>F19</f>
        <v>100</v>
      </c>
      <c r="T19" s="1386" t="s">
        <v>5</v>
      </c>
      <c r="U19" s="1387">
        <f>H19</f>
        <v>100</v>
      </c>
      <c r="V19" s="1386" t="s">
        <v>5</v>
      </c>
      <c r="W19" s="1387">
        <f>J19</f>
        <v>100</v>
      </c>
      <c r="X19" s="1380"/>
      <c r="Y19" s="388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4"/>
      <c r="Q20" s="1385"/>
      <c r="R20" s="1386"/>
      <c r="S20" s="1387"/>
      <c r="T20" s="1386"/>
      <c r="U20" s="1387"/>
      <c r="V20" s="1386"/>
      <c r="W20" s="1387"/>
      <c r="X20" s="1380"/>
      <c r="Y20" s="388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4"/>
      <c r="Q21" s="2193" t="str">
        <f>B21</f>
        <v>基础设施水平</v>
      </c>
      <c r="R21" s="1386" t="s">
        <v>5</v>
      </c>
      <c r="S21" s="1387">
        <f>F21</f>
        <v>100</v>
      </c>
      <c r="T21" s="1386" t="s">
        <v>5</v>
      </c>
      <c r="U21" s="1387">
        <f>H21</f>
        <v>100</v>
      </c>
      <c r="V21" s="1386" t="s">
        <v>5</v>
      </c>
      <c r="W21" s="1387">
        <f>J21</f>
        <v>100</v>
      </c>
      <c r="X21" s="2195"/>
      <c r="Y21" s="388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4"/>
      <c r="Q22" s="2193"/>
      <c r="R22" s="1386"/>
      <c r="S22" s="1387"/>
      <c r="T22" s="1386"/>
      <c r="U22" s="1387"/>
      <c r="V22" s="1386"/>
      <c r="W22" s="1387"/>
      <c r="X22" s="2195"/>
      <c r="Y22" s="388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4"/>
      <c r="Q23" s="1385" t="str">
        <f>B23</f>
        <v>环境质量</v>
      </c>
      <c r="R23" s="1386" t="s">
        <v>5</v>
      </c>
      <c r="S23" s="1387">
        <f>F23</f>
        <v>100</v>
      </c>
      <c r="T23" s="1386" t="s">
        <v>5</v>
      </c>
      <c r="U23" s="1387">
        <f>H23</f>
        <v>100</v>
      </c>
      <c r="V23" s="1386" t="s">
        <v>5</v>
      </c>
      <c r="W23" s="1387">
        <f>J23</f>
        <v>100</v>
      </c>
      <c r="X23" s="1380"/>
      <c r="Y23" s="388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4"/>
      <c r="Q24" s="1385"/>
      <c r="R24" s="1386"/>
      <c r="S24" s="1387"/>
      <c r="T24" s="1386"/>
      <c r="U24" s="1387"/>
      <c r="V24" s="1386"/>
      <c r="W24" s="1387"/>
      <c r="X24" s="1380"/>
      <c r="Y24" s="388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4"/>
      <c r="Q25" s="1385" t="str">
        <f>B25</f>
        <v>毗邻道路的类型与等级</v>
      </c>
      <c r="R25" s="1386" t="s">
        <v>5</v>
      </c>
      <c r="S25" s="1387">
        <f>F25</f>
        <v>100</v>
      </c>
      <c r="T25" s="1386" t="s">
        <v>5</v>
      </c>
      <c r="U25" s="1387">
        <f>H25</f>
        <v>100</v>
      </c>
      <c r="V25" s="1386" t="s">
        <v>5</v>
      </c>
      <c r="W25" s="1387">
        <f>J25</f>
        <v>100</v>
      </c>
      <c r="X25" s="1380"/>
      <c r="Y25" s="388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4"/>
      <c r="Q26" s="1385"/>
      <c r="R26" s="1386"/>
      <c r="S26" s="1387"/>
      <c r="T26" s="1386"/>
      <c r="U26" s="1387"/>
      <c r="V26" s="1386"/>
      <c r="W26" s="1387"/>
      <c r="X26" s="1380"/>
      <c r="Y26" s="388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4"/>
      <c r="Q27" s="1385" t="str">
        <f t="shared" ref="Q27:Q47" si="8">B27</f>
        <v>楼层</v>
      </c>
      <c r="R27" s="1386" t="s">
        <v>5</v>
      </c>
      <c r="S27" s="1387">
        <f>F27</f>
        <v>100</v>
      </c>
      <c r="T27" s="1386" t="s">
        <v>5</v>
      </c>
      <c r="U27" s="1387">
        <f>H27</f>
        <v>100</v>
      </c>
      <c r="V27" s="1386" t="s">
        <v>5</v>
      </c>
      <c r="W27" s="1387">
        <f>J27</f>
        <v>100</v>
      </c>
      <c r="X27" s="1380"/>
      <c r="Y27" s="388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4"/>
      <c r="Q28" s="1050" t="str">
        <f t="shared" si="8"/>
        <v>朝向</v>
      </c>
      <c r="R28" s="1381" t="s">
        <v>5</v>
      </c>
      <c r="S28" s="1382">
        <f>F28</f>
        <v>100</v>
      </c>
      <c r="T28" s="1381" t="s">
        <v>5</v>
      </c>
      <c r="U28" s="1382">
        <f>H28</f>
        <v>100</v>
      </c>
      <c r="V28" s="1381" t="s">
        <v>5</v>
      </c>
      <c r="W28" s="1382">
        <f>J28</f>
        <v>100</v>
      </c>
      <c r="X28" s="1383"/>
      <c r="Y28" s="388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4"/>
      <c r="Q29" s="1385">
        <f t="shared" si="8"/>
        <v>111</v>
      </c>
      <c r="R29" s="1386" t="s">
        <v>5</v>
      </c>
      <c r="S29" s="1387">
        <f t="shared" ref="S29:S47" si="9">F29</f>
        <v>100</v>
      </c>
      <c r="T29" s="1386" t="s">
        <v>5</v>
      </c>
      <c r="U29" s="1387">
        <f t="shared" ref="U29:U47" si="10">H29</f>
        <v>100</v>
      </c>
      <c r="V29" s="1386" t="s">
        <v>5</v>
      </c>
      <c r="W29" s="1387">
        <f t="shared" ref="W29:W47" si="11">J29</f>
        <v>100</v>
      </c>
      <c r="X29" s="1380"/>
      <c r="Y29" s="388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4"/>
      <c r="Q30" s="1385">
        <f t="shared" si="8"/>
        <v>111</v>
      </c>
      <c r="R30" s="1386" t="s">
        <v>5</v>
      </c>
      <c r="S30" s="1387">
        <f t="shared" si="9"/>
        <v>100</v>
      </c>
      <c r="T30" s="1386" t="s">
        <v>5</v>
      </c>
      <c r="U30" s="1387">
        <f t="shared" si="10"/>
        <v>100</v>
      </c>
      <c r="V30" s="1386" t="s">
        <v>5</v>
      </c>
      <c r="W30" s="1387">
        <f t="shared" si="11"/>
        <v>100</v>
      </c>
      <c r="X30" s="1380"/>
      <c r="Y30" s="388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4"/>
      <c r="Q31" s="1385">
        <f t="shared" si="8"/>
        <v>111</v>
      </c>
      <c r="R31" s="1386" t="s">
        <v>5</v>
      </c>
      <c r="S31" s="1387">
        <f t="shared" si="9"/>
        <v>100</v>
      </c>
      <c r="T31" s="1386" t="s">
        <v>5</v>
      </c>
      <c r="U31" s="1387">
        <f t="shared" si="10"/>
        <v>100</v>
      </c>
      <c r="V31" s="1386" t="s">
        <v>5</v>
      </c>
      <c r="W31" s="1387">
        <f t="shared" si="11"/>
        <v>100</v>
      </c>
      <c r="X31" s="1380"/>
      <c r="Y31" s="388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4"/>
      <c r="Q32" s="1385">
        <f t="shared" si="8"/>
        <v>111</v>
      </c>
      <c r="R32" s="1386" t="s">
        <v>5</v>
      </c>
      <c r="S32" s="1387">
        <f t="shared" si="9"/>
        <v>100</v>
      </c>
      <c r="T32" s="1386" t="s">
        <v>5</v>
      </c>
      <c r="U32" s="1387">
        <f t="shared" si="10"/>
        <v>100</v>
      </c>
      <c r="V32" s="1386" t="s">
        <v>5</v>
      </c>
      <c r="W32" s="1387">
        <f t="shared" si="11"/>
        <v>100</v>
      </c>
      <c r="X32" s="1380"/>
      <c r="Y32" s="388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5" t="s">
        <v>499</v>
      </c>
      <c r="Q33" s="1385" t="str">
        <f t="shared" si="8"/>
        <v>建筑类型</v>
      </c>
      <c r="R33" s="1386" t="s">
        <v>5</v>
      </c>
      <c r="S33" s="1387">
        <f t="shared" si="9"/>
        <v>100</v>
      </c>
      <c r="T33" s="1386" t="s">
        <v>5</v>
      </c>
      <c r="U33" s="1387">
        <f t="shared" si="10"/>
        <v>100</v>
      </c>
      <c r="V33" s="1386" t="s">
        <v>5</v>
      </c>
      <c r="W33" s="1387">
        <f t="shared" si="11"/>
        <v>100</v>
      </c>
      <c r="X33" s="1380"/>
      <c r="Y33" s="388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6"/>
      <c r="Q34" s="1414" t="str">
        <f t="shared" si="8"/>
        <v>项目建筑规模</v>
      </c>
      <c r="R34" s="1390" t="s">
        <v>5</v>
      </c>
      <c r="S34" s="1391" t="e">
        <f t="shared" si="9"/>
        <v>#N/A</v>
      </c>
      <c r="T34" s="1390" t="s">
        <v>5</v>
      </c>
      <c r="U34" s="1391" t="e">
        <f t="shared" si="10"/>
        <v>#N/A</v>
      </c>
      <c r="V34" s="1390" t="s">
        <v>5</v>
      </c>
      <c r="W34" s="1391" t="e">
        <f t="shared" si="11"/>
        <v>#N/A</v>
      </c>
      <c r="X34" s="1392"/>
      <c r="Y34" s="388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6"/>
      <c r="Q35" s="1385" t="str">
        <f t="shared" si="8"/>
        <v>建筑结构</v>
      </c>
      <c r="R35" s="1386" t="s">
        <v>5</v>
      </c>
      <c r="S35" s="1387">
        <f t="shared" si="9"/>
        <v>100</v>
      </c>
      <c r="T35" s="1386" t="s">
        <v>5</v>
      </c>
      <c r="U35" s="1387">
        <f t="shared" si="10"/>
        <v>100</v>
      </c>
      <c r="V35" s="1386" t="s">
        <v>5</v>
      </c>
      <c r="W35" s="1387">
        <f t="shared" si="11"/>
        <v>100</v>
      </c>
      <c r="X35" s="1380"/>
      <c r="Y35" s="388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6"/>
      <c r="Q36" s="1385" t="str">
        <f t="shared" si="8"/>
        <v>公共部分装修</v>
      </c>
      <c r="R36" s="1386" t="s">
        <v>5</v>
      </c>
      <c r="S36" s="1387">
        <f t="shared" si="9"/>
        <v>100</v>
      </c>
      <c r="T36" s="1386" t="s">
        <v>5</v>
      </c>
      <c r="U36" s="1387">
        <f t="shared" si="10"/>
        <v>100</v>
      </c>
      <c r="V36" s="1386" t="s">
        <v>5</v>
      </c>
      <c r="W36" s="1387">
        <f t="shared" si="11"/>
        <v>100</v>
      </c>
      <c r="X36" s="1380"/>
      <c r="Y36" s="388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6"/>
      <c r="Q37" s="1385" t="str">
        <f t="shared" si="8"/>
        <v>成新度</v>
      </c>
      <c r="R37" s="1386" t="s">
        <v>5</v>
      </c>
      <c r="S37" s="1387" t="e">
        <f t="shared" si="9"/>
        <v>#N/A</v>
      </c>
      <c r="T37" s="1386" t="s">
        <v>5</v>
      </c>
      <c r="U37" s="1387" t="e">
        <f t="shared" si="10"/>
        <v>#N/A</v>
      </c>
      <c r="V37" s="1386" t="s">
        <v>5</v>
      </c>
      <c r="W37" s="1387" t="e">
        <f t="shared" si="11"/>
        <v>#N/A</v>
      </c>
      <c r="X37" s="1380"/>
      <c r="Y37" s="388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6"/>
      <c r="Q38" s="1050" t="str">
        <f t="shared" si="8"/>
        <v>写字楼等级</v>
      </c>
      <c r="R38" s="1381" t="s">
        <v>5</v>
      </c>
      <c r="S38" s="1382">
        <f t="shared" si="9"/>
        <v>100</v>
      </c>
      <c r="T38" s="1381" t="s">
        <v>5</v>
      </c>
      <c r="U38" s="1382">
        <f t="shared" si="10"/>
        <v>100</v>
      </c>
      <c r="V38" s="1381" t="s">
        <v>5</v>
      </c>
      <c r="W38" s="1382">
        <f t="shared" si="11"/>
        <v>100</v>
      </c>
      <c r="X38" s="1383"/>
      <c r="Y38" s="388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6" t="s">
        <v>499</v>
      </c>
      <c r="Q39" s="1385" t="str">
        <f t="shared" si="8"/>
        <v>物业管理</v>
      </c>
      <c r="R39" s="1386" t="s">
        <v>5</v>
      </c>
      <c r="S39" s="1387">
        <f t="shared" si="9"/>
        <v>100</v>
      </c>
      <c r="T39" s="1386" t="s">
        <v>5</v>
      </c>
      <c r="U39" s="1387">
        <f t="shared" si="10"/>
        <v>100</v>
      </c>
      <c r="V39" s="1386" t="s">
        <v>5</v>
      </c>
      <c r="W39" s="1387">
        <f t="shared" si="11"/>
        <v>100</v>
      </c>
      <c r="X39" s="1380"/>
      <c r="Y39" s="388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6"/>
      <c r="Q40" s="1385" t="str">
        <f t="shared" si="8"/>
        <v>市政基础设施</v>
      </c>
      <c r="R40" s="1386" t="s">
        <v>5</v>
      </c>
      <c r="S40" s="1387">
        <f t="shared" si="9"/>
        <v>100</v>
      </c>
      <c r="T40" s="1386" t="s">
        <v>5</v>
      </c>
      <c r="U40" s="1387">
        <f t="shared" si="10"/>
        <v>100</v>
      </c>
      <c r="V40" s="1386" t="s">
        <v>5</v>
      </c>
      <c r="W40" s="1387">
        <f t="shared" si="11"/>
        <v>100</v>
      </c>
      <c r="X40" s="1380"/>
      <c r="Y40" s="388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6"/>
      <c r="Q41" s="1385" t="str">
        <f t="shared" si="8"/>
        <v>层高</v>
      </c>
      <c r="R41" s="1386" t="s">
        <v>5</v>
      </c>
      <c r="S41" s="1387">
        <f t="shared" si="9"/>
        <v>100</v>
      </c>
      <c r="T41" s="1386" t="s">
        <v>5</v>
      </c>
      <c r="U41" s="1387">
        <f t="shared" si="10"/>
        <v>100</v>
      </c>
      <c r="V41" s="1386" t="s">
        <v>5</v>
      </c>
      <c r="W41" s="1387">
        <f t="shared" si="11"/>
        <v>100</v>
      </c>
      <c r="X41" s="1380"/>
      <c r="Y41" s="388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6"/>
      <c r="Q42" s="1414" t="str">
        <f t="shared" si="8"/>
        <v>单套建筑面积</v>
      </c>
      <c r="R42" s="1390" t="s">
        <v>5</v>
      </c>
      <c r="S42" s="1391">
        <f t="shared" si="9"/>
        <v>100</v>
      </c>
      <c r="T42" s="1390" t="s">
        <v>5</v>
      </c>
      <c r="U42" s="1391">
        <f t="shared" si="10"/>
        <v>100</v>
      </c>
      <c r="V42" s="1390" t="s">
        <v>5</v>
      </c>
      <c r="W42" s="1391">
        <f t="shared" si="11"/>
        <v>100</v>
      </c>
      <c r="X42" s="1392"/>
      <c r="Y42" s="388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6"/>
      <c r="Q43" s="1385" t="str">
        <f t="shared" si="8"/>
        <v>内部装修</v>
      </c>
      <c r="R43" s="1386" t="s">
        <v>5</v>
      </c>
      <c r="S43" s="1387">
        <f t="shared" si="9"/>
        <v>100</v>
      </c>
      <c r="T43" s="1386" t="s">
        <v>5</v>
      </c>
      <c r="U43" s="1387">
        <f t="shared" si="10"/>
        <v>100</v>
      </c>
      <c r="V43" s="1386" t="s">
        <v>5</v>
      </c>
      <c r="W43" s="1387">
        <f t="shared" si="11"/>
        <v>100</v>
      </c>
      <c r="X43" s="1380"/>
      <c r="Y43" s="3886"/>
      <c r="Z43" s="1388" t="str">
        <f t="shared" si="12"/>
        <v>内部装修</v>
      </c>
      <c r="AA43" s="1389">
        <f t="shared" si="3"/>
        <v>1</v>
      </c>
      <c r="AB43" s="1389">
        <f t="shared" si="4"/>
        <v>1</v>
      </c>
      <c r="AC43" s="1389">
        <f t="shared" si="5"/>
        <v>1</v>
      </c>
    </row>
    <row r="44" spans="1:29" ht="15">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6"/>
      <c r="Q44" s="1385" t="str">
        <f t="shared" si="8"/>
        <v>内部装修维护情况</v>
      </c>
      <c r="R44" s="1386" t="s">
        <v>5</v>
      </c>
      <c r="S44" s="1387">
        <f t="shared" si="9"/>
        <v>100</v>
      </c>
      <c r="T44" s="1386" t="s">
        <v>5</v>
      </c>
      <c r="U44" s="1387">
        <f t="shared" si="10"/>
        <v>100</v>
      </c>
      <c r="V44" s="1386" t="s">
        <v>5</v>
      </c>
      <c r="W44" s="1387">
        <f t="shared" si="11"/>
        <v>100</v>
      </c>
      <c r="X44" s="1380"/>
      <c r="Y44" s="388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6"/>
      <c r="Q45" s="1050">
        <f t="shared" si="8"/>
        <v>111</v>
      </c>
      <c r="R45" s="1381" t="s">
        <v>5</v>
      </c>
      <c r="S45" s="1382">
        <f t="shared" si="9"/>
        <v>100</v>
      </c>
      <c r="T45" s="1381" t="s">
        <v>5</v>
      </c>
      <c r="U45" s="1382">
        <f t="shared" si="10"/>
        <v>100</v>
      </c>
      <c r="V45" s="1381" t="s">
        <v>5</v>
      </c>
      <c r="W45" s="1382">
        <f t="shared" si="11"/>
        <v>100</v>
      </c>
      <c r="X45" s="1383"/>
      <c r="Y45" s="388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6"/>
      <c r="Q46" s="1385">
        <f t="shared" si="8"/>
        <v>111</v>
      </c>
      <c r="R46" s="1386" t="s">
        <v>5</v>
      </c>
      <c r="S46" s="1387">
        <f t="shared" si="9"/>
        <v>100</v>
      </c>
      <c r="T46" s="1386" t="s">
        <v>5</v>
      </c>
      <c r="U46" s="1387">
        <f t="shared" si="10"/>
        <v>100</v>
      </c>
      <c r="V46" s="1386" t="s">
        <v>5</v>
      </c>
      <c r="W46" s="1387">
        <f t="shared" si="11"/>
        <v>100</v>
      </c>
      <c r="X46" s="1380"/>
      <c r="Y46" s="388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8" t="str">
        <f>A48</f>
        <v>成交单价（元/平方米）</v>
      </c>
      <c r="Q48" s="3881"/>
      <c r="R48" s="3993">
        <f>E48</f>
        <v>0</v>
      </c>
      <c r="S48" s="3993"/>
      <c r="T48" s="3993">
        <f>G48</f>
        <v>0</v>
      </c>
      <c r="U48" s="3993"/>
      <c r="V48" s="3993">
        <f>I48</f>
        <v>0</v>
      </c>
      <c r="W48" s="3993"/>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8" t="str">
        <f>A49</f>
        <v>比较价格（元/平方米）</v>
      </c>
      <c r="Q49" s="3881"/>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8" t="str">
        <f>A50</f>
        <v>估价对象XX用房的比较价格（楼面单价，元/平方米）</v>
      </c>
      <c r="Q50" s="3888"/>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2023-6</v>
      </c>
      <c r="D59" s="2284">
        <f>EDATE(C59,-1)</f>
        <v>45047</v>
      </c>
      <c r="E59" s="2284">
        <f t="shared" ref="E59:O59" si="13">EDATE(D59,-1)</f>
        <v>45017</v>
      </c>
      <c r="F59" s="2284">
        <f t="shared" si="13"/>
        <v>44986</v>
      </c>
      <c r="G59" s="2284">
        <f t="shared" si="13"/>
        <v>44958</v>
      </c>
      <c r="H59" s="2284">
        <f t="shared" si="13"/>
        <v>44927</v>
      </c>
      <c r="I59" s="2284">
        <f t="shared" si="13"/>
        <v>44896</v>
      </c>
      <c r="J59" s="2284">
        <f t="shared" si="13"/>
        <v>44866</v>
      </c>
      <c r="K59" s="2284">
        <f t="shared" si="13"/>
        <v>44835</v>
      </c>
      <c r="L59" s="2284">
        <f t="shared" si="13"/>
        <v>44805</v>
      </c>
      <c r="M59" s="2284">
        <f t="shared" si="13"/>
        <v>44774</v>
      </c>
      <c r="N59" s="2284">
        <f t="shared" si="13"/>
        <v>44743</v>
      </c>
      <c r="O59" s="2284">
        <f t="shared" si="13"/>
        <v>44713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1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889" t="s">
        <v>471</v>
      </c>
      <c r="D4" s="3890"/>
      <c r="E4" s="3926" t="s">
        <v>472</v>
      </c>
      <c r="F4" s="3927"/>
      <c r="G4" s="3889" t="s">
        <v>473</v>
      </c>
      <c r="H4" s="3890"/>
      <c r="I4" s="3889" t="s">
        <v>474</v>
      </c>
      <c r="J4" s="3890"/>
      <c r="K4" s="484" t="s">
        <v>475</v>
      </c>
      <c r="L4" s="1856"/>
      <c r="M4" s="1857"/>
      <c r="N4" s="1857"/>
      <c r="O4" s="1857"/>
      <c r="P4" s="3891" t="s">
        <v>476</v>
      </c>
      <c r="Q4" s="3892"/>
      <c r="R4" s="3875" t="s">
        <v>472</v>
      </c>
      <c r="S4" s="3876"/>
      <c r="T4" s="3875" t="s">
        <v>473</v>
      </c>
      <c r="U4" s="3876"/>
      <c r="V4" s="3897" t="s">
        <v>474</v>
      </c>
      <c r="W4" s="3897"/>
      <c r="X4" s="1380"/>
      <c r="Y4" s="3875" t="s">
        <v>476</v>
      </c>
      <c r="Z4" s="3876"/>
      <c r="AA4" s="3870" t="s">
        <v>472</v>
      </c>
      <c r="AB4" s="3871" t="s">
        <v>473</v>
      </c>
      <c r="AC4" s="3870" t="s">
        <v>474</v>
      </c>
    </row>
    <row r="5" spans="1:29" ht="15">
      <c r="A5" s="485"/>
      <c r="B5" s="486"/>
      <c r="C5" s="3900" t="s">
        <v>2192</v>
      </c>
      <c r="D5" s="3901"/>
      <c r="E5" s="3928" t="s">
        <v>2193</v>
      </c>
      <c r="F5" s="3929"/>
      <c r="G5" s="3900" t="s">
        <v>2194</v>
      </c>
      <c r="H5" s="3901"/>
      <c r="I5" s="3900" t="s">
        <v>2195</v>
      </c>
      <c r="J5" s="3901"/>
      <c r="K5" s="484"/>
      <c r="L5" s="1856"/>
      <c r="M5" s="1857"/>
      <c r="N5" s="1857"/>
      <c r="O5" s="1857"/>
      <c r="P5" s="3893"/>
      <c r="Q5" s="3894"/>
      <c r="R5" s="3877"/>
      <c r="S5" s="3878"/>
      <c r="T5" s="3877"/>
      <c r="U5" s="3878"/>
      <c r="V5" s="3897"/>
      <c r="W5" s="3897"/>
      <c r="X5" s="1380"/>
      <c r="Y5" s="3877"/>
      <c r="Z5" s="3878"/>
      <c r="AA5" s="3871"/>
      <c r="AB5" s="3871"/>
      <c r="AC5" s="3871"/>
    </row>
    <row r="6" spans="1:29" ht="15.75" thickBot="1">
      <c r="A6" s="487"/>
      <c r="B6" s="488"/>
      <c r="C6" s="3898" t="s">
        <v>2196</v>
      </c>
      <c r="D6" s="3899"/>
      <c r="E6" s="3930" t="s">
        <v>2196</v>
      </c>
      <c r="F6" s="3931"/>
      <c r="G6" s="3898" t="s">
        <v>2196</v>
      </c>
      <c r="H6" s="3899"/>
      <c r="I6" s="3898" t="s">
        <v>2196</v>
      </c>
      <c r="J6" s="3899"/>
      <c r="K6" s="484" t="s">
        <v>477</v>
      </c>
      <c r="L6" s="1856"/>
      <c r="M6" s="1857"/>
      <c r="N6" s="1857"/>
      <c r="O6" s="1857"/>
      <c r="P6" s="3895"/>
      <c r="Q6" s="3896"/>
      <c r="R6" s="3877"/>
      <c r="S6" s="3878"/>
      <c r="T6" s="3879"/>
      <c r="U6" s="3880"/>
      <c r="V6" s="3897"/>
      <c r="W6" s="3897"/>
      <c r="X6" s="1380"/>
      <c r="Y6" s="3879"/>
      <c r="Z6" s="3880"/>
      <c r="AA6" s="3872"/>
      <c r="AB6" s="3872"/>
      <c r="AC6" s="3872"/>
    </row>
    <row r="7" spans="1:29" s="1118" customFormat="1" ht="15.75" thickBot="1">
      <c r="A7" s="2392"/>
      <c r="B7" s="2399" t="s">
        <v>478</v>
      </c>
      <c r="C7" s="489">
        <f>'数据-取费表'!B2</f>
        <v>45091</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3" t="s">
        <v>479</v>
      </c>
      <c r="Q7" s="3882"/>
      <c r="R7" s="1381" t="s">
        <v>5</v>
      </c>
      <c r="S7" s="1382">
        <f t="shared" ref="S7:S15" si="0">F7</f>
        <v>0</v>
      </c>
      <c r="T7" s="1381" t="s">
        <v>5</v>
      </c>
      <c r="U7" s="1382">
        <f t="shared" ref="U7:U15" si="1">H7</f>
        <v>0</v>
      </c>
      <c r="V7" s="1381" t="s">
        <v>5</v>
      </c>
      <c r="W7" s="1382">
        <f t="shared" ref="W7:W15"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3" t="s">
        <v>482</v>
      </c>
      <c r="Q8" s="3874"/>
      <c r="R8" s="1381" t="s">
        <v>5</v>
      </c>
      <c r="S8" s="1382">
        <f t="shared" si="0"/>
        <v>0</v>
      </c>
      <c r="T8" s="1381" t="s">
        <v>5</v>
      </c>
      <c r="U8" s="1382">
        <f t="shared" si="1"/>
        <v>0</v>
      </c>
      <c r="V8" s="1381" t="s">
        <v>5</v>
      </c>
      <c r="W8" s="1382">
        <f t="shared" si="2"/>
        <v>0</v>
      </c>
      <c r="X8" s="1383"/>
      <c r="Y8" s="3873" t="s">
        <v>482</v>
      </c>
      <c r="Z8" s="3874"/>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1"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1"/>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1"/>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1"/>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1"/>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3" t="s">
        <v>489</v>
      </c>
      <c r="Q15" s="1385" t="str">
        <f t="shared" si="6"/>
        <v>产业集聚程度</v>
      </c>
      <c r="R15" s="1386" t="s">
        <v>5</v>
      </c>
      <c r="S15" s="1387">
        <f t="shared" si="0"/>
        <v>100</v>
      </c>
      <c r="T15" s="1386" t="s">
        <v>5</v>
      </c>
      <c r="U15" s="1387">
        <f t="shared" si="1"/>
        <v>100</v>
      </c>
      <c r="V15" s="1386" t="s">
        <v>5</v>
      </c>
      <c r="W15" s="1387">
        <f t="shared" si="2"/>
        <v>100</v>
      </c>
      <c r="X15" s="1380"/>
      <c r="Y15" s="388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4"/>
      <c r="Q16" s="1385"/>
      <c r="R16" s="1386"/>
      <c r="S16" s="1387"/>
      <c r="T16" s="1386"/>
      <c r="U16" s="1387"/>
      <c r="V16" s="1386"/>
      <c r="W16" s="1387"/>
      <c r="X16" s="1380"/>
      <c r="Y16" s="388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4"/>
      <c r="Q17" s="1385" t="str">
        <f>B17</f>
        <v>交通便捷度</v>
      </c>
      <c r="R17" s="1386" t="s">
        <v>5</v>
      </c>
      <c r="S17" s="1387">
        <f>F17</f>
        <v>100</v>
      </c>
      <c r="T17" s="1386" t="s">
        <v>5</v>
      </c>
      <c r="U17" s="1387">
        <f>H17</f>
        <v>100</v>
      </c>
      <c r="V17" s="1386" t="s">
        <v>5</v>
      </c>
      <c r="W17" s="1387">
        <f>J17</f>
        <v>100</v>
      </c>
      <c r="X17" s="1380"/>
      <c r="Y17" s="388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4"/>
      <c r="Q18" s="1385"/>
      <c r="R18" s="1386"/>
      <c r="S18" s="1387"/>
      <c r="T18" s="1386"/>
      <c r="U18" s="1387"/>
      <c r="V18" s="1386"/>
      <c r="W18" s="1387"/>
      <c r="X18" s="1380"/>
      <c r="Y18" s="388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4"/>
      <c r="Q19" s="1385" t="str">
        <f>B19</f>
        <v>公共配套设施</v>
      </c>
      <c r="R19" s="1386" t="s">
        <v>5</v>
      </c>
      <c r="S19" s="1387">
        <f>F19</f>
        <v>100</v>
      </c>
      <c r="T19" s="1386" t="s">
        <v>5</v>
      </c>
      <c r="U19" s="1387">
        <f>H19</f>
        <v>100</v>
      </c>
      <c r="V19" s="1386" t="s">
        <v>5</v>
      </c>
      <c r="W19" s="1387">
        <f>J19</f>
        <v>100</v>
      </c>
      <c r="X19" s="1380"/>
      <c r="Y19" s="388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4"/>
      <c r="Q20" s="1385"/>
      <c r="R20" s="1386"/>
      <c r="S20" s="1387"/>
      <c r="T20" s="1386"/>
      <c r="U20" s="1387"/>
      <c r="V20" s="1386"/>
      <c r="W20" s="1387"/>
      <c r="X20" s="1380"/>
      <c r="Y20" s="388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4"/>
      <c r="Q21" s="2193" t="str">
        <f>B21</f>
        <v>基础设施水平</v>
      </c>
      <c r="R21" s="1386" t="s">
        <v>5</v>
      </c>
      <c r="S21" s="1387">
        <f>F21</f>
        <v>100</v>
      </c>
      <c r="T21" s="1386" t="s">
        <v>5</v>
      </c>
      <c r="U21" s="1387">
        <f>H21</f>
        <v>100</v>
      </c>
      <c r="V21" s="1386" t="s">
        <v>5</v>
      </c>
      <c r="W21" s="1387">
        <f>J21</f>
        <v>100</v>
      </c>
      <c r="X21" s="2195"/>
      <c r="Y21" s="388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4"/>
      <c r="Q22" s="2193"/>
      <c r="R22" s="1386"/>
      <c r="S22" s="1387"/>
      <c r="T22" s="1386"/>
      <c r="U22" s="1387"/>
      <c r="V22" s="1386"/>
      <c r="W22" s="1387"/>
      <c r="X22" s="2195"/>
      <c r="Y22" s="388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4"/>
      <c r="Q23" s="1385" t="str">
        <f>B23</f>
        <v>环境质量</v>
      </c>
      <c r="R23" s="1386" t="s">
        <v>5</v>
      </c>
      <c r="S23" s="1387">
        <f>F23</f>
        <v>100</v>
      </c>
      <c r="T23" s="1386" t="s">
        <v>5</v>
      </c>
      <c r="U23" s="1387">
        <f>H23</f>
        <v>100</v>
      </c>
      <c r="V23" s="1386" t="s">
        <v>5</v>
      </c>
      <c r="W23" s="1387">
        <f>J23</f>
        <v>100</v>
      </c>
      <c r="X23" s="1380"/>
      <c r="Y23" s="388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4"/>
      <c r="Q24" s="1385"/>
      <c r="R24" s="1386"/>
      <c r="S24" s="1387"/>
      <c r="T24" s="1386"/>
      <c r="U24" s="1387"/>
      <c r="V24" s="1386"/>
      <c r="W24" s="1387"/>
      <c r="X24" s="1380"/>
      <c r="Y24" s="388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4"/>
      <c r="Q25" s="1385">
        <f>B25</f>
        <v>111</v>
      </c>
      <c r="R25" s="1386" t="s">
        <v>5</v>
      </c>
      <c r="S25" s="1387">
        <f>F25</f>
        <v>100</v>
      </c>
      <c r="T25" s="1386" t="s">
        <v>5</v>
      </c>
      <c r="U25" s="1387">
        <f>H25</f>
        <v>100</v>
      </c>
      <c r="V25" s="1386" t="s">
        <v>5</v>
      </c>
      <c r="W25" s="1387">
        <f>J25</f>
        <v>100</v>
      </c>
      <c r="X25" s="1380"/>
      <c r="Y25" s="388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4"/>
      <c r="Q26" s="1385">
        <f t="shared" ref="Q26:Q40" si="8">B26</f>
        <v>111</v>
      </c>
      <c r="R26" s="1386" t="s">
        <v>5</v>
      </c>
      <c r="S26" s="1387">
        <f>F26</f>
        <v>100</v>
      </c>
      <c r="T26" s="1386" t="s">
        <v>5</v>
      </c>
      <c r="U26" s="1387">
        <f>H26</f>
        <v>100</v>
      </c>
      <c r="V26" s="1386" t="s">
        <v>5</v>
      </c>
      <c r="W26" s="1387">
        <f>J26</f>
        <v>100</v>
      </c>
      <c r="X26" s="1380"/>
      <c r="Y26" s="388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4"/>
      <c r="Q27" s="1050">
        <f t="shared" si="8"/>
        <v>111</v>
      </c>
      <c r="R27" s="1381" t="s">
        <v>5</v>
      </c>
      <c r="S27" s="1382">
        <f>F27</f>
        <v>100</v>
      </c>
      <c r="T27" s="1381" t="s">
        <v>5</v>
      </c>
      <c r="U27" s="1382">
        <f>H27</f>
        <v>100</v>
      </c>
      <c r="V27" s="1381" t="s">
        <v>5</v>
      </c>
      <c r="W27" s="1382">
        <f>J27</f>
        <v>100</v>
      </c>
      <c r="X27" s="1383"/>
      <c r="Y27" s="388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4"/>
      <c r="Q28" s="1385">
        <f t="shared" si="8"/>
        <v>111</v>
      </c>
      <c r="R28" s="1386" t="s">
        <v>5</v>
      </c>
      <c r="S28" s="1387">
        <f t="shared" ref="S28:S40" si="9">F28</f>
        <v>100</v>
      </c>
      <c r="T28" s="1386" t="s">
        <v>5</v>
      </c>
      <c r="U28" s="1387">
        <f t="shared" ref="U28:U40" si="10">H28</f>
        <v>100</v>
      </c>
      <c r="V28" s="1386" t="s">
        <v>5</v>
      </c>
      <c r="W28" s="1387">
        <f t="shared" ref="W28:W40" si="11">J28</f>
        <v>100</v>
      </c>
      <c r="X28" s="1380"/>
      <c r="Y28" s="388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5" t="s">
        <v>499</v>
      </c>
      <c r="Q29" s="1385" t="str">
        <f t="shared" si="8"/>
        <v>建筑类型</v>
      </c>
      <c r="R29" s="1386" t="s">
        <v>5</v>
      </c>
      <c r="S29" s="1387">
        <f t="shared" si="9"/>
        <v>100</v>
      </c>
      <c r="T29" s="1386" t="s">
        <v>5</v>
      </c>
      <c r="U29" s="1387">
        <f t="shared" si="10"/>
        <v>100</v>
      </c>
      <c r="V29" s="1386" t="s">
        <v>5</v>
      </c>
      <c r="W29" s="1387">
        <f t="shared" si="11"/>
        <v>100</v>
      </c>
      <c r="X29" s="1380"/>
      <c r="Y29" s="388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6"/>
      <c r="Q30" s="1414" t="str">
        <f t="shared" si="8"/>
        <v>项目建筑规模</v>
      </c>
      <c r="R30" s="1390" t="s">
        <v>5</v>
      </c>
      <c r="S30" s="1391" t="e">
        <f t="shared" si="9"/>
        <v>#N/A</v>
      </c>
      <c r="T30" s="1390" t="s">
        <v>5</v>
      </c>
      <c r="U30" s="1391" t="e">
        <f t="shared" si="10"/>
        <v>#N/A</v>
      </c>
      <c r="V30" s="1390" t="s">
        <v>5</v>
      </c>
      <c r="W30" s="1391" t="e">
        <f t="shared" si="11"/>
        <v>#N/A</v>
      </c>
      <c r="X30" s="1392"/>
      <c r="Y30" s="388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6"/>
      <c r="Q31" s="1385" t="str">
        <f t="shared" si="8"/>
        <v>建筑结构</v>
      </c>
      <c r="R31" s="1386" t="s">
        <v>5</v>
      </c>
      <c r="S31" s="1387">
        <f t="shared" si="9"/>
        <v>100</v>
      </c>
      <c r="T31" s="1386" t="s">
        <v>5</v>
      </c>
      <c r="U31" s="1387">
        <f t="shared" si="10"/>
        <v>100</v>
      </c>
      <c r="V31" s="1386" t="s">
        <v>5</v>
      </c>
      <c r="W31" s="1387">
        <f t="shared" si="11"/>
        <v>100</v>
      </c>
      <c r="X31" s="1380"/>
      <c r="Y31" s="388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6"/>
      <c r="Q32" s="1385" t="str">
        <f t="shared" si="8"/>
        <v>公共部分装修</v>
      </c>
      <c r="R32" s="1386" t="s">
        <v>5</v>
      </c>
      <c r="S32" s="1387">
        <f t="shared" si="9"/>
        <v>100</v>
      </c>
      <c r="T32" s="1386" t="s">
        <v>5</v>
      </c>
      <c r="U32" s="1387">
        <f t="shared" si="10"/>
        <v>100</v>
      </c>
      <c r="V32" s="1386" t="s">
        <v>5</v>
      </c>
      <c r="W32" s="1387">
        <f t="shared" si="11"/>
        <v>100</v>
      </c>
      <c r="X32" s="1380"/>
      <c r="Y32" s="388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6"/>
      <c r="Q33" s="1385" t="str">
        <f t="shared" si="8"/>
        <v>成新度</v>
      </c>
      <c r="R33" s="1386" t="s">
        <v>5</v>
      </c>
      <c r="S33" s="1387" t="e">
        <f t="shared" si="9"/>
        <v>#N/A</v>
      </c>
      <c r="T33" s="1386" t="s">
        <v>5</v>
      </c>
      <c r="U33" s="1387" t="e">
        <f t="shared" si="10"/>
        <v>#N/A</v>
      </c>
      <c r="V33" s="1386" t="s">
        <v>5</v>
      </c>
      <c r="W33" s="1387" t="e">
        <f t="shared" si="11"/>
        <v>#N/A</v>
      </c>
      <c r="X33" s="1380"/>
      <c r="Y33" s="388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6"/>
      <c r="Q34" s="1050" t="str">
        <f t="shared" si="8"/>
        <v>物业管理</v>
      </c>
      <c r="R34" s="1381" t="s">
        <v>5</v>
      </c>
      <c r="S34" s="1382">
        <f t="shared" si="9"/>
        <v>100</v>
      </c>
      <c r="T34" s="1381" t="s">
        <v>5</v>
      </c>
      <c r="U34" s="1382">
        <f t="shared" si="10"/>
        <v>100</v>
      </c>
      <c r="V34" s="1381" t="s">
        <v>5</v>
      </c>
      <c r="W34" s="1382">
        <f t="shared" si="11"/>
        <v>100</v>
      </c>
      <c r="X34" s="1383"/>
      <c r="Y34" s="388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6" t="s">
        <v>499</v>
      </c>
      <c r="Q35" s="1385" t="str">
        <f t="shared" si="8"/>
        <v>市政基础设施</v>
      </c>
      <c r="R35" s="1386" t="s">
        <v>5</v>
      </c>
      <c r="S35" s="1387">
        <f t="shared" si="9"/>
        <v>100</v>
      </c>
      <c r="T35" s="1386" t="s">
        <v>5</v>
      </c>
      <c r="U35" s="1387">
        <f t="shared" si="10"/>
        <v>100</v>
      </c>
      <c r="V35" s="1386" t="s">
        <v>5</v>
      </c>
      <c r="W35" s="1387">
        <f t="shared" si="11"/>
        <v>100</v>
      </c>
      <c r="X35" s="1380"/>
      <c r="Y35" s="388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6"/>
      <c r="Q36" s="1385" t="str">
        <f t="shared" si="8"/>
        <v>内部装修</v>
      </c>
      <c r="R36" s="1386" t="s">
        <v>5</v>
      </c>
      <c r="S36" s="1387">
        <f t="shared" si="9"/>
        <v>100</v>
      </c>
      <c r="T36" s="1386" t="s">
        <v>5</v>
      </c>
      <c r="U36" s="1387">
        <f t="shared" si="10"/>
        <v>100</v>
      </c>
      <c r="V36" s="1386" t="s">
        <v>5</v>
      </c>
      <c r="W36" s="1387">
        <f t="shared" si="11"/>
        <v>100</v>
      </c>
      <c r="X36" s="1380"/>
      <c r="Y36" s="388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6"/>
      <c r="Q37" s="1385" t="str">
        <f t="shared" si="8"/>
        <v>内部装修状况</v>
      </c>
      <c r="R37" s="1386" t="s">
        <v>5</v>
      </c>
      <c r="S37" s="1387">
        <f t="shared" si="9"/>
        <v>100</v>
      </c>
      <c r="T37" s="1386" t="s">
        <v>5</v>
      </c>
      <c r="U37" s="1387">
        <f t="shared" si="10"/>
        <v>100</v>
      </c>
      <c r="V37" s="1386" t="s">
        <v>5</v>
      </c>
      <c r="W37" s="1387">
        <f t="shared" si="11"/>
        <v>100</v>
      </c>
      <c r="X37" s="1380"/>
      <c r="Y37" s="388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6"/>
      <c r="Q38" s="1414">
        <f t="shared" si="8"/>
        <v>111</v>
      </c>
      <c r="R38" s="1390" t="s">
        <v>5</v>
      </c>
      <c r="S38" s="1391">
        <f t="shared" si="9"/>
        <v>100</v>
      </c>
      <c r="T38" s="1390" t="s">
        <v>5</v>
      </c>
      <c r="U38" s="1391">
        <f t="shared" si="10"/>
        <v>100</v>
      </c>
      <c r="V38" s="1390" t="s">
        <v>5</v>
      </c>
      <c r="W38" s="1391">
        <f t="shared" si="11"/>
        <v>100</v>
      </c>
      <c r="X38" s="1392"/>
      <c r="Y38" s="388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6"/>
      <c r="Q39" s="1385">
        <f t="shared" si="8"/>
        <v>111</v>
      </c>
      <c r="R39" s="1386" t="s">
        <v>5</v>
      </c>
      <c r="S39" s="1387">
        <f t="shared" si="9"/>
        <v>100</v>
      </c>
      <c r="T39" s="1386" t="s">
        <v>5</v>
      </c>
      <c r="U39" s="1387">
        <f t="shared" si="10"/>
        <v>100</v>
      </c>
      <c r="V39" s="1386" t="s">
        <v>5</v>
      </c>
      <c r="W39" s="1387">
        <f t="shared" si="11"/>
        <v>100</v>
      </c>
      <c r="X39" s="1380"/>
      <c r="Y39" s="388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1" t="str">
        <f>A41</f>
        <v>成交单价（元/平方米）</v>
      </c>
      <c r="Q41" s="3881"/>
      <c r="R41" s="3993">
        <f>E41</f>
        <v>0</v>
      </c>
      <c r="S41" s="3993"/>
      <c r="T41" s="3993">
        <f>G41</f>
        <v>0</v>
      </c>
      <c r="U41" s="3993"/>
      <c r="V41" s="3993">
        <f>I41</f>
        <v>0</v>
      </c>
      <c r="W41" s="3993"/>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81" t="str">
        <f>A42</f>
        <v>比较价格（元/平方米）</v>
      </c>
      <c r="Q42" s="3881"/>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87" t="str">
        <f>A43</f>
        <v>估价对象XX用房的比较价格（楼面单价，元/平方米）</v>
      </c>
      <c r="Q43" s="3888"/>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2023-6</v>
      </c>
      <c r="D52" s="2284">
        <f>EDATE(C52,-1)</f>
        <v>45047</v>
      </c>
      <c r="E52" s="2284">
        <f t="shared" ref="E52:O52" si="13">EDATE(D52,-1)</f>
        <v>45017</v>
      </c>
      <c r="F52" s="2284">
        <f t="shared" si="13"/>
        <v>44986</v>
      </c>
      <c r="G52" s="2284">
        <f t="shared" si="13"/>
        <v>44958</v>
      </c>
      <c r="H52" s="2284">
        <f t="shared" si="13"/>
        <v>44927</v>
      </c>
      <c r="I52" s="2284">
        <f t="shared" si="13"/>
        <v>44896</v>
      </c>
      <c r="J52" s="2284">
        <f t="shared" si="13"/>
        <v>44866</v>
      </c>
      <c r="K52" s="2284">
        <f t="shared" si="13"/>
        <v>44835</v>
      </c>
      <c r="L52" s="2284">
        <f t="shared" si="13"/>
        <v>44805</v>
      </c>
      <c r="M52" s="2284">
        <f t="shared" si="13"/>
        <v>44774</v>
      </c>
      <c r="N52" s="2284">
        <f t="shared" si="13"/>
        <v>44743</v>
      </c>
      <c r="O52" s="2284">
        <f t="shared" si="13"/>
        <v>44713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1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89" t="s">
        <v>738</v>
      </c>
      <c r="D4" s="3890"/>
      <c r="E4" s="3889" t="s">
        <v>739</v>
      </c>
      <c r="F4" s="3890"/>
      <c r="G4" s="3889" t="s">
        <v>740</v>
      </c>
      <c r="H4" s="3890"/>
      <c r="I4" s="3889" t="s">
        <v>741</v>
      </c>
      <c r="J4" s="3890"/>
      <c r="K4" s="484" t="s">
        <v>742</v>
      </c>
      <c r="L4" s="1856"/>
      <c r="M4" s="1857"/>
      <c r="N4" s="1857"/>
      <c r="O4" s="1857"/>
      <c r="P4" s="3891" t="s">
        <v>743</v>
      </c>
      <c r="Q4" s="3892"/>
      <c r="R4" s="3875" t="s">
        <v>739</v>
      </c>
      <c r="S4" s="3876"/>
      <c r="T4" s="3875" t="s">
        <v>740</v>
      </c>
      <c r="U4" s="3876"/>
      <c r="V4" s="3897" t="s">
        <v>741</v>
      </c>
      <c r="W4" s="3897"/>
      <c r="X4" s="1380"/>
      <c r="Y4" s="3875" t="s">
        <v>743</v>
      </c>
      <c r="Z4" s="3876"/>
      <c r="AA4" s="3870" t="s">
        <v>739</v>
      </c>
      <c r="AB4" s="3871" t="s">
        <v>740</v>
      </c>
      <c r="AC4" s="3870" t="s">
        <v>741</v>
      </c>
    </row>
    <row r="5" spans="1:29" ht="15">
      <c r="A5" s="485"/>
      <c r="B5" s="486"/>
      <c r="C5" s="3900" t="s">
        <v>2192</v>
      </c>
      <c r="D5" s="3901"/>
      <c r="E5" s="3900" t="s">
        <v>2193</v>
      </c>
      <c r="F5" s="3901"/>
      <c r="G5" s="3900" t="s">
        <v>2194</v>
      </c>
      <c r="H5" s="3901"/>
      <c r="I5" s="3900" t="s">
        <v>2195</v>
      </c>
      <c r="J5" s="3901"/>
      <c r="K5" s="484"/>
      <c r="L5" s="1856"/>
      <c r="M5" s="1857"/>
      <c r="N5" s="1857"/>
      <c r="O5" s="1857"/>
      <c r="P5" s="3893"/>
      <c r="Q5" s="3894"/>
      <c r="R5" s="3877"/>
      <c r="S5" s="3878"/>
      <c r="T5" s="3877"/>
      <c r="U5" s="3878"/>
      <c r="V5" s="3897"/>
      <c r="W5" s="3897"/>
      <c r="X5" s="1380"/>
      <c r="Y5" s="3877"/>
      <c r="Z5" s="3878"/>
      <c r="AA5" s="3871"/>
      <c r="AB5" s="3871"/>
      <c r="AC5" s="3871"/>
    </row>
    <row r="6" spans="1:29" ht="15.75" thickBot="1">
      <c r="A6" s="487"/>
      <c r="B6" s="488"/>
      <c r="C6" s="3898" t="s">
        <v>2196</v>
      </c>
      <c r="D6" s="3899"/>
      <c r="E6" s="3902" t="s">
        <v>2196</v>
      </c>
      <c r="F6" s="3903"/>
      <c r="G6" s="3898" t="s">
        <v>2196</v>
      </c>
      <c r="H6" s="3899"/>
      <c r="I6" s="3898" t="s">
        <v>2196</v>
      </c>
      <c r="J6" s="3899"/>
      <c r="K6" s="484" t="s">
        <v>477</v>
      </c>
      <c r="L6" s="1856"/>
      <c r="M6" s="1857"/>
      <c r="N6" s="1857"/>
      <c r="O6" s="1857"/>
      <c r="P6" s="3895"/>
      <c r="Q6" s="3896"/>
      <c r="R6" s="3877"/>
      <c r="S6" s="3878"/>
      <c r="T6" s="3879"/>
      <c r="U6" s="3880"/>
      <c r="V6" s="3897"/>
      <c r="W6" s="3897"/>
      <c r="X6" s="1380"/>
      <c r="Y6" s="3879"/>
      <c r="Z6" s="3880"/>
      <c r="AA6" s="3872"/>
      <c r="AB6" s="3872"/>
      <c r="AC6" s="3872"/>
    </row>
    <row r="7" spans="1:29" s="1118" customFormat="1" ht="15.75" thickBot="1">
      <c r="A7" s="2392"/>
      <c r="B7" s="2399" t="s">
        <v>478</v>
      </c>
      <c r="C7" s="489">
        <f>'数据-取费表'!B2</f>
        <v>45091</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3" t="s">
        <v>479</v>
      </c>
      <c r="Q7" s="3882"/>
      <c r="R7" s="1381" t="s">
        <v>5</v>
      </c>
      <c r="S7" s="1382">
        <f t="shared" ref="S7:S14" si="0">F7</f>
        <v>0</v>
      </c>
      <c r="T7" s="1381" t="s">
        <v>5</v>
      </c>
      <c r="U7" s="1382">
        <f t="shared" ref="U7:U14" si="1">H7</f>
        <v>0</v>
      </c>
      <c r="V7" s="1381" t="s">
        <v>5</v>
      </c>
      <c r="W7" s="1382">
        <f t="shared" ref="W7:W14"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3" t="s">
        <v>482</v>
      </c>
      <c r="Q8" s="3874"/>
      <c r="R8" s="1381" t="s">
        <v>5</v>
      </c>
      <c r="S8" s="1382">
        <f t="shared" si="0"/>
        <v>0</v>
      </c>
      <c r="T8" s="1381" t="s">
        <v>5</v>
      </c>
      <c r="U8" s="1382">
        <f t="shared" si="1"/>
        <v>0</v>
      </c>
      <c r="V8" s="1381" t="s">
        <v>5</v>
      </c>
      <c r="W8" s="1382">
        <f t="shared" si="2"/>
        <v>0</v>
      </c>
      <c r="X8" s="1383"/>
      <c r="Y8" s="3873" t="s">
        <v>482</v>
      </c>
      <c r="Z8" s="3874"/>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1" t="s">
        <v>484</v>
      </c>
      <c r="Q9" s="1050" t="str">
        <f t="shared" ref="Q9:Q14" si="6">B9</f>
        <v>用途</v>
      </c>
      <c r="R9" s="1381" t="s">
        <v>5</v>
      </c>
      <c r="S9" s="1382">
        <f t="shared" si="0"/>
        <v>100</v>
      </c>
      <c r="T9" s="1381" t="s">
        <v>5</v>
      </c>
      <c r="U9" s="1382">
        <f t="shared" si="1"/>
        <v>100</v>
      </c>
      <c r="V9" s="1381" t="s">
        <v>5</v>
      </c>
      <c r="W9" s="1382">
        <f t="shared" si="2"/>
        <v>100</v>
      </c>
      <c r="X9" s="1383"/>
      <c r="Y9" s="3829"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1"/>
      <c r="Q11" s="1050">
        <f t="shared" si="6"/>
        <v>111</v>
      </c>
      <c r="R11" s="1381" t="s">
        <v>5</v>
      </c>
      <c r="S11" s="1382">
        <f t="shared" si="0"/>
        <v>100</v>
      </c>
      <c r="T11" s="1381" t="s">
        <v>5</v>
      </c>
      <c r="U11" s="1382">
        <f t="shared" si="1"/>
        <v>100</v>
      </c>
      <c r="V11" s="1381" t="s">
        <v>5</v>
      </c>
      <c r="W11" s="1382">
        <f t="shared" si="2"/>
        <v>100</v>
      </c>
      <c r="X11" s="1383"/>
      <c r="Y11" s="3829"/>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1"/>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1"/>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3" t="s">
        <v>489</v>
      </c>
      <c r="Q14" s="1385" t="str">
        <f t="shared" si="6"/>
        <v>交通便捷度</v>
      </c>
      <c r="R14" s="1386" t="s">
        <v>5</v>
      </c>
      <c r="S14" s="1387">
        <f t="shared" si="0"/>
        <v>100</v>
      </c>
      <c r="T14" s="1386" t="s">
        <v>5</v>
      </c>
      <c r="U14" s="1387">
        <f t="shared" si="1"/>
        <v>100</v>
      </c>
      <c r="V14" s="1386" t="s">
        <v>5</v>
      </c>
      <c r="W14" s="1387">
        <f t="shared" si="2"/>
        <v>100</v>
      </c>
      <c r="X14" s="1380"/>
      <c r="Y14" s="388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4"/>
      <c r="Q15" s="1385"/>
      <c r="R15" s="1386"/>
      <c r="S15" s="1387"/>
      <c r="T15" s="1386"/>
      <c r="U15" s="1387"/>
      <c r="V15" s="1386"/>
      <c r="W15" s="1387"/>
      <c r="X15" s="1380"/>
      <c r="Y15" s="388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4"/>
      <c r="Q16" s="1385" t="str">
        <f>B16</f>
        <v>公共配套设施</v>
      </c>
      <c r="R16" s="1386" t="s">
        <v>5</v>
      </c>
      <c r="S16" s="1387">
        <f>F16</f>
        <v>100</v>
      </c>
      <c r="T16" s="1386" t="s">
        <v>5</v>
      </c>
      <c r="U16" s="1387">
        <f>H16</f>
        <v>100</v>
      </c>
      <c r="V16" s="1386" t="s">
        <v>5</v>
      </c>
      <c r="W16" s="1387">
        <f>J16</f>
        <v>100</v>
      </c>
      <c r="X16" s="1380"/>
      <c r="Y16" s="388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4"/>
      <c r="Q17" s="1385"/>
      <c r="R17" s="1386"/>
      <c r="S17" s="1387"/>
      <c r="T17" s="1386"/>
      <c r="U17" s="1387"/>
      <c r="V17" s="1386"/>
      <c r="W17" s="1387"/>
      <c r="X17" s="1380"/>
      <c r="Y17" s="388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4"/>
      <c r="Q18" s="2193" t="str">
        <f>B18</f>
        <v>基础设施水平</v>
      </c>
      <c r="R18" s="1386" t="s">
        <v>5</v>
      </c>
      <c r="S18" s="1387">
        <f>F18</f>
        <v>100</v>
      </c>
      <c r="T18" s="1386" t="s">
        <v>5</v>
      </c>
      <c r="U18" s="1387">
        <f>H18</f>
        <v>100</v>
      </c>
      <c r="V18" s="1386" t="s">
        <v>5</v>
      </c>
      <c r="W18" s="1387">
        <f>J18</f>
        <v>100</v>
      </c>
      <c r="X18" s="2195"/>
      <c r="Y18" s="388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4"/>
      <c r="Q19" s="2193"/>
      <c r="R19" s="1386"/>
      <c r="S19" s="1387"/>
      <c r="T19" s="1386"/>
      <c r="U19" s="1387"/>
      <c r="V19" s="1386"/>
      <c r="W19" s="1387"/>
      <c r="X19" s="2195"/>
      <c r="Y19" s="388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4"/>
      <c r="Q20" s="1385" t="str">
        <f>B20</f>
        <v>自然及人文环境</v>
      </c>
      <c r="R20" s="1386" t="s">
        <v>5</v>
      </c>
      <c r="S20" s="1387">
        <f>F20</f>
        <v>100</v>
      </c>
      <c r="T20" s="1386" t="s">
        <v>5</v>
      </c>
      <c r="U20" s="1387">
        <f>H20</f>
        <v>100</v>
      </c>
      <c r="V20" s="1386" t="s">
        <v>5</v>
      </c>
      <c r="W20" s="1387">
        <f>J20</f>
        <v>100</v>
      </c>
      <c r="X20" s="1380"/>
      <c r="Y20" s="388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4"/>
      <c r="Q21" s="1385"/>
      <c r="R21" s="1386"/>
      <c r="S21" s="1387"/>
      <c r="T21" s="1386"/>
      <c r="U21" s="1387"/>
      <c r="V21" s="1386"/>
      <c r="W21" s="1387"/>
      <c r="X21" s="1380"/>
      <c r="Y21" s="388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4"/>
      <c r="Q22" s="1385" t="str">
        <f>B22</f>
        <v>楼层</v>
      </c>
      <c r="R22" s="1386" t="s">
        <v>5</v>
      </c>
      <c r="S22" s="1387">
        <f>F22</f>
        <v>100</v>
      </c>
      <c r="T22" s="1386" t="s">
        <v>5</v>
      </c>
      <c r="U22" s="1387">
        <f>H22</f>
        <v>100</v>
      </c>
      <c r="V22" s="1386" t="s">
        <v>5</v>
      </c>
      <c r="W22" s="1387">
        <f>J22</f>
        <v>100</v>
      </c>
      <c r="X22" s="1380"/>
      <c r="Y22" s="388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4"/>
      <c r="Q23" s="1385">
        <f>B23</f>
        <v>111</v>
      </c>
      <c r="R23" s="1386" t="s">
        <v>5</v>
      </c>
      <c r="S23" s="1387">
        <f>F23</f>
        <v>100</v>
      </c>
      <c r="T23" s="1386" t="s">
        <v>5</v>
      </c>
      <c r="U23" s="1387">
        <f>H23</f>
        <v>100</v>
      </c>
      <c r="V23" s="1386" t="s">
        <v>5</v>
      </c>
      <c r="W23" s="1387">
        <f>J23</f>
        <v>100</v>
      </c>
      <c r="X23" s="1380"/>
      <c r="Y23" s="388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4"/>
      <c r="Q24" s="1385">
        <f t="shared" ref="Q24:Q36" si="8">B24</f>
        <v>111</v>
      </c>
      <c r="R24" s="1386" t="s">
        <v>5</v>
      </c>
      <c r="S24" s="1387">
        <f>F24</f>
        <v>100</v>
      </c>
      <c r="T24" s="1386" t="s">
        <v>5</v>
      </c>
      <c r="U24" s="1387">
        <f>H24</f>
        <v>100</v>
      </c>
      <c r="V24" s="1386" t="s">
        <v>5</v>
      </c>
      <c r="W24" s="1387">
        <f>J24</f>
        <v>100</v>
      </c>
      <c r="X24" s="1380"/>
      <c r="Y24" s="388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4"/>
      <c r="Q25" s="1050">
        <f t="shared" si="8"/>
        <v>111</v>
      </c>
      <c r="R25" s="1381" t="s">
        <v>5</v>
      </c>
      <c r="S25" s="1382">
        <f>F25</f>
        <v>100</v>
      </c>
      <c r="T25" s="1381" t="s">
        <v>5</v>
      </c>
      <c r="U25" s="1382">
        <f>H25</f>
        <v>100</v>
      </c>
      <c r="V25" s="1381" t="s">
        <v>5</v>
      </c>
      <c r="W25" s="1382">
        <f>J25</f>
        <v>100</v>
      </c>
      <c r="X25" s="1383"/>
      <c r="Y25" s="388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6"/>
      <c r="Q27" s="1414" t="str">
        <f t="shared" si="8"/>
        <v>项目停车位配比</v>
      </c>
      <c r="R27" s="1390" t="s">
        <v>5</v>
      </c>
      <c r="S27" s="1391">
        <f t="shared" si="9"/>
        <v>100</v>
      </c>
      <c r="T27" s="1390" t="s">
        <v>5</v>
      </c>
      <c r="U27" s="1391">
        <f t="shared" si="10"/>
        <v>100</v>
      </c>
      <c r="V27" s="1390" t="s">
        <v>5</v>
      </c>
      <c r="W27" s="1391">
        <f t="shared" si="11"/>
        <v>100</v>
      </c>
      <c r="X27" s="1392"/>
      <c r="Y27" s="388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6"/>
      <c r="Q28" s="1385" t="str">
        <f t="shared" si="8"/>
        <v>公共部分装修</v>
      </c>
      <c r="R28" s="1386" t="s">
        <v>5</v>
      </c>
      <c r="S28" s="1387">
        <f t="shared" si="9"/>
        <v>100</v>
      </c>
      <c r="T28" s="1386" t="s">
        <v>5</v>
      </c>
      <c r="U28" s="1387">
        <f t="shared" si="10"/>
        <v>100</v>
      </c>
      <c r="V28" s="1386" t="s">
        <v>5</v>
      </c>
      <c r="W28" s="1387">
        <f t="shared" si="11"/>
        <v>100</v>
      </c>
      <c r="X28" s="1380"/>
      <c r="Y28" s="388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6"/>
      <c r="Q29" s="1385" t="str">
        <f t="shared" si="8"/>
        <v>成新率</v>
      </c>
      <c r="R29" s="1386" t="s">
        <v>5</v>
      </c>
      <c r="S29" s="1387" t="e">
        <f t="shared" si="9"/>
        <v>#N/A</v>
      </c>
      <c r="T29" s="1386" t="s">
        <v>5</v>
      </c>
      <c r="U29" s="1387" t="e">
        <f t="shared" si="10"/>
        <v>#N/A</v>
      </c>
      <c r="V29" s="1386" t="s">
        <v>5</v>
      </c>
      <c r="W29" s="1387" t="e">
        <f t="shared" si="11"/>
        <v>#N/A</v>
      </c>
      <c r="X29" s="1380"/>
      <c r="Y29" s="388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6"/>
      <c r="Q30" s="1385" t="str">
        <f t="shared" si="8"/>
        <v>物业等级</v>
      </c>
      <c r="R30" s="1386" t="s">
        <v>5</v>
      </c>
      <c r="S30" s="1387">
        <f t="shared" si="9"/>
        <v>100</v>
      </c>
      <c r="T30" s="1386" t="s">
        <v>5</v>
      </c>
      <c r="U30" s="1387">
        <f t="shared" si="10"/>
        <v>100</v>
      </c>
      <c r="V30" s="1386" t="s">
        <v>5</v>
      </c>
      <c r="W30" s="1387">
        <f t="shared" si="11"/>
        <v>100</v>
      </c>
      <c r="X30" s="1380"/>
      <c r="Y30" s="388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6"/>
      <c r="Q31" s="1050" t="str">
        <f t="shared" si="8"/>
        <v>停车位面积</v>
      </c>
      <c r="R31" s="1381" t="s">
        <v>5</v>
      </c>
      <c r="S31" s="1382" t="e">
        <f t="shared" si="9"/>
        <v>#N/A</v>
      </c>
      <c r="T31" s="1381" t="s">
        <v>5</v>
      </c>
      <c r="U31" s="1382" t="e">
        <f t="shared" si="10"/>
        <v>#N/A</v>
      </c>
      <c r="V31" s="1381" t="s">
        <v>5</v>
      </c>
      <c r="W31" s="1382" t="e">
        <f t="shared" si="11"/>
        <v>#N/A</v>
      </c>
      <c r="X31" s="1383"/>
      <c r="Y31" s="388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6" t="s">
        <v>499</v>
      </c>
      <c r="Q32" s="1385" t="str">
        <f t="shared" si="8"/>
        <v>车位类型</v>
      </c>
      <c r="R32" s="1386" t="s">
        <v>5</v>
      </c>
      <c r="S32" s="1387">
        <f t="shared" si="9"/>
        <v>100</v>
      </c>
      <c r="T32" s="1386" t="s">
        <v>5</v>
      </c>
      <c r="U32" s="1387">
        <f t="shared" si="10"/>
        <v>100</v>
      </c>
      <c r="V32" s="1386" t="s">
        <v>5</v>
      </c>
      <c r="W32" s="1387">
        <f t="shared" si="11"/>
        <v>100</v>
      </c>
      <c r="X32" s="1380"/>
      <c r="Y32" s="388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6"/>
      <c r="Q33" s="1385" t="str">
        <f t="shared" si="8"/>
        <v>是否直接入户</v>
      </c>
      <c r="R33" s="1386" t="s">
        <v>5</v>
      </c>
      <c r="S33" s="1387">
        <f t="shared" si="9"/>
        <v>100</v>
      </c>
      <c r="T33" s="1386" t="s">
        <v>5</v>
      </c>
      <c r="U33" s="1387">
        <f t="shared" si="10"/>
        <v>100</v>
      </c>
      <c r="V33" s="1386" t="s">
        <v>5</v>
      </c>
      <c r="W33" s="1387">
        <f t="shared" si="11"/>
        <v>100</v>
      </c>
      <c r="X33" s="1380"/>
      <c r="Y33" s="388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6"/>
      <c r="Q34" s="1385">
        <f t="shared" si="8"/>
        <v>111</v>
      </c>
      <c r="R34" s="1386" t="s">
        <v>5</v>
      </c>
      <c r="S34" s="1387">
        <f t="shared" si="9"/>
        <v>100</v>
      </c>
      <c r="T34" s="1386" t="s">
        <v>5</v>
      </c>
      <c r="U34" s="1387">
        <f t="shared" si="10"/>
        <v>100</v>
      </c>
      <c r="V34" s="1386" t="s">
        <v>5</v>
      </c>
      <c r="W34" s="1387">
        <f t="shared" si="11"/>
        <v>100</v>
      </c>
      <c r="X34" s="1380"/>
      <c r="Y34" s="388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6"/>
      <c r="Q35" s="1414">
        <f t="shared" si="8"/>
        <v>111</v>
      </c>
      <c r="R35" s="1390" t="s">
        <v>5</v>
      </c>
      <c r="S35" s="1391">
        <f t="shared" si="9"/>
        <v>100</v>
      </c>
      <c r="T35" s="1390" t="s">
        <v>5</v>
      </c>
      <c r="U35" s="1391">
        <f t="shared" si="10"/>
        <v>100</v>
      </c>
      <c r="V35" s="1390" t="s">
        <v>5</v>
      </c>
      <c r="W35" s="1391">
        <f t="shared" si="11"/>
        <v>100</v>
      </c>
      <c r="X35" s="1392"/>
      <c r="Y35" s="388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6"/>
      <c r="Q36" s="1385">
        <f t="shared" si="8"/>
        <v>111</v>
      </c>
      <c r="R36" s="1386" t="s">
        <v>5</v>
      </c>
      <c r="S36" s="1387">
        <f t="shared" si="9"/>
        <v>100</v>
      </c>
      <c r="T36" s="1386" t="s">
        <v>5</v>
      </c>
      <c r="U36" s="1387">
        <f t="shared" si="10"/>
        <v>100</v>
      </c>
      <c r="V36" s="1386" t="s">
        <v>5</v>
      </c>
      <c r="W36" s="1387">
        <f t="shared" si="11"/>
        <v>100</v>
      </c>
      <c r="X36" s="1380"/>
      <c r="Y36" s="388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1" t="str">
        <f>A37</f>
        <v>成交单价</v>
      </c>
      <c r="Q37" s="3881"/>
      <c r="R37" s="3993">
        <f>E37</f>
        <v>0</v>
      </c>
      <c r="S37" s="3993"/>
      <c r="T37" s="3993">
        <f>G37</f>
        <v>0</v>
      </c>
      <c r="U37" s="3993"/>
      <c r="V37" s="3993">
        <f>I37</f>
        <v>0</v>
      </c>
      <c r="W37" s="3993"/>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81" t="str">
        <f>A38</f>
        <v>比较价格（元/平方米）</v>
      </c>
      <c r="Q38" s="3881"/>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87" t="str">
        <f>A39</f>
        <v>估价对象XX用房的比较价格（楼面单价，元/平方米）</v>
      </c>
      <c r="Q39" s="3888"/>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2023-6</v>
      </c>
      <c r="D48" s="2284">
        <f>EDATE(C48,-1)</f>
        <v>45047</v>
      </c>
      <c r="E48" s="2284">
        <f t="shared" ref="E48:O48" si="13">EDATE(D48,-1)</f>
        <v>45017</v>
      </c>
      <c r="F48" s="2284">
        <f t="shared" si="13"/>
        <v>44986</v>
      </c>
      <c r="G48" s="2284">
        <f t="shared" si="13"/>
        <v>44958</v>
      </c>
      <c r="H48" s="2284">
        <f t="shared" si="13"/>
        <v>44927</v>
      </c>
      <c r="I48" s="2284">
        <f t="shared" si="13"/>
        <v>44896</v>
      </c>
      <c r="J48" s="2284">
        <f t="shared" si="13"/>
        <v>44866</v>
      </c>
      <c r="K48" s="2284">
        <f t="shared" si="13"/>
        <v>44835</v>
      </c>
      <c r="L48" s="2284">
        <f t="shared" si="13"/>
        <v>44805</v>
      </c>
      <c r="M48" s="2284">
        <f t="shared" si="13"/>
        <v>44774</v>
      </c>
      <c r="N48" s="2284">
        <f t="shared" si="13"/>
        <v>44743</v>
      </c>
      <c r="O48" s="2284">
        <f t="shared" si="13"/>
        <v>44713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112236.7平方米。根据《建设工程规划许可证》[]、《出让合同》[]，估价对象规划建筑面积为6637.12平方米。</v>
      </c>
    </row>
    <row r="7" spans="1:4" ht="93.75">
      <c r="A7" s="2353" t="s">
        <v>2030</v>
      </c>
    </row>
    <row r="8" spans="1:4" ht="18.75">
      <c r="A8" s="1582" t="s">
        <v>1430</v>
      </c>
    </row>
    <row r="9" spans="1:4" ht="56.2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2023年6月14日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根据《国有土地使用证》[]，估价对象（分摊）出让国有建设用地使用权面积为112236.7平方米。根据《建设工程规划许可证》[]、《出让合同》[]，估价对象规划建筑面积为6637.12平方米。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89" t="s">
        <v>738</v>
      </c>
      <c r="D4" s="3890"/>
      <c r="E4" s="3926" t="s">
        <v>739</v>
      </c>
      <c r="F4" s="3927"/>
      <c r="G4" s="3889" t="s">
        <v>740</v>
      </c>
      <c r="H4" s="3890"/>
      <c r="I4" s="3889" t="s">
        <v>741</v>
      </c>
      <c r="J4" s="3890"/>
      <c r="K4" s="484" t="s">
        <v>742</v>
      </c>
      <c r="L4" s="1856"/>
      <c r="M4" s="1857"/>
      <c r="N4" s="1857"/>
      <c r="O4" s="1857"/>
      <c r="P4" s="3891" t="s">
        <v>743</v>
      </c>
      <c r="Q4" s="3892"/>
      <c r="R4" s="3875" t="s">
        <v>739</v>
      </c>
      <c r="S4" s="3876"/>
      <c r="T4" s="3875" t="s">
        <v>740</v>
      </c>
      <c r="U4" s="3876"/>
      <c r="V4" s="3897" t="s">
        <v>741</v>
      </c>
      <c r="W4" s="3897"/>
      <c r="X4" s="1380"/>
      <c r="Y4" s="3875" t="s">
        <v>743</v>
      </c>
      <c r="Z4" s="3876"/>
      <c r="AA4" s="3870" t="s">
        <v>739</v>
      </c>
      <c r="AB4" s="3871" t="s">
        <v>740</v>
      </c>
      <c r="AC4" s="3870" t="s">
        <v>741</v>
      </c>
    </row>
    <row r="5" spans="1:29" ht="15">
      <c r="A5" s="485"/>
      <c r="B5" s="486"/>
      <c r="C5" s="3900" t="s">
        <v>2192</v>
      </c>
      <c r="D5" s="3901"/>
      <c r="E5" s="3928" t="s">
        <v>2193</v>
      </c>
      <c r="F5" s="3929"/>
      <c r="G5" s="3900" t="s">
        <v>2194</v>
      </c>
      <c r="H5" s="3901"/>
      <c r="I5" s="3900" t="s">
        <v>2195</v>
      </c>
      <c r="J5" s="3901"/>
      <c r="K5" s="484"/>
      <c r="L5" s="1856"/>
      <c r="M5" s="1857"/>
      <c r="N5" s="1857"/>
      <c r="O5" s="1857"/>
      <c r="P5" s="3893"/>
      <c r="Q5" s="3894"/>
      <c r="R5" s="3877"/>
      <c r="S5" s="3878"/>
      <c r="T5" s="3877"/>
      <c r="U5" s="3878"/>
      <c r="V5" s="3897"/>
      <c r="W5" s="3897"/>
      <c r="X5" s="1380"/>
      <c r="Y5" s="3877"/>
      <c r="Z5" s="3878"/>
      <c r="AA5" s="3871"/>
      <c r="AB5" s="3871"/>
      <c r="AC5" s="3871"/>
    </row>
    <row r="6" spans="1:29" ht="15.75" thickBot="1">
      <c r="A6" s="487"/>
      <c r="B6" s="488"/>
      <c r="C6" s="3898" t="s">
        <v>2196</v>
      </c>
      <c r="D6" s="3899"/>
      <c r="E6" s="3930" t="s">
        <v>2196</v>
      </c>
      <c r="F6" s="3931"/>
      <c r="G6" s="3898" t="s">
        <v>2196</v>
      </c>
      <c r="H6" s="3899"/>
      <c r="I6" s="3898" t="s">
        <v>2196</v>
      </c>
      <c r="J6" s="3899"/>
      <c r="K6" s="484" t="s">
        <v>477</v>
      </c>
      <c r="L6" s="1856"/>
      <c r="M6" s="1857"/>
      <c r="N6" s="1857"/>
      <c r="O6" s="1857"/>
      <c r="P6" s="3895"/>
      <c r="Q6" s="3896"/>
      <c r="R6" s="3877"/>
      <c r="S6" s="3878"/>
      <c r="T6" s="3879"/>
      <c r="U6" s="3880"/>
      <c r="V6" s="3897"/>
      <c r="W6" s="3897"/>
      <c r="X6" s="1380"/>
      <c r="Y6" s="3879"/>
      <c r="Z6" s="3880"/>
      <c r="AA6" s="3872"/>
      <c r="AB6" s="3872"/>
      <c r="AC6" s="3872"/>
    </row>
    <row r="7" spans="1:29" s="1118" customFormat="1" ht="15.75" thickBot="1">
      <c r="A7" s="2392"/>
      <c r="B7" s="2399" t="s">
        <v>478</v>
      </c>
      <c r="C7" s="489">
        <f>'数据-取费表'!B2</f>
        <v>45091</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3" t="s">
        <v>479</v>
      </c>
      <c r="Q7" s="3882"/>
      <c r="R7" s="1381" t="s">
        <v>5</v>
      </c>
      <c r="S7" s="1382">
        <f t="shared" ref="S7:S14" si="0">F7</f>
        <v>0</v>
      </c>
      <c r="T7" s="1381" t="s">
        <v>5</v>
      </c>
      <c r="U7" s="1382">
        <f t="shared" ref="U7:U14" si="1">H7</f>
        <v>0</v>
      </c>
      <c r="V7" s="1381" t="s">
        <v>5</v>
      </c>
      <c r="W7" s="1382">
        <f t="shared" ref="W7:W14" si="2">J7</f>
        <v>0</v>
      </c>
      <c r="X7" s="1383"/>
      <c r="Y7" s="3873" t="s">
        <v>479</v>
      </c>
      <c r="Z7" s="3874"/>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3" t="s">
        <v>482</v>
      </c>
      <c r="Q8" s="3874"/>
      <c r="R8" s="1381" t="s">
        <v>5</v>
      </c>
      <c r="S8" s="1382">
        <f t="shared" si="0"/>
        <v>0</v>
      </c>
      <c r="T8" s="1381" t="s">
        <v>5</v>
      </c>
      <c r="U8" s="1382">
        <f t="shared" si="1"/>
        <v>0</v>
      </c>
      <c r="V8" s="1381" t="s">
        <v>5</v>
      </c>
      <c r="W8" s="1382">
        <f t="shared" si="2"/>
        <v>0</v>
      </c>
      <c r="X8" s="1383"/>
      <c r="Y8" s="3873" t="s">
        <v>482</v>
      </c>
      <c r="Z8" s="3874"/>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1" t="s">
        <v>484</v>
      </c>
      <c r="Q9" s="1050" t="str">
        <f t="shared" ref="Q9:Q14" si="6">B9</f>
        <v>用途</v>
      </c>
      <c r="R9" s="1381" t="s">
        <v>5</v>
      </c>
      <c r="S9" s="1382">
        <f t="shared" si="0"/>
        <v>100</v>
      </c>
      <c r="T9" s="1381" t="s">
        <v>5</v>
      </c>
      <c r="U9" s="1382">
        <f t="shared" si="1"/>
        <v>100</v>
      </c>
      <c r="V9" s="1381" t="s">
        <v>5</v>
      </c>
      <c r="W9" s="1382">
        <f t="shared" si="2"/>
        <v>100</v>
      </c>
      <c r="X9" s="1383"/>
      <c r="Y9" s="3829"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81"/>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1"/>
      <c r="Q11" s="1050">
        <f t="shared" si="6"/>
        <v>111</v>
      </c>
      <c r="R11" s="1381" t="s">
        <v>5</v>
      </c>
      <c r="S11" s="1382">
        <f t="shared" si="0"/>
        <v>100</v>
      </c>
      <c r="T11" s="1381" t="s">
        <v>5</v>
      </c>
      <c r="U11" s="1382">
        <f t="shared" si="1"/>
        <v>100</v>
      </c>
      <c r="V11" s="1381" t="s">
        <v>5</v>
      </c>
      <c r="W11" s="1382">
        <f t="shared" si="2"/>
        <v>100</v>
      </c>
      <c r="X11" s="1383"/>
      <c r="Y11" s="3829"/>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1"/>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1"/>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3" t="s">
        <v>489</v>
      </c>
      <c r="Q14" s="1385" t="str">
        <f t="shared" si="6"/>
        <v>交通便捷度</v>
      </c>
      <c r="R14" s="1386" t="s">
        <v>5</v>
      </c>
      <c r="S14" s="1387">
        <f t="shared" si="0"/>
        <v>100</v>
      </c>
      <c r="T14" s="1386" t="s">
        <v>5</v>
      </c>
      <c r="U14" s="1387">
        <f t="shared" si="1"/>
        <v>100</v>
      </c>
      <c r="V14" s="1386" t="s">
        <v>5</v>
      </c>
      <c r="W14" s="1387">
        <f t="shared" si="2"/>
        <v>100</v>
      </c>
      <c r="X14" s="1380"/>
      <c r="Y14" s="388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4"/>
      <c r="Q15" s="1385"/>
      <c r="R15" s="1386"/>
      <c r="S15" s="1387"/>
      <c r="T15" s="1386"/>
      <c r="U15" s="1387"/>
      <c r="V15" s="1386"/>
      <c r="W15" s="1387"/>
      <c r="X15" s="1380"/>
      <c r="Y15" s="388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4"/>
      <c r="Q16" s="1385" t="str">
        <f>B16</f>
        <v>公共配套设施</v>
      </c>
      <c r="R16" s="1386" t="s">
        <v>5</v>
      </c>
      <c r="S16" s="1387">
        <f>F16</f>
        <v>100</v>
      </c>
      <c r="T16" s="1386" t="s">
        <v>5</v>
      </c>
      <c r="U16" s="1387">
        <f>H16</f>
        <v>100</v>
      </c>
      <c r="V16" s="1386" t="s">
        <v>5</v>
      </c>
      <c r="W16" s="1387">
        <f>J16</f>
        <v>100</v>
      </c>
      <c r="X16" s="1380"/>
      <c r="Y16" s="388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4"/>
      <c r="Q17" s="1385"/>
      <c r="R17" s="1386"/>
      <c r="S17" s="1387"/>
      <c r="T17" s="1386"/>
      <c r="U17" s="1387"/>
      <c r="V17" s="1386"/>
      <c r="W17" s="1387"/>
      <c r="X17" s="1380"/>
      <c r="Y17" s="388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4"/>
      <c r="Q18" s="2193" t="str">
        <f>B18</f>
        <v>基础设施水平</v>
      </c>
      <c r="R18" s="1386" t="s">
        <v>5</v>
      </c>
      <c r="S18" s="1387">
        <f>F18</f>
        <v>100</v>
      </c>
      <c r="T18" s="1386" t="s">
        <v>5</v>
      </c>
      <c r="U18" s="1387">
        <f>H18</f>
        <v>100</v>
      </c>
      <c r="V18" s="1386" t="s">
        <v>5</v>
      </c>
      <c r="W18" s="1387">
        <f>J18</f>
        <v>100</v>
      </c>
      <c r="X18" s="2195"/>
      <c r="Y18" s="388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4"/>
      <c r="Q19" s="2193"/>
      <c r="R19" s="1386"/>
      <c r="S19" s="1387"/>
      <c r="T19" s="1386"/>
      <c r="U19" s="1387"/>
      <c r="V19" s="1386"/>
      <c r="W19" s="1387"/>
      <c r="X19" s="2195"/>
      <c r="Y19" s="388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4"/>
      <c r="Q20" s="1385" t="str">
        <f>B20</f>
        <v>自然及人文环境</v>
      </c>
      <c r="R20" s="1386" t="s">
        <v>5</v>
      </c>
      <c r="S20" s="1387">
        <f>F20</f>
        <v>100</v>
      </c>
      <c r="T20" s="1386" t="s">
        <v>5</v>
      </c>
      <c r="U20" s="1387">
        <f>H20</f>
        <v>100</v>
      </c>
      <c r="V20" s="1386" t="s">
        <v>5</v>
      </c>
      <c r="W20" s="1387">
        <f>J20</f>
        <v>100</v>
      </c>
      <c r="X20" s="1380"/>
      <c r="Y20" s="388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4"/>
      <c r="Q21" s="1385"/>
      <c r="R21" s="1386"/>
      <c r="S21" s="1387"/>
      <c r="T21" s="1386"/>
      <c r="U21" s="1387"/>
      <c r="V21" s="1386"/>
      <c r="W21" s="1387"/>
      <c r="X21" s="1380"/>
      <c r="Y21" s="388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4"/>
      <c r="Q22" s="1385" t="str">
        <f>B22</f>
        <v>楼层</v>
      </c>
      <c r="R22" s="1386" t="s">
        <v>5</v>
      </c>
      <c r="S22" s="1387">
        <f>F22</f>
        <v>100</v>
      </c>
      <c r="T22" s="1386" t="s">
        <v>5</v>
      </c>
      <c r="U22" s="1387">
        <f>H22</f>
        <v>100</v>
      </c>
      <c r="V22" s="1386" t="s">
        <v>5</v>
      </c>
      <c r="W22" s="1387">
        <f>J22</f>
        <v>100</v>
      </c>
      <c r="X22" s="1380"/>
      <c r="Y22" s="388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4"/>
      <c r="Q23" s="1385">
        <f>B23</f>
        <v>111</v>
      </c>
      <c r="R23" s="1386" t="s">
        <v>5</v>
      </c>
      <c r="S23" s="1387">
        <f>F23</f>
        <v>100</v>
      </c>
      <c r="T23" s="1386" t="s">
        <v>5</v>
      </c>
      <c r="U23" s="1387">
        <f>H23</f>
        <v>100</v>
      </c>
      <c r="V23" s="1386" t="s">
        <v>5</v>
      </c>
      <c r="W23" s="1387">
        <f>J23</f>
        <v>100</v>
      </c>
      <c r="X23" s="1380"/>
      <c r="Y23" s="388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4"/>
      <c r="Q24" s="1385">
        <f t="shared" ref="Q24:Q34" si="8">B24</f>
        <v>111</v>
      </c>
      <c r="R24" s="1386" t="s">
        <v>5</v>
      </c>
      <c r="S24" s="1387">
        <f>F24</f>
        <v>100</v>
      </c>
      <c r="T24" s="1386" t="s">
        <v>5</v>
      </c>
      <c r="U24" s="1387">
        <f>H24</f>
        <v>100</v>
      </c>
      <c r="V24" s="1386" t="s">
        <v>5</v>
      </c>
      <c r="W24" s="1387">
        <f>J24</f>
        <v>100</v>
      </c>
      <c r="X24" s="1380"/>
      <c r="Y24" s="388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4"/>
      <c r="Q25" s="1050">
        <f t="shared" si="8"/>
        <v>111</v>
      </c>
      <c r="R25" s="1381" t="s">
        <v>5</v>
      </c>
      <c r="S25" s="1382">
        <f>F25</f>
        <v>100</v>
      </c>
      <c r="T25" s="1381" t="s">
        <v>5</v>
      </c>
      <c r="U25" s="1382">
        <f>H25</f>
        <v>100</v>
      </c>
      <c r="V25" s="1381" t="s">
        <v>5</v>
      </c>
      <c r="W25" s="1382">
        <f>J25</f>
        <v>100</v>
      </c>
      <c r="X25" s="1383"/>
      <c r="Y25" s="388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6"/>
      <c r="Q27" s="1414" t="str">
        <f t="shared" si="8"/>
        <v>成新率</v>
      </c>
      <c r="R27" s="1390" t="s">
        <v>5</v>
      </c>
      <c r="S27" s="1391" t="e">
        <f t="shared" si="9"/>
        <v>#N/A</v>
      </c>
      <c r="T27" s="1390" t="s">
        <v>5</v>
      </c>
      <c r="U27" s="1391" t="e">
        <f t="shared" si="10"/>
        <v>#N/A</v>
      </c>
      <c r="V27" s="1390" t="s">
        <v>5</v>
      </c>
      <c r="W27" s="1391" t="e">
        <f t="shared" si="11"/>
        <v>#N/A</v>
      </c>
      <c r="X27" s="1392"/>
      <c r="Y27" s="388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6"/>
      <c r="Q28" s="1385" t="str">
        <f t="shared" si="8"/>
        <v>物业等级</v>
      </c>
      <c r="R28" s="1386" t="s">
        <v>5</v>
      </c>
      <c r="S28" s="1387">
        <f t="shared" si="9"/>
        <v>100</v>
      </c>
      <c r="T28" s="1386" t="s">
        <v>5</v>
      </c>
      <c r="U28" s="1387">
        <f t="shared" si="10"/>
        <v>100</v>
      </c>
      <c r="V28" s="1386" t="s">
        <v>5</v>
      </c>
      <c r="W28" s="1387">
        <f t="shared" si="11"/>
        <v>100</v>
      </c>
      <c r="X28" s="1380"/>
      <c r="Y28" s="388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6"/>
      <c r="Q29" s="1385" t="str">
        <f t="shared" si="8"/>
        <v>有无电梯</v>
      </c>
      <c r="R29" s="1386" t="s">
        <v>5</v>
      </c>
      <c r="S29" s="1387">
        <f t="shared" si="9"/>
        <v>100</v>
      </c>
      <c r="T29" s="1386" t="s">
        <v>5</v>
      </c>
      <c r="U29" s="1387">
        <f t="shared" si="10"/>
        <v>100</v>
      </c>
      <c r="V29" s="1386" t="s">
        <v>5</v>
      </c>
      <c r="W29" s="1387">
        <f t="shared" si="11"/>
        <v>100</v>
      </c>
      <c r="X29" s="1380"/>
      <c r="Y29" s="388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6"/>
      <c r="Q30" s="1385" t="str">
        <f t="shared" si="8"/>
        <v>建筑面积</v>
      </c>
      <c r="R30" s="1386" t="s">
        <v>5</v>
      </c>
      <c r="S30" s="1387" t="e">
        <f t="shared" si="9"/>
        <v>#N/A</v>
      </c>
      <c r="T30" s="1386" t="s">
        <v>5</v>
      </c>
      <c r="U30" s="1387" t="e">
        <f t="shared" si="10"/>
        <v>#N/A</v>
      </c>
      <c r="V30" s="1386" t="s">
        <v>5</v>
      </c>
      <c r="W30" s="1387" t="e">
        <f t="shared" si="11"/>
        <v>#N/A</v>
      </c>
      <c r="X30" s="1380"/>
      <c r="Y30" s="388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6"/>
      <c r="Q31" s="1050" t="str">
        <f t="shared" si="8"/>
        <v>是否封闭</v>
      </c>
      <c r="R31" s="1381" t="s">
        <v>5</v>
      </c>
      <c r="S31" s="1382">
        <f t="shared" si="9"/>
        <v>100</v>
      </c>
      <c r="T31" s="1381" t="s">
        <v>5</v>
      </c>
      <c r="U31" s="1382">
        <f t="shared" si="10"/>
        <v>100</v>
      </c>
      <c r="V31" s="1381" t="s">
        <v>5</v>
      </c>
      <c r="W31" s="1382">
        <f t="shared" si="11"/>
        <v>100</v>
      </c>
      <c r="X31" s="1383"/>
      <c r="Y31" s="388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6" t="s">
        <v>499</v>
      </c>
      <c r="Q32" s="1385">
        <f t="shared" si="8"/>
        <v>111</v>
      </c>
      <c r="R32" s="1386" t="s">
        <v>5</v>
      </c>
      <c r="S32" s="1387">
        <f t="shared" si="9"/>
        <v>100</v>
      </c>
      <c r="T32" s="1386" t="s">
        <v>5</v>
      </c>
      <c r="U32" s="1387">
        <f t="shared" si="10"/>
        <v>100</v>
      </c>
      <c r="V32" s="1386" t="s">
        <v>5</v>
      </c>
      <c r="W32" s="1387">
        <f t="shared" si="11"/>
        <v>100</v>
      </c>
      <c r="X32" s="1380"/>
      <c r="Y32" s="388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6"/>
      <c r="Q33" s="1385">
        <f t="shared" si="8"/>
        <v>111</v>
      </c>
      <c r="R33" s="1386" t="s">
        <v>5</v>
      </c>
      <c r="S33" s="1387">
        <f t="shared" si="9"/>
        <v>100</v>
      </c>
      <c r="T33" s="1386" t="s">
        <v>5</v>
      </c>
      <c r="U33" s="1387">
        <f t="shared" si="10"/>
        <v>100</v>
      </c>
      <c r="V33" s="1386" t="s">
        <v>5</v>
      </c>
      <c r="W33" s="1387">
        <f t="shared" si="11"/>
        <v>100</v>
      </c>
      <c r="X33" s="1380"/>
      <c r="Y33" s="388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6"/>
      <c r="Q34" s="1385">
        <f t="shared" si="8"/>
        <v>111</v>
      </c>
      <c r="R34" s="1386" t="s">
        <v>5</v>
      </c>
      <c r="S34" s="1387">
        <f t="shared" si="9"/>
        <v>100</v>
      </c>
      <c r="T34" s="1386" t="s">
        <v>5</v>
      </c>
      <c r="U34" s="1387">
        <f t="shared" si="10"/>
        <v>100</v>
      </c>
      <c r="V34" s="1386" t="s">
        <v>5</v>
      </c>
      <c r="W34" s="1387">
        <f t="shared" si="11"/>
        <v>100</v>
      </c>
      <c r="X34" s="1380"/>
      <c r="Y34" s="388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1" t="str">
        <f>A35</f>
        <v>成交单价（元/平方米）</v>
      </c>
      <c r="Q35" s="3881"/>
      <c r="R35" s="3993">
        <f>E35</f>
        <v>0</v>
      </c>
      <c r="S35" s="3993"/>
      <c r="T35" s="3993">
        <f>G35</f>
        <v>0</v>
      </c>
      <c r="U35" s="3993"/>
      <c r="V35" s="3993">
        <f>I35</f>
        <v>0</v>
      </c>
      <c r="W35" s="3993"/>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81" t="str">
        <f>A36</f>
        <v>比较价格（元/平方米）</v>
      </c>
      <c r="Q36" s="3881"/>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87" t="str">
        <f>A37</f>
        <v>估价对象XX用房的比较价格（楼面单价，元/平方米）</v>
      </c>
      <c r="Q37" s="3888"/>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2023-6</v>
      </c>
      <c r="D46" s="2284">
        <f>EDATE(C46,-1)</f>
        <v>45047</v>
      </c>
      <c r="E46" s="2284">
        <f t="shared" ref="E46:O46" si="13">EDATE(D46,-1)</f>
        <v>45017</v>
      </c>
      <c r="F46" s="2284">
        <f t="shared" si="13"/>
        <v>44986</v>
      </c>
      <c r="G46" s="2284">
        <f t="shared" si="13"/>
        <v>44958</v>
      </c>
      <c r="H46" s="2284">
        <f t="shared" si="13"/>
        <v>44927</v>
      </c>
      <c r="I46" s="2284">
        <f t="shared" si="13"/>
        <v>44896</v>
      </c>
      <c r="J46" s="2284">
        <f t="shared" si="13"/>
        <v>44866</v>
      </c>
      <c r="K46" s="2284">
        <f t="shared" si="13"/>
        <v>44835</v>
      </c>
      <c r="L46" s="2284">
        <f t="shared" si="13"/>
        <v>44805</v>
      </c>
      <c r="M46" s="2284">
        <f t="shared" si="13"/>
        <v>44774</v>
      </c>
      <c r="N46" s="2284">
        <f t="shared" si="13"/>
        <v>44743</v>
      </c>
      <c r="O46" s="2284">
        <f t="shared" si="13"/>
        <v>44713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2" t="s">
        <v>1661</v>
      </c>
      <c r="D1" s="4003"/>
      <c r="E1" s="4003"/>
      <c r="F1" s="4003"/>
      <c r="G1" s="4003"/>
      <c r="H1" s="4003"/>
      <c r="I1" s="4003"/>
      <c r="J1" s="4003"/>
      <c r="K1" s="4003"/>
      <c r="L1" s="4003"/>
      <c r="M1" s="4003"/>
      <c r="N1" s="4003"/>
      <c r="O1" s="4003"/>
      <c r="P1" s="4003"/>
      <c r="Q1" s="4003"/>
      <c r="R1" s="4003"/>
      <c r="S1" s="400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7BA71-08DA-4902-B48D-01766518C41F}">
  <sheetPr>
    <tabColor rgb="FFFFFF00"/>
  </sheetPr>
  <dimension ref="A63:C74"/>
  <sheetViews>
    <sheetView workbookViewId="0">
      <selection activeCell="E75" sqref="E75"/>
    </sheetView>
  </sheetViews>
  <sheetFormatPr defaultRowHeight="13.5"/>
  <cols>
    <col min="2" max="2" width="17.875" customWidth="1"/>
    <col min="3" max="3" width="19.375" customWidth="1"/>
  </cols>
  <sheetData>
    <row r="63" spans="1:3">
      <c r="A63" s="4005" t="s">
        <v>3347</v>
      </c>
      <c r="B63" s="4005"/>
      <c r="C63" s="4005"/>
    </row>
    <row r="64" spans="1:3">
      <c r="A64" s="3689" t="s">
        <v>3348</v>
      </c>
      <c r="B64" s="3689" t="s">
        <v>2146</v>
      </c>
      <c r="C64" s="3689" t="s">
        <v>3349</v>
      </c>
    </row>
    <row r="65" spans="1:3">
      <c r="A65" s="3689">
        <v>1</v>
      </c>
      <c r="B65" s="3689" t="s">
        <v>3350</v>
      </c>
      <c r="C65" s="3690">
        <f ca="1">ROUND(结果表!G21*'数据-汇总表'!D8/10000,0)</f>
        <v>10831</v>
      </c>
    </row>
    <row r="66" spans="1:3">
      <c r="A66" s="3689">
        <v>2</v>
      </c>
      <c r="B66" s="3689" t="s">
        <v>3351</v>
      </c>
      <c r="C66" s="3690">
        <f>ROUND('数据-汇总表'!E6*800/10000,0)</f>
        <v>531</v>
      </c>
    </row>
    <row r="67" spans="1:3">
      <c r="A67" s="3689">
        <v>3</v>
      </c>
      <c r="B67" s="3689" t="s">
        <v>3352</v>
      </c>
      <c r="C67" s="3690">
        <v>0</v>
      </c>
    </row>
    <row r="68" spans="1:3">
      <c r="A68" s="3689">
        <v>4</v>
      </c>
      <c r="B68" s="3689" t="s">
        <v>3353</v>
      </c>
      <c r="C68" s="3690">
        <v>0</v>
      </c>
    </row>
    <row r="69" spans="1:3">
      <c r="A69" s="3689">
        <v>5</v>
      </c>
      <c r="B69" s="3689" t="s">
        <v>3354</v>
      </c>
      <c r="C69" s="3690">
        <f>ROUND([3]停产停业损失补偿!F64,0)</f>
        <v>0</v>
      </c>
    </row>
    <row r="70" spans="1:3">
      <c r="A70" s="3689">
        <v>6</v>
      </c>
      <c r="B70" s="3689" t="s">
        <v>3355</v>
      </c>
      <c r="C70" s="3690">
        <v>0</v>
      </c>
    </row>
    <row r="71" spans="1:3">
      <c r="A71" s="3689">
        <v>7</v>
      </c>
      <c r="B71" s="3689" t="s">
        <v>3356</v>
      </c>
      <c r="C71" s="3690">
        <f>ROUND('数据-汇总表'!E6*50/10000,0)</f>
        <v>33</v>
      </c>
    </row>
    <row r="72" spans="1:3">
      <c r="A72" s="4006" t="s">
        <v>3357</v>
      </c>
      <c r="B72" s="4006"/>
      <c r="C72" s="3690">
        <f ca="1">ROUND(SUM(C65:C71),0)</f>
        <v>11395</v>
      </c>
    </row>
    <row r="73" spans="1:3">
      <c r="A73" s="4006" t="s">
        <v>3358</v>
      </c>
      <c r="B73" s="4006"/>
      <c r="C73" s="3689">
        <f ca="1">ROUND(C72*10000/'数据-基础表'!A3,0)</f>
        <v>1015</v>
      </c>
    </row>
    <row r="74" spans="1:3">
      <c r="A74" s="4006" t="s">
        <v>3359</v>
      </c>
      <c r="B74" s="4006"/>
      <c r="C74" s="3689">
        <f ca="1">ROUND(C73/15,0)</f>
        <v>68</v>
      </c>
    </row>
  </sheetData>
  <mergeCells count="4">
    <mergeCell ref="A63:C63"/>
    <mergeCell ref="A72:B72"/>
    <mergeCell ref="A73:B73"/>
    <mergeCell ref="A74:B74"/>
  </mergeCells>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31658-C14A-4004-900A-3F892F12CBB9}">
  <dimension ref="A1:X27"/>
  <sheetViews>
    <sheetView topLeftCell="C1" workbookViewId="0">
      <pane xSplit="1" ySplit="3" topLeftCell="D12" activePane="bottomRight" state="frozen"/>
      <selection pane="topRight"/>
      <selection pane="bottomLeft"/>
      <selection pane="bottomRight" activeCell="F12" sqref="F12"/>
    </sheetView>
  </sheetViews>
  <sheetFormatPr defaultColWidth="9" defaultRowHeight="14.25"/>
  <cols>
    <col min="1" max="9" width="9" style="3672"/>
    <col min="10" max="10" width="21.875" style="3672" customWidth="1"/>
    <col min="11" max="12" width="9" style="3672"/>
    <col min="13" max="13" width="12.875" style="3672" customWidth="1"/>
    <col min="14" max="14" width="11.25" style="3672" customWidth="1"/>
    <col min="15" max="15" width="68.75" style="3672" customWidth="1"/>
    <col min="16" max="16" width="22.375" style="3672" customWidth="1"/>
    <col min="17" max="16384" width="9" style="3672"/>
  </cols>
  <sheetData>
    <row r="1" spans="1:24" s="3662" customFormat="1" ht="54" customHeight="1">
      <c r="A1" s="4008" t="s">
        <v>1729</v>
      </c>
      <c r="B1" s="4008" t="s">
        <v>3271</v>
      </c>
      <c r="C1" s="4009" t="s">
        <v>3272</v>
      </c>
      <c r="D1" s="4008" t="s">
        <v>3273</v>
      </c>
      <c r="E1" s="4007" t="s">
        <v>3274</v>
      </c>
      <c r="F1" s="4008" t="s">
        <v>3275</v>
      </c>
      <c r="G1" s="4008" t="s">
        <v>3276</v>
      </c>
      <c r="H1" s="4007" t="s">
        <v>3277</v>
      </c>
      <c r="I1" s="4008" t="s">
        <v>3278</v>
      </c>
      <c r="J1" s="4008" t="s">
        <v>3279</v>
      </c>
      <c r="K1" s="4010" t="s">
        <v>3280</v>
      </c>
      <c r="L1" s="4010"/>
      <c r="M1" s="4007" t="s">
        <v>3281</v>
      </c>
      <c r="N1" s="4007" t="s">
        <v>3282</v>
      </c>
      <c r="O1" s="4007" t="s">
        <v>3283</v>
      </c>
      <c r="P1" s="4007" t="s">
        <v>3284</v>
      </c>
      <c r="Q1" s="4011" t="s">
        <v>3285</v>
      </c>
      <c r="R1" s="4012"/>
      <c r="S1" s="4013"/>
      <c r="T1" s="4011" t="s">
        <v>3286</v>
      </c>
      <c r="U1" s="4012"/>
      <c r="V1" s="4013"/>
    </row>
    <row r="2" spans="1:24" s="3662" customFormat="1" ht="69.95" customHeight="1">
      <c r="A2" s="4008"/>
      <c r="B2" s="4008"/>
      <c r="C2" s="4009"/>
      <c r="D2" s="4008"/>
      <c r="E2" s="4007"/>
      <c r="F2" s="4008"/>
      <c r="G2" s="4008"/>
      <c r="H2" s="4007"/>
      <c r="I2" s="4008"/>
      <c r="J2" s="4008"/>
      <c r="K2" s="3663" t="s">
        <v>3287</v>
      </c>
      <c r="L2" s="3663" t="s">
        <v>3288</v>
      </c>
      <c r="M2" s="4007"/>
      <c r="N2" s="4008"/>
      <c r="O2" s="4008"/>
      <c r="P2" s="4008"/>
      <c r="Q2" s="3664" t="s">
        <v>3289</v>
      </c>
      <c r="R2" s="3664" t="s">
        <v>3290</v>
      </c>
      <c r="S2" s="3664" t="s">
        <v>3291</v>
      </c>
      <c r="T2" s="3664" t="s">
        <v>3292</v>
      </c>
      <c r="U2" s="3664" t="s">
        <v>3293</v>
      </c>
      <c r="V2" s="3664" t="s">
        <v>3294</v>
      </c>
      <c r="W2" s="3665" t="s">
        <v>3295</v>
      </c>
      <c r="X2" s="3665" t="s">
        <v>3296</v>
      </c>
    </row>
    <row r="3" spans="1:24" s="3671" customFormat="1" ht="162" hidden="1">
      <c r="A3" s="3666"/>
      <c r="B3" s="3667">
        <v>2018</v>
      </c>
      <c r="C3" s="3668">
        <v>12</v>
      </c>
      <c r="D3" s="3669" t="s">
        <v>3297</v>
      </c>
      <c r="E3" s="3669" t="s">
        <v>3298</v>
      </c>
      <c r="F3" s="3669" t="s">
        <v>3299</v>
      </c>
      <c r="G3" s="3669" t="s">
        <v>3300</v>
      </c>
      <c r="H3" s="3669" t="s">
        <v>3301</v>
      </c>
      <c r="I3" s="3669" t="s">
        <v>3302</v>
      </c>
      <c r="J3" s="3669" t="s">
        <v>3303</v>
      </c>
      <c r="K3" s="3669">
        <v>8.84</v>
      </c>
      <c r="L3" s="3669">
        <v>8.84</v>
      </c>
      <c r="M3" s="3669">
        <v>17.32</v>
      </c>
      <c r="N3" s="3669">
        <v>163953.37</v>
      </c>
      <c r="O3" s="3670" t="s">
        <v>3304</v>
      </c>
      <c r="P3" s="3669" t="s">
        <v>3305</v>
      </c>
      <c r="Q3" s="3669"/>
      <c r="R3" s="3669"/>
      <c r="S3" s="3669">
        <v>6</v>
      </c>
      <c r="T3" s="3669">
        <v>210</v>
      </c>
      <c r="U3" s="3669"/>
      <c r="V3" s="3669"/>
    </row>
    <row r="5" spans="1:24" ht="99.75">
      <c r="B5" s="3672">
        <v>2022</v>
      </c>
      <c r="C5" s="3673">
        <v>1</v>
      </c>
      <c r="D5" s="3674" t="s">
        <v>3306</v>
      </c>
      <c r="E5" s="3674" t="s">
        <v>3307</v>
      </c>
      <c r="F5" s="3675" t="s">
        <v>3308</v>
      </c>
      <c r="G5" s="3674"/>
      <c r="H5" s="3674" t="s">
        <v>3301</v>
      </c>
      <c r="I5" s="3675" t="s">
        <v>3309</v>
      </c>
      <c r="J5" s="3674"/>
      <c r="K5" s="3674">
        <v>17.118200000000002</v>
      </c>
      <c r="L5" s="3674">
        <v>13.1706</v>
      </c>
      <c r="M5" s="3674">
        <v>0.157</v>
      </c>
      <c r="N5" s="3674">
        <v>6537.24</v>
      </c>
      <c r="O5" s="3675" t="s">
        <v>3310</v>
      </c>
      <c r="P5" s="3675" t="s">
        <v>3311</v>
      </c>
      <c r="Q5" s="3676">
        <v>3173.01</v>
      </c>
      <c r="T5" s="3672">
        <v>644.98</v>
      </c>
      <c r="W5" s="3672">
        <f>Q5+T5</f>
        <v>3817.9900000000002</v>
      </c>
      <c r="X5" s="3672">
        <f>W5/K5</f>
        <v>223.03688471918775</v>
      </c>
    </row>
    <row r="6" spans="1:24" ht="199.5">
      <c r="C6" s="3673">
        <v>2</v>
      </c>
      <c r="D6" s="3674" t="s">
        <v>3306</v>
      </c>
      <c r="E6" s="3674"/>
      <c r="F6" s="3675" t="s">
        <v>3312</v>
      </c>
      <c r="G6" s="3674"/>
      <c r="H6" s="3674" t="s">
        <v>3301</v>
      </c>
      <c r="I6" s="3675" t="s">
        <v>3313</v>
      </c>
      <c r="J6" s="3675" t="s">
        <v>3314</v>
      </c>
      <c r="K6" s="3674">
        <v>113.57</v>
      </c>
      <c r="L6" s="3674">
        <v>83.53</v>
      </c>
      <c r="M6" s="3674">
        <v>137.27000000000001</v>
      </c>
      <c r="N6" s="3674">
        <v>96582.399999999994</v>
      </c>
      <c r="O6" s="3675" t="s">
        <v>3315</v>
      </c>
      <c r="P6" s="3674"/>
      <c r="Q6" s="3676">
        <v>23802.01</v>
      </c>
      <c r="T6" s="3672">
        <v>50480.46</v>
      </c>
      <c r="W6" s="3672">
        <f t="shared" ref="W6:W13" si="0">Q6+T6</f>
        <v>74282.47</v>
      </c>
      <c r="X6" s="3672">
        <f t="shared" ref="X6:X12" si="1">W6/K6</f>
        <v>654.06771154354146</v>
      </c>
    </row>
    <row r="7" spans="1:24" ht="85.5">
      <c r="C7" s="3673">
        <v>3</v>
      </c>
      <c r="D7" s="3674"/>
      <c r="E7" s="3674"/>
      <c r="F7" s="3675" t="s">
        <v>3316</v>
      </c>
      <c r="G7" s="3674"/>
      <c r="H7" s="3674" t="s">
        <v>3301</v>
      </c>
      <c r="I7" s="3675"/>
      <c r="J7" s="3674"/>
      <c r="K7" s="3674">
        <v>106.39</v>
      </c>
      <c r="L7" s="3674">
        <v>77.88</v>
      </c>
      <c r="M7" s="3674">
        <v>123</v>
      </c>
      <c r="N7" s="3674">
        <v>297292.77</v>
      </c>
      <c r="O7" s="3674"/>
      <c r="P7" s="3674"/>
      <c r="W7" s="3672">
        <f t="shared" si="0"/>
        <v>0</v>
      </c>
      <c r="X7" s="3672">
        <f t="shared" si="1"/>
        <v>0</v>
      </c>
    </row>
    <row r="8" spans="1:24" s="3680" customFormat="1" ht="71.25">
      <c r="C8" s="3681">
        <v>4</v>
      </c>
      <c r="D8" s="3682" t="s">
        <v>3306</v>
      </c>
      <c r="E8" s="3682"/>
      <c r="F8" s="3683" t="s">
        <v>3360</v>
      </c>
      <c r="G8" s="3682"/>
      <c r="H8" s="3682" t="s">
        <v>3301</v>
      </c>
      <c r="I8" s="3683"/>
      <c r="J8" s="3682"/>
      <c r="K8" s="3682">
        <v>84.724100000000007</v>
      </c>
      <c r="L8" s="3682">
        <v>44.729300000000002</v>
      </c>
      <c r="M8" s="3682">
        <v>107.3717864</v>
      </c>
      <c r="N8" s="3684">
        <v>176047.21</v>
      </c>
      <c r="O8" s="3683" t="s">
        <v>3317</v>
      </c>
      <c r="P8" s="3683" t="s">
        <v>3318</v>
      </c>
      <c r="Q8" s="3680">
        <v>36436.78</v>
      </c>
      <c r="T8" s="3680">
        <v>98258.5</v>
      </c>
      <c r="W8" s="3680">
        <f t="shared" si="0"/>
        <v>134695.28</v>
      </c>
      <c r="X8" s="3680">
        <f t="shared" si="1"/>
        <v>1589.8106914089378</v>
      </c>
    </row>
    <row r="9" spans="1:24" s="3680" customFormat="1" ht="99.75">
      <c r="C9" s="3681">
        <v>5</v>
      </c>
      <c r="D9" s="3682" t="s">
        <v>3306</v>
      </c>
      <c r="E9" s="3682"/>
      <c r="F9" s="3683" t="s">
        <v>3361</v>
      </c>
      <c r="G9" s="3682"/>
      <c r="H9" s="3682" t="s">
        <v>3301</v>
      </c>
      <c r="I9" s="3683" t="s">
        <v>3319</v>
      </c>
      <c r="J9" s="3683" t="s">
        <v>3320</v>
      </c>
      <c r="K9" s="3682">
        <v>45.54</v>
      </c>
      <c r="L9" s="3682" t="s">
        <v>3321</v>
      </c>
      <c r="M9" s="3682">
        <v>54.31</v>
      </c>
      <c r="N9" s="3684">
        <v>72834.11</v>
      </c>
      <c r="O9" s="3683" t="s">
        <v>3322</v>
      </c>
      <c r="P9" s="3682"/>
      <c r="Q9" s="3680">
        <v>12139.74</v>
      </c>
      <c r="T9" s="3680">
        <v>39759.29</v>
      </c>
      <c r="W9" s="3680">
        <f t="shared" si="0"/>
        <v>51899.03</v>
      </c>
      <c r="X9" s="3680">
        <f t="shared" si="1"/>
        <v>1139.6361440491876</v>
      </c>
    </row>
    <row r="10" spans="1:24" ht="256.5">
      <c r="C10" s="3673">
        <v>6</v>
      </c>
      <c r="D10" s="3674" t="s">
        <v>3306</v>
      </c>
      <c r="E10" s="3674"/>
      <c r="F10" s="3675" t="s">
        <v>3323</v>
      </c>
      <c r="G10" s="3674"/>
      <c r="H10" s="3674" t="s">
        <v>3301</v>
      </c>
      <c r="I10" s="3675" t="s">
        <v>3324</v>
      </c>
      <c r="J10" s="3675" t="s">
        <v>3325</v>
      </c>
      <c r="K10" s="3674">
        <v>451.1</v>
      </c>
      <c r="L10" s="3674">
        <v>343.97</v>
      </c>
      <c r="M10" s="3674">
        <v>518.86</v>
      </c>
      <c r="N10" s="3674">
        <v>118.79</v>
      </c>
      <c r="O10" s="3675" t="s">
        <v>3326</v>
      </c>
      <c r="P10" s="3674"/>
      <c r="W10" s="3672">
        <f t="shared" si="0"/>
        <v>0</v>
      </c>
      <c r="X10" s="3672">
        <f t="shared" si="1"/>
        <v>0</v>
      </c>
    </row>
    <row r="11" spans="1:24" ht="142.5">
      <c r="C11" s="3673">
        <v>7</v>
      </c>
      <c r="D11" s="3674" t="s">
        <v>3306</v>
      </c>
      <c r="E11" s="3674"/>
      <c r="F11" s="3675" t="s">
        <v>3327</v>
      </c>
      <c r="G11" s="3674"/>
      <c r="H11" s="3674" t="s">
        <v>3301</v>
      </c>
      <c r="I11" s="3675" t="s">
        <v>3328</v>
      </c>
      <c r="J11" s="3675" t="s">
        <v>3329</v>
      </c>
      <c r="K11" s="3674">
        <v>34.54</v>
      </c>
      <c r="L11" s="3674">
        <v>24.47</v>
      </c>
      <c r="M11" s="3674">
        <v>30.54</v>
      </c>
      <c r="N11" s="3677">
        <v>142921.26</v>
      </c>
      <c r="O11" s="3675" t="s">
        <v>3330</v>
      </c>
      <c r="P11" s="3674"/>
      <c r="T11" s="3672">
        <v>141759.13</v>
      </c>
      <c r="W11" s="3672">
        <f t="shared" si="0"/>
        <v>141759.13</v>
      </c>
      <c r="X11" s="3672">
        <f t="shared" si="1"/>
        <v>4104.2017950202662</v>
      </c>
    </row>
    <row r="12" spans="1:24" s="3680" customFormat="1" ht="114">
      <c r="C12" s="3681">
        <v>8</v>
      </c>
      <c r="D12" s="3682" t="s">
        <v>3306</v>
      </c>
      <c r="E12" s="3682"/>
      <c r="F12" s="3683" t="s">
        <v>3362</v>
      </c>
      <c r="G12" s="3682"/>
      <c r="H12" s="3682" t="s">
        <v>3301</v>
      </c>
      <c r="I12" s="3683" t="s">
        <v>3331</v>
      </c>
      <c r="J12" s="3683" t="s">
        <v>3332</v>
      </c>
      <c r="K12" s="3682">
        <v>24.25</v>
      </c>
      <c r="L12" s="3682">
        <v>7.26</v>
      </c>
      <c r="M12" s="3682">
        <v>9.34</v>
      </c>
      <c r="N12" s="3684">
        <v>29665.84</v>
      </c>
      <c r="O12" s="3683" t="s">
        <v>3333</v>
      </c>
      <c r="P12" s="3682"/>
      <c r="Q12" s="3685">
        <v>3879.88</v>
      </c>
      <c r="T12" s="3680">
        <v>20568.54</v>
      </c>
      <c r="W12" s="3680">
        <f t="shared" si="0"/>
        <v>24448.420000000002</v>
      </c>
      <c r="X12" s="3680">
        <f t="shared" si="1"/>
        <v>1008.1822680412372</v>
      </c>
    </row>
    <row r="13" spans="1:24" ht="99.75">
      <c r="C13" s="3673">
        <v>9</v>
      </c>
      <c r="D13" s="3674" t="s">
        <v>3306</v>
      </c>
      <c r="E13" s="3674"/>
      <c r="F13" s="3675" t="s">
        <v>3334</v>
      </c>
      <c r="G13" s="3674"/>
      <c r="H13" s="3674" t="s">
        <v>3301</v>
      </c>
      <c r="I13" s="3675" t="s">
        <v>3335</v>
      </c>
      <c r="J13" s="3675" t="s">
        <v>3336</v>
      </c>
      <c r="K13" s="3675" t="s">
        <v>3337</v>
      </c>
      <c r="L13" s="3674">
        <v>16.55</v>
      </c>
      <c r="M13" s="3674">
        <v>25.15</v>
      </c>
      <c r="N13" s="3677">
        <v>132237.01</v>
      </c>
      <c r="O13" s="3674"/>
      <c r="P13" s="3674"/>
      <c r="Q13" s="3678">
        <v>41086.400000000001</v>
      </c>
      <c r="T13" s="3672">
        <v>47612.92</v>
      </c>
      <c r="W13" s="3672">
        <f t="shared" si="0"/>
        <v>88699.32</v>
      </c>
      <c r="X13" s="3672">
        <f>W13/36.15</f>
        <v>2453.6464730290459</v>
      </c>
    </row>
    <row r="14" spans="1:24">
      <c r="F14" s="3679"/>
      <c r="I14" s="3679"/>
    </row>
    <row r="15" spans="1:24">
      <c r="F15" s="3679"/>
      <c r="I15" s="3679"/>
    </row>
    <row r="16" spans="1:24">
      <c r="F16" s="3679"/>
      <c r="I16" s="3679"/>
    </row>
    <row r="17" spans="6:9">
      <c r="F17" s="3679"/>
      <c r="I17" s="3679"/>
    </row>
    <row r="18" spans="6:9">
      <c r="F18" s="3679"/>
      <c r="I18" s="3679"/>
    </row>
    <row r="19" spans="6:9">
      <c r="F19" s="3679"/>
      <c r="I19" s="3679"/>
    </row>
    <row r="20" spans="6:9">
      <c r="F20" s="3679"/>
      <c r="I20" s="3679"/>
    </row>
    <row r="21" spans="6:9">
      <c r="F21" s="3679"/>
      <c r="I21" s="3679"/>
    </row>
    <row r="22" spans="6:9">
      <c r="I22" s="3679"/>
    </row>
    <row r="23" spans="6:9">
      <c r="I23" s="3679"/>
    </row>
    <row r="24" spans="6:9">
      <c r="I24" s="3679"/>
    </row>
    <row r="25" spans="6:9">
      <c r="I25" s="3679"/>
    </row>
    <row r="26" spans="6:9">
      <c r="I26" s="3679"/>
    </row>
    <row r="27" spans="6:9">
      <c r="I27" s="3679"/>
    </row>
  </sheetData>
  <mergeCells count="17">
    <mergeCell ref="N1:N2"/>
    <mergeCell ref="O1:O2"/>
    <mergeCell ref="P1:P2"/>
    <mergeCell ref="Q1:S1"/>
    <mergeCell ref="T1:V1"/>
    <mergeCell ref="M1:M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3" xr:uid="{96D3B9DA-8D97-4EE7-8277-DD9E0962DE76}">
      <formula1>"公开出让,协议出让,划拨"</formula1>
    </dataValidation>
  </dataValidations>
  <pageMargins left="0.69930555555555596" right="0.69930555555555596"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45091</v>
      </c>
      <c r="H1" s="2417">
        <f>IF(C1&gt;C13,0,MATCH(C1,C$13:C$109,-1))+IF(SUMIF(C13:C109,C1,D13:D109)=0,13,12)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3.6499999999999998E-2</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19">
        <v>4.25</v>
      </c>
      <c r="E21" s="3019">
        <v>4.25</v>
      </c>
      <c r="F21" s="3019">
        <v>4.25</v>
      </c>
      <c r="G21" s="3019">
        <v>4.25</v>
      </c>
      <c r="H21" s="3019">
        <v>4.8499999999999996</v>
      </c>
      <c r="I21" s="3019"/>
      <c r="J21" s="3019"/>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2"/>
      <c r="B22" s="3023"/>
      <c r="C22" s="3024">
        <v>42301</v>
      </c>
      <c r="D22" s="3025">
        <v>4.3499999999999996</v>
      </c>
      <c r="E22" s="3025">
        <v>4.3499999999999996</v>
      </c>
      <c r="F22" s="3025">
        <v>4.75</v>
      </c>
      <c r="G22" s="3025">
        <v>4.75</v>
      </c>
      <c r="H22" s="3025">
        <v>4.9000000000000004</v>
      </c>
      <c r="I22" s="3025"/>
      <c r="J22" s="302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2" t="s">
        <v>1556</v>
      </c>
      <c r="B1" s="3692"/>
      <c r="C1" s="3692"/>
      <c r="D1" s="3692"/>
      <c r="E1" s="3692"/>
      <c r="F1" s="3692"/>
      <c r="G1" s="3692"/>
      <c r="H1" s="3692"/>
      <c r="I1" s="3692"/>
      <c r="J1" s="3692"/>
      <c r="K1" s="3692"/>
      <c r="L1" s="3692"/>
      <c r="M1" s="3692"/>
      <c r="N1" s="3692"/>
      <c r="O1" s="3692"/>
      <c r="P1" s="3692"/>
      <c r="Q1" s="3692"/>
      <c r="R1" s="3692"/>
    </row>
    <row r="2" spans="1:18">
      <c r="A2" s="1595" t="s">
        <v>1558</v>
      </c>
      <c r="B2" s="1595"/>
      <c r="C2" s="1595"/>
      <c r="D2" s="1595"/>
      <c r="E2" s="1595"/>
      <c r="F2" s="1595"/>
      <c r="G2" s="1595"/>
      <c r="H2" s="1595"/>
      <c r="I2" s="1596"/>
      <c r="J2" s="1596"/>
      <c r="K2" s="1597" t="str">
        <f>"估价期日："&amp;TEXT(项目基本情况!D3,"yyyy年m月d日;;")</f>
        <v>估价期日：2023年6月14日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3" t="s">
        <v>1547</v>
      </c>
      <c r="B3" s="3693" t="s">
        <v>2013</v>
      </c>
      <c r="C3" s="3694" t="s">
        <v>1548</v>
      </c>
      <c r="D3" s="3693" t="s">
        <v>2017</v>
      </c>
      <c r="E3" s="3696" t="s">
        <v>1549</v>
      </c>
      <c r="F3" s="3696"/>
      <c r="G3" s="3696"/>
      <c r="H3" s="3696" t="s">
        <v>1550</v>
      </c>
      <c r="I3" s="3696"/>
      <c r="J3" s="3696"/>
      <c r="K3" s="3694" t="s">
        <v>1551</v>
      </c>
      <c r="L3" s="3694" t="s">
        <v>1552</v>
      </c>
      <c r="M3" s="3693" t="s">
        <v>2014</v>
      </c>
      <c r="N3" s="3695" t="str">
        <f>"（分摊）"&amp;项目基本情况!A17&amp;"国有建设用地使用权面积/㎡"</f>
        <v>（分摊）出让国有建设用地使用权面积/㎡</v>
      </c>
      <c r="O3" s="3693" t="s">
        <v>1581</v>
      </c>
      <c r="P3" s="3694" t="s">
        <v>1561</v>
      </c>
      <c r="Q3" s="3694" t="s">
        <v>1582</v>
      </c>
      <c r="R3" s="3694" t="s">
        <v>1553</v>
      </c>
    </row>
    <row r="4" spans="1:18" ht="36.75" customHeight="1">
      <c r="A4" s="3693"/>
      <c r="B4" s="3693"/>
      <c r="C4" s="3694"/>
      <c r="D4" s="3693"/>
      <c r="E4" s="2254" t="s">
        <v>1560</v>
      </c>
      <c r="F4" s="2254" t="s">
        <v>2026</v>
      </c>
      <c r="G4" s="2254" t="s">
        <v>1554</v>
      </c>
      <c r="H4" s="2254" t="s">
        <v>1555</v>
      </c>
      <c r="I4" s="2254" t="s">
        <v>2027</v>
      </c>
      <c r="J4" s="2254" t="s">
        <v>1554</v>
      </c>
      <c r="K4" s="3694"/>
      <c r="L4" s="3694"/>
      <c r="M4" s="3693"/>
      <c r="N4" s="3695"/>
      <c r="O4" s="3693"/>
      <c r="P4" s="3694"/>
      <c r="Q4" s="3694"/>
      <c r="R4" s="369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112236.7</v>
      </c>
      <c r="O5" s="1598">
        <f>项目基本情况!C21</f>
        <v>6637.12</v>
      </c>
      <c r="P5" s="1598">
        <f ca="1">结果表!E42</f>
        <v>965</v>
      </c>
      <c r="Q5" s="1598">
        <f ca="1">结果表!D42</f>
        <v>16319</v>
      </c>
      <c r="R5" s="1599">
        <f ca="1">结果表!C42</f>
        <v>10831</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600" t="str">
        <f>结果表!O39</f>
        <v>——</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600" t="str">
        <f>结果表!O40</f>
        <v>——</v>
      </c>
    </row>
    <row r="8" spans="1:18">
      <c r="A8" s="3697">
        <f>IF(项目基本情况!B9="市场价格","——",项目基本情况!E9)</f>
        <v>0</v>
      </c>
      <c r="B8" s="3698"/>
      <c r="C8" s="3698"/>
      <c r="D8" s="3698"/>
      <c r="E8" s="3698"/>
      <c r="F8" s="3698"/>
      <c r="G8" s="3698"/>
      <c r="H8" s="3698"/>
      <c r="I8" s="3698"/>
      <c r="J8" s="3698"/>
      <c r="K8" s="3698"/>
      <c r="L8" s="3698"/>
      <c r="M8" s="3698"/>
      <c r="N8" s="3698"/>
      <c r="O8" s="3698"/>
      <c r="P8" s="3698"/>
      <c r="Q8" s="369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0" t="s">
        <v>1583</v>
      </c>
      <c r="B1" s="3700"/>
      <c r="C1" s="3700"/>
      <c r="D1" s="3700"/>
    </row>
    <row r="2" spans="1:4" ht="47.25" customHeight="1">
      <c r="A2" s="3704" t="str">
        <f>"1.权利限制："&amp;项目基本情况!L24&amp;"未设定租赁等其他他项权利。"</f>
        <v>1.权利限制：根据估价对象《不动产权证书》原件、《国有土地使用权》复印件，截至估价期日，估价对象抵押权未见登记。未设定租赁等其他他项权利。</v>
      </c>
      <c r="B2" s="3704"/>
      <c r="C2" s="3704"/>
      <c r="D2" s="3704"/>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703" t="s">
        <v>1584</v>
      </c>
      <c r="B5" s="3703"/>
      <c r="C5" s="3703"/>
      <c r="D5" s="3703"/>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0"/>
      <c r="C8" s="3700"/>
      <c r="D8" s="3700"/>
    </row>
    <row r="9" spans="1:4" ht="33.75" customHeight="1">
      <c r="A9" s="37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0"/>
      <c r="C9" s="3700"/>
      <c r="D9" s="3700"/>
    </row>
    <row r="10" spans="1:4">
      <c r="A10" s="3700" t="str">
        <f>IF(项目基本情况!B8="抵押","4.估价师所知悉的法定优先受偿款情况为：","——")</f>
        <v>4.估价师所知悉的法定优先受偿款情况为：</v>
      </c>
      <c r="B10" s="3700"/>
      <c r="C10" s="3700"/>
      <c r="D10" s="3700"/>
    </row>
    <row r="11" spans="1:4" ht="37.5" customHeight="1">
      <c r="A11" s="37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2"/>
      <c r="C11" s="3702"/>
      <c r="D11" s="3702"/>
    </row>
    <row r="12" spans="1:4" ht="168" customHeight="1">
      <c r="A12" s="3703" t="s">
        <v>1586</v>
      </c>
      <c r="B12" s="3703"/>
      <c r="C12" s="3703"/>
      <c r="D12" s="3703"/>
    </row>
    <row r="13" spans="1:4">
      <c r="A13" s="3701" t="s">
        <v>2028</v>
      </c>
      <c r="B13" s="3701"/>
      <c r="C13" s="3701"/>
      <c r="D13" s="3701"/>
    </row>
    <row r="14" spans="1:4">
      <c r="A14" s="3702" t="str">
        <f>IF(项目基本情况!B8="抵押","综上，"&amp;结果表!K47,"——")</f>
        <v>综上，本次评估不存在估价师知悉的法定优先受偿款</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0" t="s">
        <v>1981</v>
      </c>
      <c r="B23" s="3700"/>
      <c r="C23" s="3700"/>
      <c r="D23" s="370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2" t="s">
        <v>27</v>
      </c>
      <c r="B15" s="3713" t="s">
        <v>784</v>
      </c>
      <c r="C15" s="3709"/>
    </row>
    <row r="16" spans="1:7" ht="14.25">
      <c r="A16" s="3712"/>
      <c r="B16" s="3710" t="s">
        <v>28</v>
      </c>
      <c r="C16" s="1070" t="s">
        <v>27</v>
      </c>
    </row>
    <row r="17" spans="1:3" ht="14.25">
      <c r="A17" s="3712"/>
      <c r="B17" s="3710"/>
      <c r="C17" s="1070" t="s">
        <v>29</v>
      </c>
    </row>
    <row r="18" spans="1:3" ht="14.25">
      <c r="A18" s="3712"/>
      <c r="B18" s="3710"/>
      <c r="C18" s="1070" t="s">
        <v>30</v>
      </c>
    </row>
    <row r="19" spans="1:3" ht="14.25">
      <c r="A19" s="3712"/>
      <c r="B19" s="3708" t="s">
        <v>31</v>
      </c>
      <c r="C19" s="3709"/>
    </row>
    <row r="20" spans="1:3" ht="14.25">
      <c r="A20" s="1071" t="s">
        <v>32</v>
      </c>
      <c r="B20" s="1072"/>
      <c r="C20" s="1073"/>
    </row>
    <row r="21" spans="1:3" ht="14.25">
      <c r="A21" s="3711" t="s">
        <v>33</v>
      </c>
      <c r="B21" s="3708" t="s">
        <v>34</v>
      </c>
      <c r="C21" s="3709"/>
    </row>
    <row r="22" spans="1:3" ht="14.25">
      <c r="A22" s="3711"/>
      <c r="B22" s="3708" t="s">
        <v>35</v>
      </c>
      <c r="C22" s="3709"/>
    </row>
    <row r="23" spans="1:3" ht="14.25">
      <c r="A23" s="3711"/>
      <c r="B23" s="3708" t="s">
        <v>36</v>
      </c>
      <c r="C23" s="3709"/>
    </row>
    <row r="24" spans="1:3" ht="14.25">
      <c r="A24" s="3711"/>
      <c r="B24" s="3714" t="s">
        <v>37</v>
      </c>
      <c r="C24" s="1074" t="s">
        <v>775</v>
      </c>
    </row>
    <row r="25" spans="1:3" ht="14.25">
      <c r="A25" s="3711"/>
      <c r="B25" s="3715"/>
      <c r="C25" s="1074" t="s">
        <v>776</v>
      </c>
    </row>
    <row r="26" spans="1:3" ht="14.25">
      <c r="A26" s="3711"/>
      <c r="B26" s="3715"/>
      <c r="C26" s="1074" t="s">
        <v>777</v>
      </c>
    </row>
    <row r="27" spans="1:3" ht="14.25">
      <c r="A27" s="3711"/>
      <c r="B27" s="3715"/>
      <c r="C27" s="1074" t="s">
        <v>778</v>
      </c>
    </row>
    <row r="28" spans="1:3" ht="14.25">
      <c r="A28" s="3711"/>
      <c r="B28" s="3715"/>
      <c r="C28" s="1074" t="s">
        <v>779</v>
      </c>
    </row>
    <row r="29" spans="1:3" ht="14.25">
      <c r="A29" s="3711"/>
      <c r="B29" s="3715"/>
      <c r="C29" s="1074" t="s">
        <v>780</v>
      </c>
    </row>
    <row r="30" spans="1:3" ht="14.25">
      <c r="A30" s="3711"/>
      <c r="B30" s="3715"/>
      <c r="C30" s="1074" t="s">
        <v>781</v>
      </c>
    </row>
    <row r="31" spans="1:3" ht="14.25">
      <c r="A31" s="3711"/>
      <c r="B31" s="3715"/>
      <c r="C31" s="1074" t="s">
        <v>782</v>
      </c>
    </row>
    <row r="32" spans="1:3" ht="14.25">
      <c r="A32" s="3711"/>
      <c r="B32" s="3715"/>
      <c r="C32" s="1074" t="s">
        <v>1181</v>
      </c>
    </row>
    <row r="33" spans="1:3" ht="14.25">
      <c r="A33" s="3711"/>
      <c r="B33" s="3705" t="s">
        <v>1187</v>
      </c>
      <c r="C33" s="1074" t="s">
        <v>1182</v>
      </c>
    </row>
    <row r="34" spans="1:3" ht="14.25">
      <c r="A34" s="3711"/>
      <c r="B34" s="3706"/>
      <c r="C34" s="1079" t="s">
        <v>1183</v>
      </c>
    </row>
    <row r="35" spans="1:3" ht="14.25">
      <c r="A35" s="3711"/>
      <c r="B35" s="3706"/>
      <c r="C35" s="1080" t="s">
        <v>1184</v>
      </c>
    </row>
    <row r="36" spans="1:3" ht="14.25">
      <c r="A36" s="3711"/>
      <c r="B36" s="3706"/>
      <c r="C36" s="1080" t="s">
        <v>1185</v>
      </c>
    </row>
    <row r="37" spans="1:3" ht="14.25">
      <c r="A37" s="3711"/>
      <c r="B37" s="370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9" t="s">
        <v>1448</v>
      </c>
      <c r="B18" s="3720"/>
      <c r="C18" s="3720"/>
      <c r="D18" s="3720"/>
      <c r="E18" s="3720"/>
      <c r="F18" s="3720"/>
      <c r="G18" s="2777"/>
    </row>
    <row r="19" spans="1:7" ht="20.25" customHeight="1">
      <c r="A19" s="3716" t="s">
        <v>1449</v>
      </c>
      <c r="B19" s="3716"/>
      <c r="C19" s="3717"/>
      <c r="D19" s="3718" t="s">
        <v>1450</v>
      </c>
      <c r="E19" s="3716"/>
      <c r="F19" s="3716"/>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6" t="s">
        <v>2748</v>
      </c>
      <c r="I8" s="7" t="s">
        <v>2755</v>
      </c>
    </row>
    <row r="9" spans="1:23">
      <c r="A9" s="6" t="s">
        <v>77</v>
      </c>
      <c r="B9" s="6" t="s">
        <v>122</v>
      </c>
      <c r="C9" s="1368" t="s">
        <v>1245</v>
      </c>
      <c r="F9" s="7" t="s">
        <v>78</v>
      </c>
      <c r="H9" s="7"/>
      <c r="I9" s="7" t="s">
        <v>2756</v>
      </c>
    </row>
    <row r="10" spans="1:23">
      <c r="A10" s="6" t="s">
        <v>79</v>
      </c>
      <c r="B10" s="6" t="s">
        <v>123</v>
      </c>
      <c r="C10" s="1368" t="s">
        <v>1246</v>
      </c>
      <c r="F10" s="3336"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1"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8"/>
      <c r="E53" s="1558"/>
    </row>
    <row r="54" spans="1:5">
      <c r="A54" s="3721"/>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1"/>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1"/>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1"/>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成本逼近法</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Sheet1</vt:lpstr>
      <vt:lpstr>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2023-07-07T06:52:41Z</dcterms:modified>
</cp:coreProperties>
</file>